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192.168.100.11\share\homepage\home\www\lib\pdf_xls_word\xls\kakunin\"/>
    </mc:Choice>
  </mc:AlternateContent>
  <xr:revisionPtr revIDLastSave="0" documentId="8_{8CE7894A-0001-4FEB-8224-F4DAB1594294}" xr6:coauthVersionLast="46" xr6:coauthVersionMax="46" xr10:uidLastSave="{00000000-0000-0000-0000-000000000000}"/>
  <bookViews>
    <workbookView xWindow="-120" yWindow="-120" windowWidth="29040" windowHeight="15840" tabRatio="892" firstSheet="18" activeTab="18" xr2:uid="{00000000-000D-0000-FFFF-FFFF00000000}"/>
  </bookViews>
  <sheets>
    <sheet name="dSTART" sheetId="2" state="hidden" r:id="rId1"/>
    <sheet name="dDATA_item_list" sheetId="5" state="hidden" r:id="rId2"/>
    <sheet name="dCalculate" sheetId="120" state="hidden" r:id="rId3"/>
    <sheet name="dTEST" sheetId="119" state="hidden" r:id="rId4"/>
    <sheet name="DATA" sheetId="3" state="hidden" r:id="rId5"/>
    <sheet name="dDATA_select" sheetId="113" state="hidden" r:id="rId6"/>
    <sheet name="dDATA_cst" sheetId="7" state="hidden" r:id="rId7"/>
    <sheet name="DATA_fee_detail" sheetId="4" state="hidden" r:id="rId8"/>
    <sheet name="dFEE" sheetId="116" state="hidden" r:id="rId9"/>
    <sheet name="dCHECK_SHEET_calc" sheetId="123" state="hidden" r:id="rId10"/>
    <sheet name="dCHECK_SHEET" sheetId="122" state="hidden" r:id="rId11"/>
    <sheet name="DATA_StructuralCalc" sheetId="6" state="hidden" r:id="rId12"/>
    <sheet name="dIMPOSSIBLE" sheetId="8" state="hidden" r:id="rId13"/>
    <sheet name="dFIRESTATION_info" sheetId="9" state="hidden" r:id="rId14"/>
    <sheet name="dSTR_OFFICE_info" sheetId="10" state="hidden" r:id="rId15"/>
    <sheet name="dOFFICE_name" sheetId="11" state="hidden" r:id="rId16"/>
    <sheet name="SHEET_NAME_LIST" sheetId="14" state="hidden" r:id="rId17"/>
    <sheet name="dINFOMATION" sheetId="12" state="hidden" r:id="rId18"/>
    <sheet name="建_請求書_大阪" sheetId="185" r:id="rId19"/>
    <sheet name="NoObject" sheetId="13" state="hidden" r:id="rId20"/>
  </sheets>
  <definedNames>
    <definedName name="_button_kind">DATA!$H$90</definedName>
    <definedName name="_button_no">DATA!$H$94</definedName>
    <definedName name="_button2">DATA!$H$93</definedName>
    <definedName name="_output_finished">DATA!$H$99</definedName>
    <definedName name="_output_finished__NEXT">DATA!$H$101</definedName>
    <definedName name="_print_time">DATA!$H$96</definedName>
    <definedName name="base_point_CHARGE_DETAIL">dFEE!$H$4</definedName>
    <definedName name="base_point_ERROR_VALUE">dCHECK_SHEET_calc!$L$9</definedName>
    <definedName name="base_point_INPUT_VALUE">dCHECK_SHEET_calc!$H$9</definedName>
    <definedName name="base_point_KIND">dCHECK_SHEET!$P$3</definedName>
    <definedName name="buildobject__shinsei_build_kouji">DATA!$H$1447</definedName>
    <definedName name="cellname01">dFEE!$G$72</definedName>
    <definedName name="cellname02">dFEE!$G$73</definedName>
    <definedName name="cellname03">dFEE!$G$74</definedName>
    <definedName name="cellname04">dFEE!$G$75</definedName>
    <definedName name="cellname05">dFEE!$G$76</definedName>
    <definedName name="cellname06">dFEE!$G$77</definedName>
    <definedName name="cellname07">dFEE!$G$78</definedName>
    <definedName name="cellname28">dFEE!$G$79</definedName>
    <definedName name="charge_BASE_DATE">DATA_fee_detail!$G$238</definedName>
    <definedName name="charge_BASIC_CHARGE">DATA_fee_detail!$G$261</definedName>
    <definedName name="charge_bill__date">DATA_fee_detail!$G$241</definedName>
    <definedName name="charge_bill__no">DATA_fee_detail!$G$240</definedName>
    <definedName name="charge_BILL_TYPE">DATA_fee_detail!$G$235</definedName>
    <definedName name="charge_CASH_FLAG">DATA_fee_detail!$G$236</definedName>
    <definedName name="charge_cust__address">DATA_fee_detail!$G$244</definedName>
    <definedName name="charge_cust__caption">DATA_fee_detail!$G$245</definedName>
    <definedName name="charge_cust__tel">DATA_fee_detail!$G$246</definedName>
    <definedName name="charge_cust__zip">DATA_fee_detail!$G$243</definedName>
    <definedName name="charge_DENPYOU_NO">DATA_fee_detail!$G$255</definedName>
    <definedName name="charge_DENPYOU_PRICE">DATA_fee_detail!$G$254</definedName>
    <definedName name="charge_DETAIL_BIKO">DATA_fee_detail!$G$257</definedName>
    <definedName name="charge_ENABLED">DATA_fee_detail!$G$237</definedName>
    <definedName name="charge_income01_INCOME_DATE">DATA_fee_detail!$G$331</definedName>
    <definedName name="charge_income01_INCOME_MONEY">DATA_fee_detail!$G$334</definedName>
    <definedName name="charge_income02_INCOME_DATE">DATA_fee_detail!$G$332</definedName>
    <definedName name="charge_income02_INCOME_MONEY">DATA_fee_detail!$G$335</definedName>
    <definedName name="charge_income03_INCOME_DATE">DATA_fee_detail!$G$333</definedName>
    <definedName name="charge_income03_INCOME_MONEY">DATA_fee_detail!$G$336</definedName>
    <definedName name="charge_meisai01_ITEM_NAME">DATA_fee_detail!$G$275</definedName>
    <definedName name="charge_meisai01_SURYOU">DATA_fee_detail!$G$276</definedName>
    <definedName name="charge_meisai01_SYOUKEI">DATA_fee_detail!$G$278</definedName>
    <definedName name="charge_meisai01_TANKA">DATA_fee_detail!$G$277</definedName>
    <definedName name="charge_meisai02_ITEM_NAME">DATA_fee_detail!$G$280</definedName>
    <definedName name="charge_meisai02_SURYOU">DATA_fee_detail!$G$281</definedName>
    <definedName name="charge_meisai02_SYOUKEI">DATA_fee_detail!$G$283</definedName>
    <definedName name="charge_meisai02_TANKA">DATA_fee_detail!$G$282</definedName>
    <definedName name="charge_meisai03_ITEM_NAME">DATA_fee_detail!$G$285</definedName>
    <definedName name="charge_meisai03_SURYOU">DATA_fee_detail!$G$286</definedName>
    <definedName name="charge_meisai03_SYOUKEI">DATA_fee_detail!$G$288</definedName>
    <definedName name="charge_meisai03_TANKA">DATA_fee_detail!$G$287</definedName>
    <definedName name="charge_meisai04_ITEM_NAME">DATA_fee_detail!$G$290</definedName>
    <definedName name="charge_meisai04_SURYOU">DATA_fee_detail!$G$291</definedName>
    <definedName name="charge_meisai04_SYOUKEI">DATA_fee_detail!$G$293</definedName>
    <definedName name="charge_meisai04_TANKA">DATA_fee_detail!$G$292</definedName>
    <definedName name="charge_meisai05_ITEM_NAME">DATA_fee_detail!$G$295</definedName>
    <definedName name="charge_meisai05_SURYOU">DATA_fee_detail!$G$296</definedName>
    <definedName name="charge_meisai05_SYOUKEI">DATA_fee_detail!$G$298</definedName>
    <definedName name="charge_meisai05_TANKA">DATA_fee_detail!$G$297</definedName>
    <definedName name="charge_meisai06_ITEM_NAME">DATA_fee_detail!$G$300</definedName>
    <definedName name="charge_meisai06_SURYOU">DATA_fee_detail!$G$301</definedName>
    <definedName name="charge_meisai06_SYOUKEI">DATA_fee_detail!$G$303</definedName>
    <definedName name="charge_meisai06_TANKA">DATA_fee_detail!$G$302</definedName>
    <definedName name="charge_meisai07_ITEM_NAME">DATA_fee_detail!$G$305</definedName>
    <definedName name="charge_meisai07_SURYOU">DATA_fee_detail!$G$306</definedName>
    <definedName name="charge_meisai07_SYOUKEI">DATA_fee_detail!$G$308</definedName>
    <definedName name="charge_meisai07_TANKA">DATA_fee_detail!$G$307</definedName>
    <definedName name="charge_meisai08_ITEM_NAME">DATA_fee_detail!$G$310</definedName>
    <definedName name="charge_meisai08_SURYOU">DATA_fee_detail!$G$311</definedName>
    <definedName name="charge_meisai08_SYOUKEI">DATA_fee_detail!$G$313</definedName>
    <definedName name="charge_meisai08_TANKA">DATA_fee_detail!$G$312</definedName>
    <definedName name="charge_meisai09_ITEM_NAME">DATA_fee_detail!$G$315</definedName>
    <definedName name="charge_meisai09_SURYOU">DATA_fee_detail!$G$316</definedName>
    <definedName name="charge_meisai09_SYOUKEI">DATA_fee_detail!$G$318</definedName>
    <definedName name="charge_meisai09_TANKA">DATA_fee_detail!$G$317</definedName>
    <definedName name="charge_meisai10_ITEM_NAME">DATA_fee_detail!$G$320</definedName>
    <definedName name="charge_meisai10_SURYOU">DATA_fee_detail!$G$321</definedName>
    <definedName name="charge_meisai10_SYOUKEI">DATA_fee_detail!$G$323</definedName>
    <definedName name="charge_meisai10_TANKA">DATA_fee_detail!$G$322</definedName>
    <definedName name="charge_meisai11_ITEM_NAME">DATA_fee_detail!$G$325</definedName>
    <definedName name="charge_meisai11_SURYOU">DATA_fee_detail!$G$326</definedName>
    <definedName name="charge_meisai11_SYOUKEI">DATA_fee_detail!$G$328</definedName>
    <definedName name="charge_meisai11_TANKA">DATA_fee_detail!$G$327</definedName>
    <definedName name="charge_NOTE">DATA_fee_detail!$G$256</definedName>
    <definedName name="charge_RECEIPT_AREA">DATA_fee_detail!$G$247</definedName>
    <definedName name="charge_RECEIPT_DATE">DATA_fee_detail!$G$253</definedName>
    <definedName name="charge_RECEIPT_PRICE">DATA_fee_detail!$G$249</definedName>
    <definedName name="charge_RECEIPT_TO">DATA_fee_detail!$G$250</definedName>
    <definedName name="charge_STR_CHARGE">DATA_fee_detail!$G$263</definedName>
    <definedName name="charge_STR_CHARGE_WARIMASHI">DATA_fee_detail!$G$269</definedName>
    <definedName name="charge_STR_SIHARAI_DATE">DATA_fee_detail!$G$262</definedName>
    <definedName name="charge_strtower01_CHARGE">DATA_fee_detail!$G$342</definedName>
    <definedName name="charge_strtower01_CHARGE_TOTAL">DATA_fee_detail!$G$344</definedName>
    <definedName name="charge_strtower01_CHARGE_WARIMASHI">DATA_fee_detail!$G$343</definedName>
    <definedName name="charge_strtower02_CHARGE">DATA_fee_detail!$G$348</definedName>
    <definedName name="charge_strtower02_CHARGE_TOTAL">DATA_fee_detail!$G$350</definedName>
    <definedName name="charge_strtower02_CHARGE_WARIMASHI">DATA_fee_detail!$G$349</definedName>
    <definedName name="charge_strtower03_CHARGE">DATA_fee_detail!$G$354</definedName>
    <definedName name="charge_strtower03_CHARGE_TOTAL">DATA_fee_detail!$G$356</definedName>
    <definedName name="charge_strtower03_CHARGE_WARIMASHI">DATA_fee_detail!$G$355</definedName>
    <definedName name="charge_strtower04_CHARGE">DATA_fee_detail!$G$360</definedName>
    <definedName name="charge_strtower04_CHARGE_TOTAL">DATA_fee_detail!$G$362</definedName>
    <definedName name="charge_strtower04_CHARGE_WARIMASHI">DATA_fee_detail!$G$361</definedName>
    <definedName name="charge_strtower05_CHARGE">DATA_fee_detail!$G$366</definedName>
    <definedName name="charge_strtower05_CHARGE_TOTAL">DATA_fee_detail!$G$368</definedName>
    <definedName name="charge_strtower05_CHARGE_WARIMASHI">DATA_fee_detail!$G$367</definedName>
    <definedName name="charge_strtower06_CHARGE">DATA_fee_detail!$G$372</definedName>
    <definedName name="charge_strtower06_CHARGE_TOTAL">DATA_fee_detail!$G$374</definedName>
    <definedName name="charge_strtower06_CHARGE_WARIMASHI">DATA_fee_detail!$G$373</definedName>
    <definedName name="charge_strtower07_CHARGE">DATA_fee_detail!$G$378</definedName>
    <definedName name="charge_strtower07_CHARGE_TOTAL">DATA_fee_detail!$G$380</definedName>
    <definedName name="charge_strtower07_CHARGE_WARIMASHI">DATA_fee_detail!$G$379</definedName>
    <definedName name="charge_strtower08_CHARGE">DATA_fee_detail!$G$384</definedName>
    <definedName name="charge_strtower08_CHARGE_TOTAL">DATA_fee_detail!$G$386</definedName>
    <definedName name="charge_strtower08_CHARGE_WARIMASHI">DATA_fee_detail!$G$385</definedName>
    <definedName name="charge_strtower09_CHARGE">DATA_fee_detail!$G$390</definedName>
    <definedName name="charge_strtower09_CHARGE_TOTAL">DATA_fee_detail!$G$392</definedName>
    <definedName name="charge_strtower09_CHARGE_WARIMASHI">DATA_fee_detail!$G$391</definedName>
    <definedName name="charge_strtower10_CHARGE">DATA_fee_detail!$G$396</definedName>
    <definedName name="charge_strtower10_CHARGE_TOTAL">DATA_fee_detail!$G$398</definedName>
    <definedName name="charge_strtower10_CHARGE_WARIMASHI">DATA_fee_detail!$G$397</definedName>
    <definedName name="charge_strtower11_CHARGE">DATA_fee_detail!$G$402</definedName>
    <definedName name="charge_strtower11_CHARGE_TOTAL">DATA_fee_detail!$G$404</definedName>
    <definedName name="charge_strtower11_CHARGE_WARIMASHI">DATA_fee_detail!$G$403</definedName>
    <definedName name="charge_strtower12_CHARGE">DATA_fee_detail!$G$408</definedName>
    <definedName name="charge_strtower12_CHARGE_TOTAL">DATA_fee_detail!$G$410</definedName>
    <definedName name="charge_strtower12_CHARGE_WARIMASHI">DATA_fee_detail!$G$409</definedName>
    <definedName name="charge_strtower13_CHARGE">DATA_fee_detail!$G$414</definedName>
    <definedName name="charge_strtower13_CHARGE_TOTAL">DATA_fee_detail!$G$416</definedName>
    <definedName name="charge_strtower13_CHARGE_WARIMASHI">DATA_fee_detail!$G$415</definedName>
    <definedName name="charge_strtower14_CHARGE">DATA_fee_detail!$G$420</definedName>
    <definedName name="charge_strtower14_CHARGE_TOTAL">DATA_fee_detail!$G$422</definedName>
    <definedName name="charge_strtower14_CHARGE_WARIMASHI">DATA_fee_detail!$G$421</definedName>
    <definedName name="charge_strtower15_CHARGE">DATA_fee_detail!$G$426</definedName>
    <definedName name="charge_strtower15_CHARGE_TOTAL">DATA_fee_detail!$G$428</definedName>
    <definedName name="charge_strtower15_CHARGE_WARIMASHI">DATA_fee_detail!$G$427</definedName>
    <definedName name="charge_strtower16_CHARGE">DATA_fee_detail!$G$432</definedName>
    <definedName name="charge_strtower16_CHARGE_TOTAL">DATA_fee_detail!$G$434</definedName>
    <definedName name="charge_strtower16_CHARGE_WARIMASHI">DATA_fee_detail!$G$433</definedName>
    <definedName name="charge_strtower17_CHARGE">DATA_fee_detail!$G$438</definedName>
    <definedName name="charge_strtower17_CHARGE_TOTAL">DATA_fee_detail!$G$440</definedName>
    <definedName name="charge_strtower17_CHARGE_WARIMASHI">DATA_fee_detail!$G$439</definedName>
    <definedName name="charge_strtower18_CHARGE">DATA_fee_detail!$G$444</definedName>
    <definedName name="charge_strtower18_CHARGE_TOTAL">DATA_fee_detail!$G$446</definedName>
    <definedName name="charge_strtower18_CHARGE_WARIMASHI">DATA_fee_detail!$G$445</definedName>
    <definedName name="charge_strtower19_CHARGE">DATA_fee_detail!$G$450</definedName>
    <definedName name="charge_strtower19_CHARGE_TOTAL">DATA_fee_detail!$G$452</definedName>
    <definedName name="charge_strtower19_CHARGE_WARIMASHI">DATA_fee_detail!$G$451</definedName>
    <definedName name="charge_strtower20_CHARGE">DATA_fee_detail!$G$456</definedName>
    <definedName name="charge_strtower20_CHARGE_TOTAL">DATA_fee_detail!$G$458</definedName>
    <definedName name="charge_strtower20_CHARGE_WARIMASHI">DATA_fee_detail!$G$457</definedName>
    <definedName name="charge_strtower21_CHARGE">DATA_fee_detail!$G$462</definedName>
    <definedName name="charge_strtower21_CHARGE_TOTAL">DATA_fee_detail!$G$464</definedName>
    <definedName name="charge_strtower21_CHARGE_WARIMASHI">DATA_fee_detail!$G$463</definedName>
    <definedName name="charge_strtower22_CHARGE">DATA_fee_detail!$G$468</definedName>
    <definedName name="charge_strtower22_CHARGE_TOTAL">DATA_fee_detail!$G$470</definedName>
    <definedName name="charge_strtower22_CHARGE_WARIMASHI">DATA_fee_detail!$G$469</definedName>
    <definedName name="charge_strtower23_CHARGE">DATA_fee_detail!$G$474</definedName>
    <definedName name="charge_strtower23_CHARGE_TOTAL">DATA_fee_detail!$G$476</definedName>
    <definedName name="charge_strtower23_CHARGE_WARIMASHI">DATA_fee_detail!$G$475</definedName>
    <definedName name="charge_strtower24_CHARGE">DATA_fee_detail!$G$480</definedName>
    <definedName name="charge_strtower24_CHARGE_TOTAL">DATA_fee_detail!$G$482</definedName>
    <definedName name="charge_strtower24_CHARGE_WARIMASHI">DATA_fee_detail!$G$481</definedName>
    <definedName name="charge_strtower25_CHARGE">DATA_fee_detail!$G$486</definedName>
    <definedName name="charge_strtower25_CHARGE_TOTAL">DATA_fee_detail!$G$488</definedName>
    <definedName name="charge_strtower25_CHARGE_WARIMASHI">DATA_fee_detail!$G$487</definedName>
    <definedName name="charge_strtower26_CHARGE">DATA_fee_detail!$G$492</definedName>
    <definedName name="charge_strtower26_CHARGE_TOTAL">DATA_fee_detail!$G$494</definedName>
    <definedName name="charge_strtower26_CHARGE_WARIMASHI">DATA_fee_detail!$G$493</definedName>
    <definedName name="charge_strtower27_CHARGE">DATA_fee_detail!$G$498</definedName>
    <definedName name="charge_strtower27_CHARGE_TOTAL">DATA_fee_detail!$G$500</definedName>
    <definedName name="charge_strtower27_CHARGE_WARIMASHI">DATA_fee_detail!$G$499</definedName>
    <definedName name="charge_strtower28_CHARGE">DATA_fee_detail!$G$504</definedName>
    <definedName name="charge_strtower28_CHARGE_TOTAL">DATA_fee_detail!$G$506</definedName>
    <definedName name="charge_strtower28_CHARGE_WARIMASHI">DATA_fee_detail!$G$505</definedName>
    <definedName name="charge_strtower29_CHARGE">DATA_fee_detail!$G$510</definedName>
    <definedName name="charge_strtower29_CHARGE_TOTAL">DATA_fee_detail!$G$512</definedName>
    <definedName name="charge_strtower29_CHARGE_WARIMASHI">DATA_fee_detail!$G$511</definedName>
    <definedName name="charge_strtower30_CHARGE">DATA_fee_detail!$G$516</definedName>
    <definedName name="charge_strtower30_CHARGE_TOTAL">DATA_fee_detail!$G$518</definedName>
    <definedName name="charge_strtower30_CHARGE_WARIMASHI">DATA_fee_detail!$G$517</definedName>
    <definedName name="charge_TIIKIWARIMASHI_CHARGE">DATA_fee_detail!$G$273</definedName>
    <definedName name="charge_ZERO_FLAG">DATA_fee_detail!$G$248</definedName>
    <definedName name="check_KIND__movement">dCHECK_SHEET!$AJ$1</definedName>
    <definedName name="chek_KOUJI_youto_iten_moyou">dDATA_cst!$I$210</definedName>
    <definedName name="chek_shinsei_INSPECTION_TYPE_alter">DATA!$J$87</definedName>
    <definedName name="chng_DAY_MonthDay_disp">dDATA_cst!$I$151</definedName>
    <definedName name="chng_DAY_MonthDay_disp_tokyo">dDATA_cst!$I$150</definedName>
    <definedName name="chng_HIKIUKE_SOUFU_TANTOU_title">dDATA_cst!$I$156</definedName>
    <definedName name="chng_OWNER_COUNT_VALUE__issue">dDATA_cst!$I$137</definedName>
    <definedName name="chng_OWNER_COUNT_VALUE__report">dDATA_cst!$I$133</definedName>
    <definedName name="chng_OWNER_renmei_one__issue">dDATA_cst!$I$135</definedName>
    <definedName name="chng_OWNER_renmei_one__report">dDATA_cst!$I$131</definedName>
    <definedName name="chng_OWNER_renmei_one_space__issue">dDATA_cst!$I$136</definedName>
    <definedName name="city_city">DATA!$H$112</definedName>
    <definedName name="city_CITY_KIND">DATA!$H$138</definedName>
    <definedName name="city_CITY_PUBLIC_OFFICE_ID__DEPART_NAME">DATA!$H$151</definedName>
    <definedName name="city_CITY_PUBLIC_OFFICE_ID__FAX">DATA!$H$152</definedName>
    <definedName name="city_CITY_PUBLIC_OFFICE_ID__GYOUSEI_NAME">DATA!$H$154</definedName>
    <definedName name="city_CITY_PUBLIC_OFFICE_ID__NAME">DATA!$H$150</definedName>
    <definedName name="city_CITY_PUBLIC_OFFICE_ID__SYUJI_NAME">DATA!$H$153</definedName>
    <definedName name="city_FIRE_STATION_ID__DEPART_NAME">DATA!$H$127</definedName>
    <definedName name="city_FIRE_STATION_ID__DEST_NAME">DATA!$H$128</definedName>
    <definedName name="city_FIRE_STATION_ID__NAME">DATA!$H$126</definedName>
    <definedName name="city_HEALTH_CENTER_ID__DEST_NAME">DATA!$H$135</definedName>
    <definedName name="city_HEALTH_CENTER_ID__NAME">DATA!$H$133</definedName>
    <definedName name="city_HEALTH_CENTER_ID__PURIFIER_TANK_DEST_NAME">DATA!$H$134</definedName>
    <definedName name="city_ken">DATA!$H$111</definedName>
    <definedName name="city_KEN_PUBLIC_OFFICE_ID__DEPART_NAME">DATA!$H$172</definedName>
    <definedName name="city_KEN_PUBLIC_OFFICE_ID__FAX">DATA!$H$173</definedName>
    <definedName name="city_KEN_PUBLIC_OFFICE_ID__GYOUSEI_NAME">DATA!$H$175</definedName>
    <definedName name="city_KEN_PUBLIC_OFFICE_ID__NAME">DATA!$H$171</definedName>
    <definedName name="city_KEN_PUBLIC_OFFICE_ID__SYUJI_NAME">DATA!$H$174</definedName>
    <definedName name="city_KEN1_PUBLIC_OFFICE_ID__DEPART_NAME">DATA!$H$158</definedName>
    <definedName name="city_KEN1_PUBLIC_OFFICE_ID__FAX">DATA!$H$159</definedName>
    <definedName name="city_KEN1_PUBLIC_OFFICE_ID__GYOUSEI_NAME">DATA!$H$161</definedName>
    <definedName name="city_KEN1_PUBLIC_OFFICE_ID__NAME">DATA!$H$157</definedName>
    <definedName name="city_KEN1_PUBLIC_OFFICE_ID__SYUJI_NAME">DATA!$H$160</definedName>
    <definedName name="city_KEN2_PUBLIC_OFFICE_ID__DEPART_NAME">DATA!$H$165</definedName>
    <definedName name="city_KEN2_PUBLIC_OFFICE_ID__FAX">DATA!$H$166</definedName>
    <definedName name="city_KEN2_PUBLIC_OFFICE_ID__GYOUSEI_NAME">DATA!$H$168</definedName>
    <definedName name="city_KEN2_PUBLIC_OFFICE_ID__NAME">DATA!$H$164</definedName>
    <definedName name="city_KEN2_PUBLIC_OFFICE_ID__SYUJI_NAME">DATA!$H$167</definedName>
    <definedName name="city_street">DATA!$H$116</definedName>
    <definedName name="city_town">DATA!$H$115</definedName>
    <definedName name="cng_NOTIFY_DATE_Keteidekinai_jouban">dDATA_cst!$I$175</definedName>
    <definedName name="cng_NOTIFY_DATE_Keteidekinai_mongon">dDATA_cst!$I$183</definedName>
    <definedName name="cng_NOTIFY_DATE_Tekigousinai_jouban">dDATA_cst!$I$192</definedName>
    <definedName name="cng_NOTIFY_DATE_Tekigousinai_mongon">dDATA_cst!$I$200</definedName>
    <definedName name="config_ACCOUNT_NO">DATA!$H$19</definedName>
    <definedName name="config_ACCOUNT_TYPE">DATA!$H$18</definedName>
    <definedName name="config_BANK_BRANCH_NAME">DATA!$H$17</definedName>
    <definedName name="config_BANK_NAME">DATA!$H$16</definedName>
    <definedName name="config_CUSTOM_CODE">DATA!$H$21</definedName>
    <definedName name="config_CUSTOM_TYPE">DATA!$H$20</definedName>
    <definedName name="config_PRESENTER_ADDRESS">DATA!$H$12</definedName>
    <definedName name="config_PRESENTER_ADDRESS2">DATA!$H$13</definedName>
    <definedName name="config_PRESENTER_CORP">DATA!$H$10</definedName>
    <definedName name="config_PRESENTER_CORPTYPE">DATA!$H$9</definedName>
    <definedName name="config_PRESENTER_DAIHYOSYA">DATA!$H$11</definedName>
    <definedName name="config_PRESENTER_TEL">DATA!$H$14</definedName>
    <definedName name="cst__button_kind">DATA!$J$92</definedName>
    <definedName name="cst__button_kind__select">DATA!$J$90</definedName>
    <definedName name="cst__button_no">DATA!$J$94</definedName>
    <definedName name="cst_applicant_address_all">DATA!$J$447</definedName>
    <definedName name="cst_applicant_all__char">DATA!$J$454</definedName>
    <definedName name="cst_applicant_all__char_row_sama">DATA!$J$456</definedName>
    <definedName name="cst_applicant_all__char_sama">DATA!$J$455</definedName>
    <definedName name="cst_applicant_all__space">DATA!$J$450</definedName>
    <definedName name="cst_applicant_all__space_sama">DATA!$J$451</definedName>
    <definedName name="cst_applicant1__char">DATA!$J$363</definedName>
    <definedName name="cst_applicant1__char_sama">DATA!$J$373</definedName>
    <definedName name="cst_applicant1__check">DATA!$J$383</definedName>
    <definedName name="cst_applicant1__space">DATA!$J$343</definedName>
    <definedName name="cst_applicant1__space_sama">DATA!$J$353</definedName>
    <definedName name="cst_applicant1_address">DATA!$J$392</definedName>
    <definedName name="cst_applicant2__char">DATA!$J$364</definedName>
    <definedName name="cst_applicant2__char__add_char">DATA!$J$420</definedName>
    <definedName name="cst_applicant2__char_sama">DATA!$J$374</definedName>
    <definedName name="cst_applicant2__char_sama__add_char">DATA!$J$429</definedName>
    <definedName name="cst_applicant2__char_sama__add_char_row">DATA!$J$438</definedName>
    <definedName name="cst_applicant2__check">DATA!$J$384</definedName>
    <definedName name="cst_applicant2__space">DATA!$J$344</definedName>
    <definedName name="cst_applicant2__space__add_char">DATA!$J$402</definedName>
    <definedName name="cst_applicant2__space_sama">DATA!$J$354</definedName>
    <definedName name="cst_applicant2__space_sama__add_char">DATA!$J$411</definedName>
    <definedName name="cst_applicant2_address__add_char">DATA!$J$393</definedName>
    <definedName name="cst_applicant3__char">DATA!$J$365</definedName>
    <definedName name="cst_applicant3__char__add_char">DATA!$J$421</definedName>
    <definedName name="cst_applicant3__char_sama">DATA!$J$375</definedName>
    <definedName name="cst_applicant3__char_sama__add_char">DATA!$J$430</definedName>
    <definedName name="cst_applicant3__char_sama__add_char_row">DATA!$J$439</definedName>
    <definedName name="cst_applicant3__check">DATA!$J$385</definedName>
    <definedName name="cst_applicant3__space">DATA!$J$345</definedName>
    <definedName name="cst_applicant3__space__add_char">DATA!$J$403</definedName>
    <definedName name="cst_applicant3__space_sama">DATA!$J$355</definedName>
    <definedName name="cst_applicant3__space_sama__add_char">DATA!$J$412</definedName>
    <definedName name="cst_applicant3_address__add_char">DATA!$J$394</definedName>
    <definedName name="cst_applicant4__char">DATA!$J$366</definedName>
    <definedName name="cst_applicant4__char__add_char">DATA!$J$422</definedName>
    <definedName name="cst_applicant4__char_sama">DATA!$J$376</definedName>
    <definedName name="cst_applicant4__char_sama__add_char">DATA!$J$431</definedName>
    <definedName name="cst_applicant4__char_sama__add_char_row">DATA!$J$440</definedName>
    <definedName name="cst_applicant4__check">DATA!$J$386</definedName>
    <definedName name="cst_applicant4__space">DATA!$J$346</definedName>
    <definedName name="cst_applicant4__space__add_char">DATA!$J$404</definedName>
    <definedName name="cst_applicant4__space_sama">DATA!$J$356</definedName>
    <definedName name="cst_applicant4__space_sama__add_char">DATA!$J$413</definedName>
    <definedName name="cst_applicant4_address__add_char">DATA!$J$395</definedName>
    <definedName name="cst_applicant5__char">DATA!$J$367</definedName>
    <definedName name="cst_applicant5__char__add_char">DATA!$J$423</definedName>
    <definedName name="cst_applicant5__char_sama">DATA!$J$377</definedName>
    <definedName name="cst_applicant5__char_sama__add_char">DATA!$J$432</definedName>
    <definedName name="cst_applicant5__char_sama__add_char_row">DATA!$J$441</definedName>
    <definedName name="cst_applicant5__check">DATA!$J$387</definedName>
    <definedName name="cst_applicant5__space">DATA!$J$347</definedName>
    <definedName name="cst_applicant5__space__add_char">DATA!$J$405</definedName>
    <definedName name="cst_applicant5__space_sama">DATA!$J$357</definedName>
    <definedName name="cst_applicant5__space_sama__add_char">DATA!$J$414</definedName>
    <definedName name="cst_applicant5_address__add_char">DATA!$J$396</definedName>
    <definedName name="cst_applicant6__char">DATA!$J$368</definedName>
    <definedName name="cst_applicant6__char__add_char">DATA!$J$424</definedName>
    <definedName name="cst_applicant6__char_sama">DATA!$J$378</definedName>
    <definedName name="cst_applicant6__char_sama__add_char">DATA!$J$433</definedName>
    <definedName name="cst_applicant6__char_sama__add_char_row">DATA!$J$442</definedName>
    <definedName name="cst_applicant6__check">DATA!$J$388</definedName>
    <definedName name="cst_applicant6__space">DATA!$J$348</definedName>
    <definedName name="cst_applicant6__space__add_char">DATA!$J$406</definedName>
    <definedName name="cst_applicant6__space_sama">DATA!$J$358</definedName>
    <definedName name="cst_applicant6__space_sama__add_char">DATA!$J$415</definedName>
    <definedName name="cst_applicant6_address__add_char">DATA!$J$397</definedName>
    <definedName name="cst_applicant7__char">DATA!$J$369</definedName>
    <definedName name="cst_applicant7__char__add_char">DATA!$J$425</definedName>
    <definedName name="cst_applicant7__char_sama">DATA!$J$379</definedName>
    <definedName name="cst_applicant7__char_sama__add_char">DATA!$J$434</definedName>
    <definedName name="cst_applicant7__char_sama__add_char_row">DATA!$J$443</definedName>
    <definedName name="cst_applicant7__space">DATA!$J$349</definedName>
    <definedName name="cst_applicant7__space__add_char">DATA!$J$407</definedName>
    <definedName name="cst_applicant7__space_sama">DATA!$J$359</definedName>
    <definedName name="cst_applicant7__space_sama__add_char">DATA!$J$416</definedName>
    <definedName name="cst_applicant7_address__add_char">DATA!$J$398</definedName>
    <definedName name="cst_BASIC_CHARGE__alter">dDATA_cst!$I$215</definedName>
    <definedName name="cst_BASIC_CHARGE__kakunin">dDATA_cst!$I$214</definedName>
    <definedName name="cst_BASIC_CHARGE__youto_iten_moyou">dDATA_cst!$I$216</definedName>
    <definedName name="cst_buildobject__shinsei_build_kouji">DATA!$J$1447</definedName>
    <definedName name="cst_CHARGE__BASIC_MEISAI_GOUKEI">DATA_fee_detail!$I$49</definedName>
    <definedName name="cst_CHARGE__BASIC_MEISAI_GOUKEI__text">DATA_fee_detail!$I$50</definedName>
    <definedName name="cst_CHARGE_DETAIL_hinananzen_fee">dDATA_cst!$I$224</definedName>
    <definedName name="cst_CHARGE_DETAIL_waribiki_fee">dDATA_cst!$I$226</definedName>
    <definedName name="cst_CHARGE_DETAIL_waribiki_fee_plus">dDATA_cst!$I$227</definedName>
    <definedName name="cst_CHARGE_ID2_STR_CHARGE">DATA_fee_detail!$I$174</definedName>
    <definedName name="cst_charge_income_INCOME_DATE">DATA_fee_detail!$I$338</definedName>
    <definedName name="cst_charge_income_INCOME_MONEY">DATA_fee_detail!$I$339</definedName>
    <definedName name="cst_charge_income01_INCOME_DATE">DATA_fee_detail!$I$331</definedName>
    <definedName name="cst_charge_income01_INCOME_MONEY">DATA_fee_detail!$I$334</definedName>
    <definedName name="cst_charge_income02_INCOME_DATE">DATA_fee_detail!$I$332</definedName>
    <definedName name="cst_charge_income02_INCOME_MONEY">DATA_fee_detail!$I$335</definedName>
    <definedName name="cst_charge_income03_INCOME_DATE">DATA_fee_detail!$I$333</definedName>
    <definedName name="cst_charge_income03_INCOME_MONEY">DATA_fee_detail!$I$336</definedName>
    <definedName name="cst_CHARGE_MEISAI_GOUKEI">DATA_fee_detail!$I$48</definedName>
    <definedName name="cst_charge_meisai01_SYOUKEI">DATA_fee_detail!$I$278</definedName>
    <definedName name="cst_charge_meisai02_SYOUKEI">DATA_fee_detail!$I$283</definedName>
    <definedName name="cst_charge_meisai03_SYOUKEI">DATA_fee_detail!$I$288</definedName>
    <definedName name="cst_charge_meisai04_SYOUKEI">DATA_fee_detail!$I$293</definedName>
    <definedName name="cst_charge_meisai05_SYOUKEI">DATA_fee_detail!$I$298</definedName>
    <definedName name="cst_charge_meisai06_SYOUKEI">DATA_fee_detail!$I$303</definedName>
    <definedName name="cst_charge_meisai07_SYOUKEI">DATA_fee_detail!$I$308</definedName>
    <definedName name="cst_charge_meisai08_SYOUKEI">DATA_fee_detail!$I$313</definedName>
    <definedName name="cst_charge_meisai09_SYOUKEI">DATA_fee_detail!$I$318</definedName>
    <definedName name="cst_charge_meisai10_SYOUKEI">DATA_fee_detail!$I$323</definedName>
    <definedName name="cst_charge_meisai11_SYOUKEI">DATA_fee_detail!$I$328</definedName>
    <definedName name="cst_charge_RECEIPT_DATE">DATA_fee_detail!$I$253</definedName>
    <definedName name="cst_charge_RECEIPT_PRICE">DATA_fee_detail!$I$249</definedName>
    <definedName name="cst_charge_STR_CHARGE">DATA_fee_detail!$I$263</definedName>
    <definedName name="cst_charge_STR_CHARGE_WARIMASHI">DATA_fee_detail!$I$269</definedName>
    <definedName name="cst_charge_strtower01_CHARGE">DATA_fee_detail!$I$342</definedName>
    <definedName name="cst_charge_strtower01_CHARGE__ctrl">DATA_fee_detail!$I$345</definedName>
    <definedName name="cst_charge_strtower01_CHARGE_TOTAL">DATA_fee_detail!$I$344</definedName>
    <definedName name="cst_charge_strtower01_CHARGE_WARIMASHI">DATA_fee_detail!$I$343</definedName>
    <definedName name="cst_charge_strtower02_CHARGE">DATA_fee_detail!$I$348</definedName>
    <definedName name="cst_charge_strtower02_CHARGE__ctrl">DATA_fee_detail!$I$351</definedName>
    <definedName name="cst_charge_strtower02_CHARGE_TOTAL">DATA_fee_detail!$I$350</definedName>
    <definedName name="cst_charge_strtower02_CHARGE_WARIMASHI">DATA_fee_detail!$I$349</definedName>
    <definedName name="cst_charge_strtower03_CHARGE">DATA_fee_detail!$I$354</definedName>
    <definedName name="cst_charge_strtower03_CHARGE__ctrl">DATA_fee_detail!$I$357</definedName>
    <definedName name="cst_charge_strtower03_CHARGE_TOTAL">DATA_fee_detail!$I$356</definedName>
    <definedName name="cst_charge_strtower03_CHARGE_WARIMASHI">DATA_fee_detail!$I$355</definedName>
    <definedName name="cst_charge_strtower04_CHARGE">DATA_fee_detail!$I$360</definedName>
    <definedName name="cst_charge_strtower04_CHARGE__ctrl">DATA_fee_detail!$I$363</definedName>
    <definedName name="cst_charge_strtower04_CHARGE_TOTAL">DATA_fee_detail!$I$362</definedName>
    <definedName name="cst_charge_strtower04_CHARGE_WARIMASHI">DATA_fee_detail!$I$361</definedName>
    <definedName name="cst_charge_strtower05_CHARGE">DATA_fee_detail!$I$366</definedName>
    <definedName name="cst_charge_strtower05_CHARGE__ctrl">DATA_fee_detail!$I$369</definedName>
    <definedName name="cst_charge_strtower05_CHARGE_TOTAL">DATA_fee_detail!$I$368</definedName>
    <definedName name="cst_charge_strtower05_CHARGE_WARIMASHI">DATA_fee_detail!$I$367</definedName>
    <definedName name="cst_charge_strtower06_CHARGE">DATA_fee_detail!$I$372</definedName>
    <definedName name="cst_charge_strtower06_CHARGE__ctrl">DATA_fee_detail!$I$375</definedName>
    <definedName name="cst_charge_strtower06_CHARGE_TOTAL">DATA_fee_detail!$I$374</definedName>
    <definedName name="cst_charge_strtower06_CHARGE_WARIMASHI">DATA_fee_detail!$I$373</definedName>
    <definedName name="cst_charge_strtower07_CHARGE">DATA_fee_detail!$I$378</definedName>
    <definedName name="cst_charge_strtower07_CHARGE__ctrl">DATA_fee_detail!$I$381</definedName>
    <definedName name="cst_charge_strtower07_CHARGE_TOTAL">DATA_fee_detail!$I$380</definedName>
    <definedName name="cst_charge_strtower07_CHARGE_WARIMASHI">DATA_fee_detail!$I$379</definedName>
    <definedName name="cst_charge_strtower08_CHARGE">DATA_fee_detail!$I$384</definedName>
    <definedName name="cst_charge_strtower08_CHARGE__ctrl">DATA_fee_detail!$I$387</definedName>
    <definedName name="cst_charge_strtower08_CHARGE_TOTAL">DATA_fee_detail!$I$386</definedName>
    <definedName name="cst_charge_strtower08_CHARGE_WARIMASHI">DATA_fee_detail!$I$385</definedName>
    <definedName name="cst_charge_strtower09_CHARGE">DATA_fee_detail!$I$390</definedName>
    <definedName name="cst_charge_strtower09_CHARGE__ctrl">DATA_fee_detail!$I$393</definedName>
    <definedName name="cst_charge_strtower09_CHARGE_TOTAL">DATA_fee_detail!$I$392</definedName>
    <definedName name="cst_charge_strtower09_CHARGE_WARIMASHI">DATA_fee_detail!$I$391</definedName>
    <definedName name="cst_charge_strtower10_CHARGE">DATA_fee_detail!$I$396</definedName>
    <definedName name="cst_charge_strtower10_CHARGE__ctrl">DATA_fee_detail!$I$399</definedName>
    <definedName name="cst_charge_strtower10_CHARGE_TOTAL">DATA_fee_detail!$I$398</definedName>
    <definedName name="cst_charge_strtower10_CHARGE_WARIMASHI">DATA_fee_detail!$I$397</definedName>
    <definedName name="cst_charge_strtower11_CHARGE">DATA_fee_detail!$I$402</definedName>
    <definedName name="cst_charge_strtower11_CHARGE__ctrl">DATA_fee_detail!$I$405</definedName>
    <definedName name="cst_charge_strtower11_CHARGE_TOTAL">DATA_fee_detail!$I$404</definedName>
    <definedName name="cst_charge_strtower11_CHARGE_WARIMASHI">DATA_fee_detail!$I$403</definedName>
    <definedName name="cst_charge_strtower12_CHARGE">DATA_fee_detail!$I$408</definedName>
    <definedName name="cst_charge_strtower12_CHARGE__ctrl">DATA_fee_detail!$I$411</definedName>
    <definedName name="cst_charge_strtower12_CHARGE_TOTAL">DATA_fee_detail!$I$410</definedName>
    <definedName name="cst_charge_strtower12_CHARGE_WARIMASHI">DATA_fee_detail!$I$409</definedName>
    <definedName name="cst_charge_strtower13_CHARGE">DATA_fee_detail!$I$414</definedName>
    <definedName name="cst_charge_strtower13_CHARGE__ctrl">DATA_fee_detail!$I$417</definedName>
    <definedName name="cst_charge_strtower13_CHARGE_TOTAL">DATA_fee_detail!$I$416</definedName>
    <definedName name="cst_charge_strtower13_CHARGE_WARIMASHI">DATA_fee_detail!$I$415</definedName>
    <definedName name="cst_charge_strtower14_CHARGE">DATA_fee_detail!$I$420</definedName>
    <definedName name="cst_charge_strtower14_CHARGE__ctrl">DATA_fee_detail!$I$423</definedName>
    <definedName name="cst_charge_strtower14_CHARGE_TOTAL">DATA_fee_detail!$I$422</definedName>
    <definedName name="cst_charge_strtower14_CHARGE_WARIMASHI">DATA_fee_detail!$I$421</definedName>
    <definedName name="cst_charge_strtower15_CHARGE">DATA_fee_detail!$I$426</definedName>
    <definedName name="cst_charge_strtower15_CHARGE__ctrl">DATA_fee_detail!$I$429</definedName>
    <definedName name="cst_charge_strtower15_CHARGE_TOTAL">DATA_fee_detail!$I$428</definedName>
    <definedName name="cst_charge_strtower15_CHARGE_WARIMASHI">DATA_fee_detail!$I$427</definedName>
    <definedName name="cst_charge_strtower16_CHARGE">DATA_fee_detail!$I$432</definedName>
    <definedName name="cst_charge_strtower16_CHARGE__ctrl">DATA_fee_detail!$I$435</definedName>
    <definedName name="cst_charge_strtower16_CHARGE_TOTAL">DATA_fee_detail!$I$434</definedName>
    <definedName name="cst_charge_strtower16_CHARGE_WARIMASHI">DATA_fee_detail!$I$433</definedName>
    <definedName name="cst_charge_strtower17_CHARGE">DATA_fee_detail!$I$438</definedName>
    <definedName name="cst_charge_strtower17_CHARGE__ctrl">DATA_fee_detail!$I$441</definedName>
    <definedName name="cst_charge_strtower17_CHARGE_TOTAL">DATA_fee_detail!$I$440</definedName>
    <definedName name="cst_charge_strtower17_CHARGE_WARIMASHI">DATA_fee_detail!$I$439</definedName>
    <definedName name="cst_charge_strtower18_CHARGE">DATA_fee_detail!$I$444</definedName>
    <definedName name="cst_charge_strtower18_CHARGE__ctrl">DATA_fee_detail!$I$447</definedName>
    <definedName name="cst_charge_strtower18_CHARGE_TOTAL">DATA_fee_detail!$I$446</definedName>
    <definedName name="cst_charge_strtower18_CHARGE_WARIMASHI">DATA_fee_detail!$I$445</definedName>
    <definedName name="cst_charge_strtower19_CHARGE">DATA_fee_detail!$I$450</definedName>
    <definedName name="cst_charge_strtower19_CHARGE__ctrl">DATA_fee_detail!$I$453</definedName>
    <definedName name="cst_charge_strtower19_CHARGE_TOTAL">DATA_fee_detail!$I$452</definedName>
    <definedName name="cst_charge_strtower19_CHARGE_WARIMASHI">DATA_fee_detail!$I$451</definedName>
    <definedName name="cst_charge_strtower20_CHARGE">DATA_fee_detail!$I$456</definedName>
    <definedName name="cst_charge_strtower20_CHARGE__ctrl">DATA_fee_detail!$I$459</definedName>
    <definedName name="cst_charge_strtower20_CHARGE_TOTAL">DATA_fee_detail!$I$458</definedName>
    <definedName name="cst_charge_strtower20_CHARGE_WARIMASHI">DATA_fee_detail!$I$457</definedName>
    <definedName name="cst_charge_strtower21_CHARGE">DATA_fee_detail!$I$462</definedName>
    <definedName name="cst_charge_strtower21_CHARGE__ctrl">DATA_fee_detail!$I$465</definedName>
    <definedName name="cst_charge_strtower21_CHARGE_TOTAL">DATA_fee_detail!$I$464</definedName>
    <definedName name="cst_charge_strtower21_CHARGE_WARIMASHI">DATA_fee_detail!$I$463</definedName>
    <definedName name="cst_charge_strtower22_CHARGE">DATA_fee_detail!$I$468</definedName>
    <definedName name="cst_charge_strtower22_CHARGE__ctrl">DATA_fee_detail!$I$471</definedName>
    <definedName name="cst_charge_strtower22_CHARGE_TOTAL">DATA_fee_detail!$I$470</definedName>
    <definedName name="cst_charge_strtower22_CHARGE_WARIMASHI">DATA_fee_detail!$I$469</definedName>
    <definedName name="cst_charge_strtower23_CHARGE">DATA_fee_detail!$I$474</definedName>
    <definedName name="cst_charge_strtower23_CHARGE__ctrl">DATA_fee_detail!$I$477</definedName>
    <definedName name="cst_charge_strtower23_CHARGE_TOTAL">DATA_fee_detail!$I$476</definedName>
    <definedName name="cst_charge_strtower23_CHARGE_WARIMASHI">DATA_fee_detail!$I$475</definedName>
    <definedName name="cst_charge_strtower24_CHARGE">DATA_fee_detail!$I$480</definedName>
    <definedName name="cst_charge_strtower24_CHARGE__ctrl">DATA_fee_detail!$I$483</definedName>
    <definedName name="cst_charge_strtower24_CHARGE_TOTAL">DATA_fee_detail!$I$482</definedName>
    <definedName name="cst_charge_strtower24_CHARGE_WARIMASHI">DATA_fee_detail!$I$481</definedName>
    <definedName name="cst_charge_strtower25_CHARGE">DATA_fee_detail!$I$486</definedName>
    <definedName name="cst_charge_strtower25_CHARGE__ctrl">DATA_fee_detail!$I$489</definedName>
    <definedName name="cst_charge_strtower25_CHARGE_TOTAL">DATA_fee_detail!$I$488</definedName>
    <definedName name="cst_charge_strtower25_CHARGE_WARIMASHI">DATA_fee_detail!$I$487</definedName>
    <definedName name="cst_charge_strtower26_CHARGE">DATA_fee_detail!$I$492</definedName>
    <definedName name="cst_charge_strtower26_CHARGE__ctrl">DATA_fee_detail!$I$495</definedName>
    <definedName name="cst_charge_strtower26_CHARGE_TOTAL">DATA_fee_detail!$I$494</definedName>
    <definedName name="cst_charge_strtower26_CHARGE_WARIMASHI">DATA_fee_detail!$I$493</definedName>
    <definedName name="cst_charge_strtower27_CHARGE">DATA_fee_detail!$I$498</definedName>
    <definedName name="cst_charge_strtower27_CHARGE__ctrl">DATA_fee_detail!$I$501</definedName>
    <definedName name="cst_charge_strtower27_CHARGE_TOTAL">DATA_fee_detail!$I$500</definedName>
    <definedName name="cst_charge_strtower27_CHARGE_WARIMASHI">DATA_fee_detail!$I$499</definedName>
    <definedName name="cst_charge_strtower28_CHARGE">DATA_fee_detail!$I$504</definedName>
    <definedName name="cst_charge_strtower28_CHARGE__ctrl">DATA_fee_detail!$I$507</definedName>
    <definedName name="cst_charge_strtower28_CHARGE_TOTAL">DATA_fee_detail!$I$506</definedName>
    <definedName name="cst_charge_strtower28_CHARGE_WARIMASHI">DATA_fee_detail!$I$505</definedName>
    <definedName name="cst_charge_strtower29_CHARGE">DATA_fee_detail!$I$510</definedName>
    <definedName name="cst_charge_strtower29_CHARGE__ctrl">DATA_fee_detail!$I$513</definedName>
    <definedName name="cst_charge_strtower29_CHARGE_TOTAL">DATA_fee_detail!$I$512</definedName>
    <definedName name="cst_charge_strtower29_CHARGE_WARIMASHI">DATA_fee_detail!$I$511</definedName>
    <definedName name="cst_charge_strtower30_CHARGE">DATA_fee_detail!$I$516</definedName>
    <definedName name="cst_charge_strtower30_CHARGE__ctrl">DATA_fee_detail!$I$519</definedName>
    <definedName name="cst_charge_strtower30_CHARGE_TOTAL">DATA_fee_detail!$I$518</definedName>
    <definedName name="cst_charge_strtower30_CHARGE_WARIMASHI">DATA_fee_detail!$I$517</definedName>
    <definedName name="cst_charge_TIIKIWARIMASHI_CHARGE">DATA_fee_detail!$I$273</definedName>
    <definedName name="cst_charge_ZOUGEN_nomi_CHARGE__total">DATA_fee_detail!$I$267</definedName>
    <definedName name="cst_CHECK_SHEET_ERROR_VALUE">dCHECK_SHEET_calc!$H$6</definedName>
    <definedName name="cst_CHECK_SHEET_INPUT_VALUE">dCHECK_SHEET_calc!$H$5</definedName>
    <definedName name="cst_city_city">DATA!$J$112</definedName>
    <definedName name="cst_city_CITY_KIND">DATA!$J$138</definedName>
    <definedName name="cst_city_CITY_PUBLIC_OFFICE_ID__DEPART_NAME">DATA!$J$151</definedName>
    <definedName name="cst_city_CITY_PUBLIC_OFFICE_ID__FAX">DATA!$J$152</definedName>
    <definedName name="cst_city_CITY_PUBLIC_OFFICE_ID__GYOUSEI_NAME">DATA!$J$154</definedName>
    <definedName name="cst_city_CITY_PUBLIC_OFFICE_ID__NAME">DATA!$J$150</definedName>
    <definedName name="cst_city_CITY_PUBLIC_OFFICE_ID__SYUJI_NAME">DATA!$J$153</definedName>
    <definedName name="cst_city_city2">DATA!$J$113</definedName>
    <definedName name="cst_city_city3">DATA!$J$114</definedName>
    <definedName name="cst_city_FIRE_STATION_ID__DEPART_NAME">DATA!$J$127</definedName>
    <definedName name="cst_city_FIRE_STATION_ID__DEST_NAME">DATA!$J$128</definedName>
    <definedName name="cst_city_FIRE_STATION_ID__DEST_NAME__disp">DATA!$J$129</definedName>
    <definedName name="cst_city_FIRE_STATION_ID__DEST_NAME_Decision">dFIRESTATION_info!$C$67</definedName>
    <definedName name="cst_city_FIRE_STATION_ID__DEST_NAME_Decision__add_code">dFIRESTATION_info!$C$68</definedName>
    <definedName name="cst_city_FIRE_STATION_ID__DEST_NAME_ev__disp">DATA!$J$130</definedName>
    <definedName name="cst_city_FIRE_STATION_ID__NAME">DATA!$J$126</definedName>
    <definedName name="cst_city_FIRE_STATION_ID__NAME_Decision">dFIRESTATION_info!$C$66</definedName>
    <definedName name="cst_city_HEALTH_CENTER_ID__DEST_NAME">DATA!$J$135</definedName>
    <definedName name="cst_city_ken">DATA!$J$111</definedName>
    <definedName name="cst_city_KEN_PUBLIC_OFFICE_ID__DEPART_NAME">DATA!$J$172</definedName>
    <definedName name="cst_city_KEN_PUBLIC_OFFICE_ID__FAX">DATA!$J$173</definedName>
    <definedName name="cst_city_KEN_PUBLIC_OFFICE_ID__GYOUSEI_NAME">DATA!$J$175</definedName>
    <definedName name="cst_city_KEN_PUBLIC_OFFICE_ID__NAME">DATA!$J$171</definedName>
    <definedName name="cst_city_KEN_PUBLIC_OFFICE_ID__SYUJI_NAME">DATA!$J$174</definedName>
    <definedName name="cst_city_KEN1_PUBLIC_OFFICE_ID__DEPART_NAME">DATA!$J$158</definedName>
    <definedName name="cst_city_KEN1_PUBLIC_OFFICE_ID__FAX">DATA!$J$159</definedName>
    <definedName name="cst_city_KEN1_PUBLIC_OFFICE_ID__GYOUSEI_NAME">DATA!$J$161</definedName>
    <definedName name="cst_city_KEN1_PUBLIC_OFFICE_ID__NAME">DATA!$J$157</definedName>
    <definedName name="cst_city_KEN1_PUBLIC_OFFICE_ID__SYUJI_NAME">DATA!$J$160</definedName>
    <definedName name="cst_city_KEN2_PUBLIC_OFFICE_ID__DEPART_NAME">DATA!$J$165</definedName>
    <definedName name="cst_city_KEN2_PUBLIC_OFFICE_ID__FAX">DATA!$J$166</definedName>
    <definedName name="cst_city_KEN2_PUBLIC_OFFICE_ID__GYOUSEI_NAME">DATA!$J$168</definedName>
    <definedName name="cst_city_KEN2_PUBLIC_OFFICE_ID__NAME">DATA!$J$164</definedName>
    <definedName name="cst_city_KEN2_PUBLIC_OFFICE_ID__SYUJI_NAME">DATA!$J$167</definedName>
    <definedName name="cst_city_street">DATA!$J$116</definedName>
    <definedName name="cst_city_town">DATA!$J$115</definedName>
    <definedName name="cst_CityInfo">dFIRESTATION_info!$C$24</definedName>
    <definedName name="cst_config_CUSTOM_CODE">DATA!$J$21</definedName>
    <definedName name="cst_config_PRESENTER_ADDRESS">DATA!$J$12</definedName>
    <definedName name="cst_cyokuzen_shinsei_FIRE_SUBMIT_DATE__d">DATA!$J$1662</definedName>
    <definedName name="cst_cyokuzen_shinsei_FIRE_SUBMIT_DATE__ge">DATA!$J$1660</definedName>
    <definedName name="cst_cyokuzen_shinsei_FIRE_SUBMIT_DATE__m">DATA!$J$1661</definedName>
    <definedName name="cst_DATA_COUNT">dCHECK_SHEET!$AJ$2</definedName>
    <definedName name="cst_DATE__dsp">DATA!$J$1494</definedName>
    <definedName name="cst_DATE_base_point">dCHECK_SHEET!$N$3</definedName>
    <definedName name="cst_DISP__date">DATA!$J$1495</definedName>
    <definedName name="cst_DISP__date_190430">DATA!$J$1498</definedName>
    <definedName name="cst_DISP__date_ee">DATA!$J$1496</definedName>
    <definedName name="cst_DISP__sign">DATA!$J$1537</definedName>
    <definedName name="cst_FIRE__base_point">dFIRESTATION_info!$A$73</definedName>
    <definedName name="cst_FIRE__city_erea">dFIRESTATION_info!$B$74:$B$100</definedName>
    <definedName name="cst_FIRE_CityInfo_Num">dFIRESTATION_info!$C$56</definedName>
    <definedName name="cst_FIRE_CombList_Point">dFIRESTATION_info!$A$40</definedName>
    <definedName name="cst_FIRE_CombList_value">dFIRESTATION_info!$C$64</definedName>
    <definedName name="cst_FIRE_ConditionJudge">dFIRESTATION_info!$C$60</definedName>
    <definedName name="cst_FIRE_IrregularJudge">dFIRESTATION_info!$C$58</definedName>
    <definedName name="cst_FIRE_JoukenMovement">dFIRESTATION_info!$C$62</definedName>
    <definedName name="cst_FIRE_ListKanMovement">dFIRESTATION_info!$C$63</definedName>
    <definedName name="cst_FIRE_SystemCheck">dFIRESTATION_info!$C$54</definedName>
    <definedName name="cst_firstconf_shinsei_strtower01_JUDGE">DATA!$J$1685</definedName>
    <definedName name="cst_flat35_ACCEPT_NO">DATA!$J$2291</definedName>
    <definedName name="cst_flat35_DI_ACCEPT_DATE">DATA!$J$2293</definedName>
    <definedName name="cst_flat35_DI_ACCEPT_DATE_dsp">DATA!$J$2294</definedName>
    <definedName name="cst_flat35_DI_ISSUE_DATE">DATA!$J$2295</definedName>
    <definedName name="cst_flat35_DI_ISSUE_DATE_dsp">DATA!$J$2296</definedName>
    <definedName name="cst_HEALTH_CENTER_NAME_disp">DATA!$J$136</definedName>
    <definedName name="cst_HIKIUKE_SOUFU__yakan">DATA!$J$1388</definedName>
    <definedName name="cst_HIKIUKE_TUUCHISAKI__disp">DATA!$J$1722</definedName>
    <definedName name="cst_HOUKOKUSAKI__disp">DATA!$J$1725</definedName>
    <definedName name="cst_Imposs_Notify_Sentence">dIMPOSSIBLE!$A$4</definedName>
    <definedName name="cst_JUDGE_OFFICE__erea__SEARCH_VALUE">dSTR_OFFICE_info!$K$87:$K$310</definedName>
    <definedName name="cst_JUDGE_OFFICE__erea__SIGN">dSTR_OFFICE_info!$B$87:$B$310</definedName>
    <definedName name="cst_JUDGE_OFFICE_A">dSTR_OFFICE_info!$C$87</definedName>
    <definedName name="cst_JUDGE_OFFICE_AA">dSTR_OFFICE_info!$C$224</definedName>
    <definedName name="cst_JUDGE_OFFICE_AB">dSTR_OFFICE_info!$C$229</definedName>
    <definedName name="cst_JUDGE_OFFICE_AC">dSTR_OFFICE_info!$C$234</definedName>
    <definedName name="cst_JUDGE_OFFICE_AD">dSTR_OFFICE_info!$C$240</definedName>
    <definedName name="cst_JUDGE_OFFICE_AE">dSTR_OFFICE_info!$C$245</definedName>
    <definedName name="cst_JUDGE_OFFICE_AF">dSTR_OFFICE_info!$C$250</definedName>
    <definedName name="cst_JUDGE_OFFICE_AG">dSTR_OFFICE_info!$C$255</definedName>
    <definedName name="cst_JUDGE_OFFICE_AH">dSTR_OFFICE_info!$C$260</definedName>
    <definedName name="cst_JUDGE_OFFICE_AI">dSTR_OFFICE_info!$C$265</definedName>
    <definedName name="cst_JUDGE_OFFICE_AJ">dSTR_OFFICE_info!$C$271</definedName>
    <definedName name="cst_JUDGE_OFFICE_AK">dSTR_OFFICE_info!$C$276</definedName>
    <definedName name="cst_JUDGE_OFFICE_AL">dSTR_OFFICE_info!$C$281</definedName>
    <definedName name="cst_JUDGE_OFFICE_AM">dSTR_OFFICE_info!$C$286</definedName>
    <definedName name="cst_JUDGE_OFFICE_AN">dSTR_OFFICE_info!$C$291</definedName>
    <definedName name="cst_JUDGE_OFFICE_AO">dSTR_OFFICE_info!$C$296</definedName>
    <definedName name="cst_JUDGE_OFFICE_B">dSTR_OFFICE_info!$C$92</definedName>
    <definedName name="cst_JUDGE_OFFICE_C">dSTR_OFFICE_info!$C$97</definedName>
    <definedName name="cst_JUDGE_OFFICE_CORP">dSTR_OFFICE_info!$G$14</definedName>
    <definedName name="cst_JUDGE_OFFICE_CORP_DAIHYOUSHA__enchou">dSTR_OFFICE_info!$G$34</definedName>
    <definedName name="cst_JUDGE_OFFICE_CORP_DAIHYOUSHA__enchou_add_code">dSTR_OFFICE_info!$G$35</definedName>
    <definedName name="cst_JUDGE_OFFICE_CORP_DAIHYOUSHA__HOUKOKU">dSTR_OFFICE_info!$G$69</definedName>
    <definedName name="cst_JUDGE_OFFICE_CORP_DAIHYOUSHA__HOUKOKU__disp">dSTR_OFFICE_info!$G$66</definedName>
    <definedName name="cst_JUDGE_OFFICE_CORP_DAIHYOUSHA__HOUKOKU__disp_code">dSTR_OFFICE_info!$G$67</definedName>
    <definedName name="cst_JUDGE_OFFICE_CORP_DAIHYOUSHA__HOUKOKU_code">dSTR_OFFICE_info!$G$70</definedName>
    <definedName name="cst_JUDGE_OFFICE_CORP_DAIHYOUSHA__irai">dSTR_OFFICE_info!$G$26</definedName>
    <definedName name="cst_JUDGE_OFFICE_CORP_DAIHYOUSHA__irai_add_code">dSTR_OFFICE_info!$G$27</definedName>
    <definedName name="cst_JUDGE_OFFICE_CORP_DAIHYOUSHA__jizentuuti">dSTR_OFFICE_info!$G$18</definedName>
    <definedName name="cst_JUDGE_OFFICE_CORP_DAIHYOUSHA__jizentuuti_add_code">dSTR_OFFICE_info!$G$19</definedName>
    <definedName name="cst_JUDGE_OFFICE_CORP_DAIHYOUSHA__torisage">dSTR_OFFICE_info!$G$42</definedName>
    <definedName name="cst_JUDGE_OFFICE_CORP_DAIHYOUSHA__torisage_add_code">dSTR_OFFICE_info!$G$43</definedName>
    <definedName name="cst_JUDGE_OFFICE_CORP_DAIHYOUSHA__tuikatosho">dSTR_OFFICE_info!$G$50</definedName>
    <definedName name="cst_JUDGE_OFFICE_CORP_DAIHYOUSHA__tuikatosho_add_code">dSTR_OFFICE_info!$G$51</definedName>
    <definedName name="cst_JUDGE_OFFICE_CORP_DAIHYOUSHA__tuikatosho_henkou">dSTR_OFFICE_info!$G$58</definedName>
    <definedName name="cst_JUDGE_OFFICE_CORP_DAIHYOUSHA__tuikatosho_henkou_add_code">dSTR_OFFICE_info!$G$59</definedName>
    <definedName name="cst_JUDGE_OFFICE_CORP_KOUZOUSEKININSHA__enchou">dSTR_OFFICE_info!$G$37</definedName>
    <definedName name="cst_JUDGE_OFFICE_CORP_KOUZOUSEKININSHA__enchou_add_code">dSTR_OFFICE_info!$G$38</definedName>
    <definedName name="cst_JUDGE_OFFICE_CORP_KOUZOUSEKININSHA__irai">dSTR_OFFICE_info!$G$29</definedName>
    <definedName name="cst_JUDGE_OFFICE_CORP_KOUZOUSEKININSHA__irai_add_code">dSTR_OFFICE_info!$G$30</definedName>
    <definedName name="cst_JUDGE_OFFICE_CORP_KOUZOUSEKININSHA__jizentuuti">dSTR_OFFICE_info!$G$21</definedName>
    <definedName name="cst_JUDGE_OFFICE_CORP_KOUZOUSEKININSHA__jizentuuti_add_code">dSTR_OFFICE_info!$G$22</definedName>
    <definedName name="cst_JUDGE_OFFICE_CORP_KOUZOUSEKININSHA__torisage">dSTR_OFFICE_info!$G$45</definedName>
    <definedName name="cst_JUDGE_OFFICE_CORP_KOUZOUSEKININSHA__torisage_add_code">dSTR_OFFICE_info!$G$46</definedName>
    <definedName name="cst_JUDGE_OFFICE_CORP_KOUZOUSEKININSHA__tuikatosho">dSTR_OFFICE_info!$G$53</definedName>
    <definedName name="cst_JUDGE_OFFICE_CORP_KOUZOUSEKININSHA__tuikatosho_add_code">dSTR_OFFICE_info!$G$54</definedName>
    <definedName name="cst_JUDGE_OFFICE_CORP_KOUZOUSEKININSHA__tuikatosho_henkou">dSTR_OFFICE_info!$G$61</definedName>
    <definedName name="cst_JUDGE_OFFICE_CORP_KOUZOUSEKININSHA__tuikatosho_henkou_add_code">dSTR_OFFICE_info!$G$62</definedName>
    <definedName name="cst_JUDGE_OFFICE_D">dSTR_OFFICE_info!$C$102</definedName>
    <definedName name="cst_JUDGE_OFFICE_DAIHYOUSHA__enchou">dSTR_OFFICE_info!$G$33</definedName>
    <definedName name="cst_JUDGE_OFFICE_DAIHYOUSHA__HOUKOKU">dSTR_OFFICE_info!$G$68</definedName>
    <definedName name="cst_JUDGE_OFFICE_DAIHYOUSHA__HOUKOKU__disp">dSTR_OFFICE_info!$G$65</definedName>
    <definedName name="cst_JUDGE_OFFICE_DAIHYOUSHA__irai">dSTR_OFFICE_info!$G$25</definedName>
    <definedName name="cst_JUDGE_OFFICE_DAIHYOUSHA__jizentuuti">dSTR_OFFICE_info!$G$17</definedName>
    <definedName name="cst_JUDGE_OFFICE_DAIHYOUSHA__torisage">dSTR_OFFICE_info!$G$41</definedName>
    <definedName name="cst_JUDGE_OFFICE_DAIHYOUSHA__tuikatosho">dSTR_OFFICE_info!$G$49</definedName>
    <definedName name="cst_JUDGE_OFFICE_DAIHYOUSHA__tuikatosho_henkou">dSTR_OFFICE_info!$G$57</definedName>
    <definedName name="cst_JUDGE_OFFICE_date_erea__A">dSTR_OFFICE_info!$E$87:$E$91</definedName>
    <definedName name="cst_JUDGE_OFFICE_date_erea__AA">dSTR_OFFICE_info!$E$224:$E$228</definedName>
    <definedName name="cst_JUDGE_OFFICE_date_erea__AB">dSTR_OFFICE_info!$E$229:$E$233</definedName>
    <definedName name="cst_JUDGE_OFFICE_date_erea__AC">dSTR_OFFICE_info!$E$234:$E$239</definedName>
    <definedName name="cst_JUDGE_OFFICE_date_erea__AD">dSTR_OFFICE_info!$E$240:$E$244</definedName>
    <definedName name="cst_JUDGE_OFFICE_date_erea__AE">dSTR_OFFICE_info!$E$245:$E$249</definedName>
    <definedName name="cst_JUDGE_OFFICE_date_erea__AF">dSTR_OFFICE_info!$E$250:$E$254</definedName>
    <definedName name="cst_JUDGE_OFFICE_date_erea__AG">dSTR_OFFICE_info!$E$255:$E$259</definedName>
    <definedName name="cst_JUDGE_OFFICE_date_erea__AH">dSTR_OFFICE_info!$E$260:$E$264</definedName>
    <definedName name="cst_JUDGE_OFFICE_date_erea__AI">dSTR_OFFICE_info!$E$265:$E$270</definedName>
    <definedName name="cst_JUDGE_OFFICE_date_erea__AJ">dSTR_OFFICE_info!$E$271:$E$275</definedName>
    <definedName name="cst_JUDGE_OFFICE_date_erea__AK">dSTR_OFFICE_info!$E$276:$E$280</definedName>
    <definedName name="cst_JUDGE_OFFICE_date_erea__AL">dSTR_OFFICE_info!$E$281:$E$285</definedName>
    <definedName name="cst_JUDGE_OFFICE_date_erea__AM">dSTR_OFFICE_info!$E$286:$E$290</definedName>
    <definedName name="cst_JUDGE_OFFICE_date_erea__AN">dSTR_OFFICE_info!$E$291:$E$295</definedName>
    <definedName name="cst_JUDGE_OFFICE_date_erea__AO">dSTR_OFFICE_info!$E$296:$E$300</definedName>
    <definedName name="cst_JUDGE_OFFICE_date_erea__B">dSTR_OFFICE_info!$E$92:$E$96</definedName>
    <definedName name="cst_JUDGE_OFFICE_date_erea__C">dSTR_OFFICE_info!$E$97:$E$101</definedName>
    <definedName name="cst_JUDGE_OFFICE_date_erea__D">dSTR_OFFICE_info!$E$102:$E$106</definedName>
    <definedName name="cst_JUDGE_OFFICE_date_erea__E">dSTR_OFFICE_info!$E$107:$E$111</definedName>
    <definedName name="cst_JUDGE_OFFICE_date_erea__F">dSTR_OFFICE_info!$E$112:$E$116</definedName>
    <definedName name="cst_JUDGE_OFFICE_date_erea__G">dSTR_OFFICE_info!$E$117:$E$122</definedName>
    <definedName name="cst_JUDGE_OFFICE_date_erea__H">dSTR_OFFICE_info!$E$123:$E$129</definedName>
    <definedName name="cst_JUDGE_OFFICE_date_erea__I">dSTR_OFFICE_info!$E$130:$E$134</definedName>
    <definedName name="cst_JUDGE_OFFICE_date_erea__J">dSTR_OFFICE_info!$E$135:$E$139</definedName>
    <definedName name="cst_JUDGE_OFFICE_date_erea__K">dSTR_OFFICE_info!$E$140:$E$145</definedName>
    <definedName name="cst_JUDGE_OFFICE_date_erea__L">dSTR_OFFICE_info!$E$146:$E$152</definedName>
    <definedName name="cst_JUDGE_OFFICE_date_erea__M">dSTR_OFFICE_info!$E$153:$E$157</definedName>
    <definedName name="cst_JUDGE_OFFICE_date_erea__N">dSTR_OFFICE_info!$E$158:$E$163</definedName>
    <definedName name="cst_JUDGE_OFFICE_date_erea__O">dSTR_OFFICE_info!$E$164:$E$168</definedName>
    <definedName name="cst_JUDGE_OFFICE_date_erea__P">dSTR_OFFICE_info!$E$169:$E$173</definedName>
    <definedName name="cst_JUDGE_OFFICE_date_erea__Q">dSTR_OFFICE_info!$E$174:$E$178</definedName>
    <definedName name="cst_JUDGE_OFFICE_date_erea__R">dSTR_OFFICE_info!$E$179:$E$183</definedName>
    <definedName name="cst_JUDGE_OFFICE_date_erea__S">dSTR_OFFICE_info!$E$184:$E$188</definedName>
    <definedName name="cst_JUDGE_OFFICE_date_erea__T">dSTR_OFFICE_info!$E$189:$E$193</definedName>
    <definedName name="cst_JUDGE_OFFICE_date_erea__U">dSTR_OFFICE_info!$E$194:$E$198</definedName>
    <definedName name="cst_JUDGE_OFFICE_date_erea__V">dSTR_OFFICE_info!$E$199:$E$203</definedName>
    <definedName name="cst_JUDGE_OFFICE_date_erea__W">dSTR_OFFICE_info!$E$204:$E$208</definedName>
    <definedName name="cst_JUDGE_OFFICE_date_erea__X">dSTR_OFFICE_info!$E$209:$E$213</definedName>
    <definedName name="cst_JUDGE_OFFICE_date_erea__Y">dSTR_OFFICE_info!$E$214:$E$218</definedName>
    <definedName name="cst_JUDGE_OFFICE_date_erea__Z">dSTR_OFFICE_info!$E$219:$E$223</definedName>
    <definedName name="cst_JUDGE_OFFICE_E">dSTR_OFFICE_info!$C$107</definedName>
    <definedName name="cst_JUDGE_OFFICE_F">dSTR_OFFICE_info!$C$112</definedName>
    <definedName name="cst_JUDGE_OFFICE_G">dSTR_OFFICE_info!$C$117</definedName>
    <definedName name="cst_JUDGE_OFFICE_H">dSTR_OFFICE_info!$C$123</definedName>
    <definedName name="cst_JUDGE_OFFICE_I">dSTR_OFFICE_info!$C$130</definedName>
    <definedName name="cst_JUDGE_OFFICE_J">dSTR_OFFICE_info!$C$135</definedName>
    <definedName name="cst_JUDGE_OFFICE_K">dSTR_OFFICE_info!$C$140</definedName>
    <definedName name="cst_JUDGE_OFFICE_KOUZOUSEKININSHA__enchou">dSTR_OFFICE_info!$G$36</definedName>
    <definedName name="cst_JUDGE_OFFICE_KOUZOUSEKININSHA__irai">dSTR_OFFICE_info!$G$28</definedName>
    <definedName name="cst_JUDGE_OFFICE_KOUZOUSEKININSHA__jizentuuti">dSTR_OFFICE_info!$G$20</definedName>
    <definedName name="cst_JUDGE_OFFICE_KOUZOUSEKININSHA__torisage">dSTR_OFFICE_info!$G$44</definedName>
    <definedName name="cst_JUDGE_OFFICE_KOUZOUSEKININSHA__tuikatosho">dSTR_OFFICE_info!$G$52</definedName>
    <definedName name="cst_JUDGE_OFFICE_KOUZOUSEKININSHA__tuikatosho_henkou">dSTR_OFFICE_info!$G$60</definedName>
    <definedName name="cst_JUDGE_OFFICE_L">dSTR_OFFICE_info!$C$146</definedName>
    <definedName name="cst_JUDGE_OFFICE_M">dSTR_OFFICE_info!$C$153</definedName>
    <definedName name="cst_JUDGE_OFFICE_N">dSTR_OFFICE_info!$C$158</definedName>
    <definedName name="cst_JUDGE_OFFICE_O">dSTR_OFFICE_info!$C$164</definedName>
    <definedName name="cst_JUDGE_OFFICE_P">dSTR_OFFICE_info!$C$169</definedName>
    <definedName name="cst_JUDGE_OFFICE_Q">dSTR_OFFICE_info!$C$174</definedName>
    <definedName name="cst_JUDGE_OFFICE_R">dSTR_OFFICE_info!$C$179</definedName>
    <definedName name="cst_JUDGE_OFFICE_READ___base_point">dSTR_OFFICE_info!$G$13</definedName>
    <definedName name="cst_JUDGE_OFFICE_READ___date_erea">dSTR_OFFICE_info!$G$12</definedName>
    <definedName name="cst_JUDGE_OFFICE_S">dSTR_OFFICE_info!$C$184</definedName>
    <definedName name="cst_JUDGE_OFFICE_T">dSTR_OFFICE_info!$C$189</definedName>
    <definedName name="cst_JUDGE_OFFICE_U">dSTR_OFFICE_info!$C$194</definedName>
    <definedName name="cst_JUDGE_OFFICE_V">dSTR_OFFICE_info!$C$199</definedName>
    <definedName name="cst_JUDGE_OFFICE_W">dSTR_OFFICE_info!$C$204</definedName>
    <definedName name="cst_JUDGE_OFFICE_X">dSTR_OFFICE_info!$C$209</definedName>
    <definedName name="cst_JUDGE_OFFICE_Y">dSTR_OFFICE_info!$C$214</definedName>
    <definedName name="cst_JUDGE_OFFICE_Z">dSTR_OFFICE_info!$C$219</definedName>
    <definedName name="cst_kakaru_shinsei_ACCEPT_DATE">DATA!$J$1625</definedName>
    <definedName name="cst_kakaru_shinsei_ACCEPT_DATE__dd">DATA!$J$1522</definedName>
    <definedName name="cst_kakaru_shinsei_ACCEPT_DATE__ee">DATA!$J$1520</definedName>
    <definedName name="cst_kakaru_shinsei_ACCEPT_DATE__mm">DATA!$J$1521</definedName>
    <definedName name="cst_kakaru_shinsei_FIRE_SUBMIT_DATE__d">DATA!$J$1637</definedName>
    <definedName name="cst_kakaru_shinsei_FIRE_SUBMIT_DATE__ge">DATA!$J$1635</definedName>
    <definedName name="cst_kakaru_shinsei_FIRE_SUBMIT_DATE__m">DATA!$J$1636</definedName>
    <definedName name="cst_kakaru_shinsei_HIKIUKE_DATE">DATA!$J$1626</definedName>
    <definedName name="cst_kakaru_shinsei_HIKIUKE_DATE__dd">DATA!$J$1526</definedName>
    <definedName name="cst_kakaru_shinsei_HIKIUKE_DATE__ee">DATA!$J$1524</definedName>
    <definedName name="cst_kakaru_shinsei_HIKIUKE_DATE__mm">DATA!$J$1525</definedName>
    <definedName name="cst_kakaru_shinsei_ISSUE_DATE">DATA!$J$1629</definedName>
    <definedName name="cst_kakaru_shinsei_UKETUKE_NO">DATA!$J$1627</definedName>
    <definedName name="cst_KASAN_fukusuutou__gtr">dDATA_cst!$I$222</definedName>
    <definedName name="cst_KASAN_fukusuutou__leq">dDATA_cst!$I$221</definedName>
    <definedName name="cst_lastinter_shinsei_intermediate_SPECIFIC_KOUTEI">DATA!$J$1483</definedName>
    <definedName name="cst_lastinter_shinsei_ISSUE_DATE">DATA!$J$1485</definedName>
    <definedName name="cst_lastinter_shinsei_ISSUE_DATE__text">DATA!$J$1486</definedName>
    <definedName name="cst_lastinter_shinsei_ISSUE_NO">DATA!$J$1480</definedName>
    <definedName name="cst_lastinter_shinsei_ISSUE_NO__disp">DATA!$J$1481</definedName>
    <definedName name="cst_LIST_BOX_link_cell">dDATA_cst!$I$124</definedName>
    <definedName name="cst_LIST_BOX_list">dDATA_cst!$I$125:$I$126</definedName>
    <definedName name="cst_Ng_Notify_Common_Sentence">dIMPOSSIBLE!$A$30</definedName>
    <definedName name="cst_Ng_Notify_Conf_Sentence">dIMPOSSIBLE!$A$7</definedName>
    <definedName name="cst_Ng_Notify_Final_Sentence">dIMPOSSIBLE!$A$13</definedName>
    <definedName name="cst_Ng_Notify_Inter_Sentence">dIMPOSSIBLE!$A$10</definedName>
    <definedName name="cst_NOBE_MENSEKI_SHINSEI__erea">dDATA_cst!$I$219</definedName>
    <definedName name="cst_NOTIFY_ctrl">DATA!$J$1829</definedName>
    <definedName name="cst_NOTIFY_DATE_Keteidekinai_jouban_1506ge">dDATA_cst!$I$180</definedName>
    <definedName name="cst_NOTIFY_DATE_Keteidekinai_jouban_1506le">dDATA_cst!$I$178</definedName>
    <definedName name="cst_NOTIFY_DATE_Keteidekinai_mongon_1506ge">dDATA_cst!$I$188</definedName>
    <definedName name="cst_NOTIFY_DATE_Keteidekinai_mongon_1506le">dDATA_cst!$I$186</definedName>
    <definedName name="cst_NOTIFY_DATE_Tekigousinai_jouban_1506ge">dDATA_cst!$I$197</definedName>
    <definedName name="cst_NOTIFY_DATE_Tekigousinai_jouban_1506le">dDATA_cst!$I$195</definedName>
    <definedName name="cst_NOTIFY_DATE_Tekigousinai_mongon_1506ge">dDATA_cst!$I$205</definedName>
    <definedName name="cst_NOTIFY_DATE_Tekigousinai_mongon_1506le">dDATA_cst!$I$203</definedName>
    <definedName name="cst_owner_address_all">DATA!$J$670</definedName>
    <definedName name="cst_owner_all__char">DATA!$J$678</definedName>
    <definedName name="cst_owner_all__char_row_sama">DATA!$J$680</definedName>
    <definedName name="cst_owner_all__char_sama">DATA!$J$679</definedName>
    <definedName name="cst_owner_all__space">DATA!$J$673</definedName>
    <definedName name="cst_owner_all__space_sama">DATA!$J$674</definedName>
    <definedName name="cst_owner_all__space_space_sama">DATA!$J$675</definedName>
    <definedName name="cst_owner_count">DATA!$J$683</definedName>
    <definedName name="cst_owner_name1__add_sama">DATA!$J$248</definedName>
    <definedName name="cst_owner_name1__add_sp3code">DATA!$J$246</definedName>
    <definedName name="cst_owner_name1__add_sp3code_sama">DATA!$J$249</definedName>
    <definedName name="cst_Owner_Name1_Sama">DATA!$J$247</definedName>
    <definedName name="cst_owner_name2__add_sama">DATA!$J$253</definedName>
    <definedName name="cst_owner_name2__add_sp3code">DATA!$J$251</definedName>
    <definedName name="cst_owner_name2__add_sp3code_sama">DATA!$J$254</definedName>
    <definedName name="cst_Owner_Name2_Sama">DATA!$J$252</definedName>
    <definedName name="cst_owner_name3__add_sama">DATA!$J$258</definedName>
    <definedName name="cst_owner_name3__add_sp3code">DATA!$J$256</definedName>
    <definedName name="cst_owner_name3__add_sp3code_sama">DATA!$J$259</definedName>
    <definedName name="cst_Owner_Name3_Sama">DATA!$J$257</definedName>
    <definedName name="cst_owner_name4__add_sama">DATA!$J$263</definedName>
    <definedName name="cst_owner_name4__add_sp3code">DATA!$J$262</definedName>
    <definedName name="cst_owner_name4__add_sp3code_sama">DATA!$J$264</definedName>
    <definedName name="cst_Owner_Name4_Sama">DATA!$J$261</definedName>
    <definedName name="cst_owner_name5__add_sama">DATA!$J$268</definedName>
    <definedName name="cst_owner_name5__add_sp3code">DATA!$J$267</definedName>
    <definedName name="cst_owner_name5__add_sp3code_sama">DATA!$J$269</definedName>
    <definedName name="cst_Owner_Name5_Sama">DATA!$J$266</definedName>
    <definedName name="cst_owner_name6__add_sama">DATA!$J$273</definedName>
    <definedName name="cst_owner_name6__add_sp3code">DATA!$J$272</definedName>
    <definedName name="cst_owner_name6__add_sp3code_sama">DATA!$J$274</definedName>
    <definedName name="cst_Owner_Name6_Sama">DATA!$J$271</definedName>
    <definedName name="cst_owner1__char">DATA!$J$568</definedName>
    <definedName name="cst_owner1__char_sama">DATA!$J$580</definedName>
    <definedName name="cst_owner1__check">DATA!$J$592</definedName>
    <definedName name="cst_owner1__space">DATA!$J$544</definedName>
    <definedName name="cst_owner1__space_sama">DATA!$J$556</definedName>
    <definedName name="cst_owner1_address">DATA!$J$603</definedName>
    <definedName name="cst_owner2__char">DATA!$J$569</definedName>
    <definedName name="cst_owner2__char__add_char">DATA!$J$637</definedName>
    <definedName name="cst_owner2__char_sama">DATA!$J$581</definedName>
    <definedName name="cst_owner2__char_sama__add_char">DATA!$J$648</definedName>
    <definedName name="cst_owner2__char_sama__add_char_row">DATA!$J$659</definedName>
    <definedName name="cst_owner2__check">DATA!$J$593</definedName>
    <definedName name="cst_owner2__space">DATA!$J$545</definedName>
    <definedName name="cst_owner2__space__add_char">DATA!$J$615</definedName>
    <definedName name="cst_owner2__space_sama">DATA!$J$557</definedName>
    <definedName name="cst_owner2__space_sama__add_char">DATA!$J$626</definedName>
    <definedName name="cst_owner2_address__add_char">DATA!$J$604</definedName>
    <definedName name="cst_owner3__char">DATA!$J$570</definedName>
    <definedName name="cst_owner3__char__add_char">DATA!$J$638</definedName>
    <definedName name="cst_owner3__char_sama">DATA!$J$582</definedName>
    <definedName name="cst_owner3__char_sama__add_char">DATA!$J$649</definedName>
    <definedName name="cst_owner3__char_sama__add_char_row">DATA!$J$660</definedName>
    <definedName name="cst_owner3__check">DATA!$J$594</definedName>
    <definedName name="cst_owner3__space">DATA!$J$546</definedName>
    <definedName name="cst_owner3__space__add_char">DATA!$J$616</definedName>
    <definedName name="cst_owner3__space_sama">DATA!$J$558</definedName>
    <definedName name="cst_owner3__space_sama__add_char">DATA!$J$627</definedName>
    <definedName name="cst_owner3_address__add_char">DATA!$J$605</definedName>
    <definedName name="cst_owner4__char">DATA!$J$571</definedName>
    <definedName name="cst_owner4__char__add_char">DATA!$J$639</definedName>
    <definedName name="cst_owner4__char_sama">DATA!$J$583</definedName>
    <definedName name="cst_owner4__char_sama__add_char">DATA!$J$650</definedName>
    <definedName name="cst_owner4__char_sama__add_char_row">DATA!$J$661</definedName>
    <definedName name="cst_owner4__check">DATA!$J$595</definedName>
    <definedName name="cst_owner4__space">DATA!$J$547</definedName>
    <definedName name="cst_owner4__space__add_char">DATA!$J$617</definedName>
    <definedName name="cst_owner4__space_sama">DATA!$J$559</definedName>
    <definedName name="cst_owner4__space_sama__add_char">DATA!$J$628</definedName>
    <definedName name="cst_owner4_address__add_char">DATA!$J$606</definedName>
    <definedName name="cst_owner5__char">DATA!$J$572</definedName>
    <definedName name="cst_owner5__char__add_char">DATA!$J$640</definedName>
    <definedName name="cst_owner5__char_sama">DATA!$J$584</definedName>
    <definedName name="cst_owner5__char_sama__add_char">DATA!$J$651</definedName>
    <definedName name="cst_owner5__char_sama__add_char_row">DATA!$J$662</definedName>
    <definedName name="cst_owner5__check">DATA!$J$596</definedName>
    <definedName name="cst_owner5__space">DATA!$J$548</definedName>
    <definedName name="cst_owner5__space__add_char">DATA!$J$618</definedName>
    <definedName name="cst_owner5__space_sama">DATA!$J$560</definedName>
    <definedName name="cst_owner5__space_sama__add_char">DATA!$J$629</definedName>
    <definedName name="cst_owner5_address__add_char">DATA!$J$607</definedName>
    <definedName name="cst_owner6__char">DATA!$J$573</definedName>
    <definedName name="cst_owner6__char__add_char">DATA!$J$641</definedName>
    <definedName name="cst_owner6__char_sama">DATA!$J$585</definedName>
    <definedName name="cst_owner6__char_sama__add_char">DATA!$J$652</definedName>
    <definedName name="cst_owner6__char_sama__add_char_row">DATA!$J$663</definedName>
    <definedName name="cst_owner6__check">DATA!$J$597</definedName>
    <definedName name="cst_owner6__space">DATA!$J$549</definedName>
    <definedName name="cst_owner6__space__add_char">DATA!$J$619</definedName>
    <definedName name="cst_owner6__space_sama">DATA!$J$561</definedName>
    <definedName name="cst_owner6__space_sama__add_char">DATA!$J$630</definedName>
    <definedName name="cst_owner6_address__add_char">DATA!$J$608</definedName>
    <definedName name="cst_owner7__char">DATA!$J$574</definedName>
    <definedName name="cst_owner7__char__add_char">DATA!$J$642</definedName>
    <definedName name="cst_owner7__char_sama">DATA!$J$586</definedName>
    <definedName name="cst_owner7__char_sama__add_char">DATA!$J$653</definedName>
    <definedName name="cst_owner7__char_sama__add_char_row">DATA!$J$664</definedName>
    <definedName name="cst_owner7__check">DATA!$J$598</definedName>
    <definedName name="cst_owner7__space">DATA!$J$550</definedName>
    <definedName name="cst_owner7__space__add_char">DATA!$J$620</definedName>
    <definedName name="cst_owner7__space_sama">DATA!$J$562</definedName>
    <definedName name="cst_owner7__space_sama__add_char">DATA!$J$631</definedName>
    <definedName name="cst_owner7_address__add_char">DATA!$J$609</definedName>
    <definedName name="cst_owner8__char">DATA!$J$575</definedName>
    <definedName name="cst_owner8__char__add_char">DATA!$J$643</definedName>
    <definedName name="cst_owner8__char_sama">DATA!$J$587</definedName>
    <definedName name="cst_owner8__char_sama__add_char">DATA!$J$654</definedName>
    <definedName name="cst_owner8__char_sama__add_char_row">DATA!$J$665</definedName>
    <definedName name="cst_owner8__check">DATA!$J$599</definedName>
    <definedName name="cst_owner8__space">DATA!$J$551</definedName>
    <definedName name="cst_owner8__space__add_char">DATA!$J$621</definedName>
    <definedName name="cst_owner8__space_sama">DATA!$J$563</definedName>
    <definedName name="cst_owner8__space_sama__add_char">DATA!$J$632</definedName>
    <definedName name="cst_owner8_address__add_char">DATA!$J$610</definedName>
    <definedName name="cst_owner9__char">DATA!$J$576</definedName>
    <definedName name="cst_owner9__char__add_char">DATA!$J$644</definedName>
    <definedName name="cst_owner9__char_sama">DATA!$J$588</definedName>
    <definedName name="cst_owner9__char_sama__add_char">DATA!$J$655</definedName>
    <definedName name="cst_owner9__char_sama__add_char_row">DATA!$J$666</definedName>
    <definedName name="cst_owner9__space">DATA!$J$552</definedName>
    <definedName name="cst_owner9__space__add_char">DATA!$J$622</definedName>
    <definedName name="cst_owner9__space_sama">DATA!$J$564</definedName>
    <definedName name="cst_owner9__space_sama__add_char">DATA!$J$633</definedName>
    <definedName name="cst_owner9_address__add_char">DATA!$J$611</definedName>
    <definedName name="cst_owners_name__all_in_one_add_sp3code">DATA!$J$277</definedName>
    <definedName name="cst_owners_name__all_in_one_add_sp3code_sama">DATA!$J$276</definedName>
    <definedName name="cst_p2_shinsei_CHOKUZEN_ISSUE_NO">DATA!$J$1824</definedName>
    <definedName name="cst_p2_shinsei_HEN_SUMI_KOUFU_DATE">DATA!$J$1820</definedName>
    <definedName name="cst_p2_shinsei_HEN_SUMI_KOUFU_DATE__add_disp">DATA!$J$1822</definedName>
    <definedName name="cst_p2_shinsei_HEN_SUMI_KOUFU_DATE__shobun">DATA!$J$1821</definedName>
    <definedName name="cst_p2_shinsei_HEN_SUMI_KOUFU_NAME">DATA!$J$1817</definedName>
    <definedName name="cst_p2_shinsei_HEN_SUMI_NO">DATA!$J$1818</definedName>
    <definedName name="cst_p2_shinsei_HEN_SUMI_NO__shobun">DATA!$J$1819</definedName>
    <definedName name="cst_p2_shinsei_ISSUE_DATE">DATA!$J$1812</definedName>
    <definedName name="cst_p2_shinsei_ISSUE_DATE__disp">DATA!$J$1813</definedName>
    <definedName name="cst_p2_shinsei_ISSUE_NO">DATA!$J$1810</definedName>
    <definedName name="cst_p2_shinsei_ISSUE_NO__disp">DATA!$J$1811</definedName>
    <definedName name="cst_p2_shinsei_KAKUNINZUMI_KENSAIN">DATA!$J$1809</definedName>
    <definedName name="cst_print_time_TODAY">DATA!$J$96</definedName>
    <definedName name="cst_print_time_TODAY__text">DATA!$J$97</definedName>
    <definedName name="cst_RENRAKUSAKI_KOUZOU_TANTOU">dDATA_cst!$A$70</definedName>
    <definedName name="cst_RENRAKUSAKI_KOUZOU_TANTOU__search">dDATA_cst!$H$67</definedName>
    <definedName name="cst_RENRAKUSAKI_KOUZOU_TANTOU_EMAIL">dDATA_cst!$H$68</definedName>
    <definedName name="cst_RENRAKUSAKI_KOUZOU_TANTOU_EMAILcheck_Erea">dDATA_cst!$A$74:$A$89</definedName>
    <definedName name="cst_RENRAKUSAKI_KOUZOU_TANTOU_Erea">dDATA_cst!$A$72:$A$89</definedName>
    <definedName name="cst_RENRAKUSAKI_KOUZOU_TANTOU_LinkCell">dDATA_cst!$A$71</definedName>
    <definedName name="cst_SHINSAKAI">dDATA_cst!$I$19</definedName>
    <definedName name="cst_SHINSAKAI__base_point">dDATA_cst!$F$21</definedName>
    <definedName name="cst_SHINSAKAI__city_area">dDATA_cst!$B$22:$B$26</definedName>
    <definedName name="cst_SHINSAKAI__city_search">dDATA_cst!$I$18</definedName>
    <definedName name="cst_shinsei__NOTIFY_CAUSE">DATA!$J$1742</definedName>
    <definedName name="cst_shinsei__NOTIFY_CAUSE_REPORT_CAUSE">DATA!$J$1749</definedName>
    <definedName name="cst_shinsei__NOTIFY_DATE">DATA!$J$1668</definedName>
    <definedName name="cst_shinsei__NOTIFY_KENSA_DATE">DATA!$J$1751</definedName>
    <definedName name="cst_shinsei__NOTIFY_LIMIT_DATE">DATA!$J$1739</definedName>
    <definedName name="cst_shinsei__NOTIFY_LIMIT_DATE__date_in_NOTIFY_NOTE">DATA!$J$1741</definedName>
    <definedName name="cst_shinsei__NOTIFY_LIMIT_DATE__dd">DATA!$J$1512</definedName>
    <definedName name="cst_shinsei__NOTIFY_LIMIT_DATE__disp">DATA!$J$1737</definedName>
    <definedName name="cst_shinsei__NOTIFY_LIMIT_DATE__ee">DATA!$J$1510</definedName>
    <definedName name="cst_shinsei__NOTIFY_LIMIT_DATE__lbl1">DATA!$J$1735</definedName>
    <definedName name="cst_shinsei__NOTIFY_LIMIT_DATE__lbl2">DATA!$J$1736</definedName>
    <definedName name="cst_shinsei__NOTIFY_LIMIT_DATE__mm">DATA!$J$1511</definedName>
    <definedName name="cst_shinsei__NOTIFY_LIMIT_DATE__result_disp">DATA!$J$1738</definedName>
    <definedName name="cst_shinsei__NOTIFY_LIMIT_DATE__text">DATA!$J$1740</definedName>
    <definedName name="cst_shinsei__NOTIFY_NOTE">DATA!$J$1743</definedName>
    <definedName name="cst_shinsei__NOTIFY_NOTE__ins_date">DATA!$J$1746</definedName>
    <definedName name="cst_shinsei__NOTIFY_USER">DATA!$J$1757</definedName>
    <definedName name="cst_shinsei__RECEIPT_PRICE_BASIC_CHARGE">DATA_fee_detail!$I$44</definedName>
    <definedName name="cst_shinsei__REPORT_CAUSE">DATA!$J$1748</definedName>
    <definedName name="cst_shinsei__REPORT_DATE__disp">DATA!$J$1731</definedName>
    <definedName name="cst_shinsei__REPORT_ISSUE_DATE">DATA!$J$1798</definedName>
    <definedName name="cst_shinsei__REPORT_ISSUE_DATE__dsp">DATA!$J$1799</definedName>
    <definedName name="cst_shinsei__REPORT_ISSUE_DATE_2">DATA!$J$1800</definedName>
    <definedName name="cst_shinsei__REPORT_ISSUE_NO">DATA!$J$1795</definedName>
    <definedName name="cst_shinsei__REPORT_KAKU_SUMI_KOUFU_DATE">DATA!$J$1769</definedName>
    <definedName name="cst_shinsei__REPORT_KAKU_SUMI_KOUFU_DATE__disp">DATA!$J$1772</definedName>
    <definedName name="cst_shinsei__REPORT_KAKU_SUMI_KOUFU_NAME">DATA!$J$1776</definedName>
    <definedName name="cst_shinsei__REPORT_KAKU_SUMI_NO">DATA!$J$1762</definedName>
    <definedName name="cst_shinsei__REPORT_KAKU_SUMI_NO__disp">DATA!$J$1764</definedName>
    <definedName name="cst_shinsei__REPORT_NO__disp">DATA!$J$1727</definedName>
    <definedName name="cst_shinsei__REPORT_RESULT">DATA!$J$1755</definedName>
    <definedName name="cst_shinsei__REPORT_STRUCTRESULT_KOUFU_NAME">DATA!$J$1788</definedName>
    <definedName name="cst_shinsei__REPORT_STRUCTRESULT_KOUFU_NAME_No">DATA!$J$1789</definedName>
    <definedName name="cst_shinsei__REPORT_STRUCTRESULT_NOTIFY_DATE">DATA!$J$1780</definedName>
    <definedName name="cst_shinsei__REPORT_STRUCTRESULT_NOTIFY_NO">DATA!$J$1782</definedName>
    <definedName name="cst_shinsei__REPORT_STRUCTRESULT_NOTIFY_NO__search">DATA!$J$1783</definedName>
    <definedName name="cst_shinsei__REPORT_STRUCTRESULT_NOTIFY_NO__search_disp">DATA!$J$1784</definedName>
    <definedName name="cst_shinsei__REPORT_STRUCTRESULT_NOTIFY_NO__search_disp2">DATA!$J$1785</definedName>
    <definedName name="cst_shinsei__REPORT_STRUCTRESULT_NOTIFY_NO__search_disp3">DATA!$J$1786</definedName>
    <definedName name="cst_shinsei__REPORT_STRUCTRESULT_NOTIFY_NO__select">DATA!$J$1787</definedName>
    <definedName name="cst_shinsei__REPORT_STRUCTRESULT_NOTIFY_RESULT">DATA!$J$1791</definedName>
    <definedName name="cst_shinsei__REPORT_STRUCTRESULT_NOTIFY_RESULT__word">DATA!$J$1793</definedName>
    <definedName name="cst_shinsei__REPORT_STRUCTRESULT_NOTIFY_RESULT_selct">DATA!$J$1790</definedName>
    <definedName name="cst_shinsei__REPORT_STRUCTRESULT_NOTIFY_RESULT_word">DATA!$J$1792</definedName>
    <definedName name="cst_shinsei__STRUCTNOTIFT_HENKOU_LIMIT_DATE">DATA_StructuralCalc!$J$89</definedName>
    <definedName name="cst_shinsei__STRUCTNOTIFT_HENKOU_NOTIFT_DATE">DATA_StructuralCalc!$J$88</definedName>
    <definedName name="cst_shinsei_ACCEPT_DATE">DATA!$J$1549</definedName>
    <definedName name="cst_shinsei_ACCEPT_DATE__dd">DATA!$J$1504</definedName>
    <definedName name="cst_shinsei_ACCEPT_DATE__ee">DATA!$J$1502</definedName>
    <definedName name="cst_shinsei_ACCEPT_DATE__mm">DATA!$J$1503</definedName>
    <definedName name="cst_shinsei_ACCEPT_NOTE">DATA!$J$1381</definedName>
    <definedName name="cst_shinsei_ACCEPT_TOKKI_JIKOU">DATA!$J$1379</definedName>
    <definedName name="cst_shinsei_applicant1__address">DATA!$J$287</definedName>
    <definedName name="cst_shinsei_applicant1_CORP">DATA!$J$282</definedName>
    <definedName name="cst_shinsei_applicant1_NAME">DATA!$J$285</definedName>
    <definedName name="cst_shinsei_applicant1_NAME_KANA">DATA!$J$283</definedName>
    <definedName name="cst_shinsei_applicant1_POST">DATA!$J$284</definedName>
    <definedName name="cst_shinsei_applicant1_TEL">DATA!$J$288</definedName>
    <definedName name="cst_shinsei_applicant1_ZIP">DATA!$J$286</definedName>
    <definedName name="cst_shinsei_applicant2__address">DATA!$J$295</definedName>
    <definedName name="cst_shinsei_applicant2_CORP">DATA!$J$291</definedName>
    <definedName name="cst_shinsei_applicant2_NAME">DATA!$J$293</definedName>
    <definedName name="cst_shinsei_applicant2_POST">DATA!$J$292</definedName>
    <definedName name="cst_shinsei_applicant2_TEL">DATA!$J$296</definedName>
    <definedName name="cst_shinsei_applicant2_ZIP">DATA!$J$294</definedName>
    <definedName name="cst_shinsei_applicant3__address">DATA!$J$303</definedName>
    <definedName name="cst_shinsei_applicant3_CORP">DATA!$J$299</definedName>
    <definedName name="cst_shinsei_applicant3_NAME">DATA!$J$301</definedName>
    <definedName name="cst_shinsei_applicant3_POST">DATA!$J$300</definedName>
    <definedName name="cst_shinsei_applicant3_TEL">DATA!$J$304</definedName>
    <definedName name="cst_shinsei_applicant3_ZIP">DATA!$J$302</definedName>
    <definedName name="cst_shinsei_applicant4__address">DATA!$J$311</definedName>
    <definedName name="cst_shinsei_applicant4_CORP">DATA!$J$307</definedName>
    <definedName name="cst_shinsei_applicant4_NAME">DATA!$J$309</definedName>
    <definedName name="cst_shinsei_applicant4_POST">DATA!$J$308</definedName>
    <definedName name="cst_shinsei_applicant4_TEL">DATA!$J$312</definedName>
    <definedName name="cst_shinsei_applicant4_ZIP">DATA!$J$310</definedName>
    <definedName name="cst_shinsei_applicant5__address">DATA!$J$319</definedName>
    <definedName name="cst_shinsei_applicant5_CORP">DATA!$J$315</definedName>
    <definedName name="cst_shinsei_applicant5_NAME">DATA!$J$317</definedName>
    <definedName name="cst_shinsei_applicant5_POST">DATA!$J$316</definedName>
    <definedName name="cst_shinsei_applicant5_TEL">DATA!$J$320</definedName>
    <definedName name="cst_shinsei_applicant5_ZIP">DATA!$J$318</definedName>
    <definedName name="cst_shinsei_applicant6__address">DATA!$J$327</definedName>
    <definedName name="cst_shinsei_applicant6_CORP">DATA!$J$323</definedName>
    <definedName name="cst_shinsei_applicant6_NAME">DATA!$J$325</definedName>
    <definedName name="cst_shinsei_applicant6_POST">DATA!$J$324</definedName>
    <definedName name="cst_shinsei_applicant6_TEL">DATA!$J$328</definedName>
    <definedName name="cst_shinsei_applicant6_ZIP">DATA!$J$326</definedName>
    <definedName name="cst_shinsei_applicant7__address">DATA!$J$335</definedName>
    <definedName name="cst_shinsei_applicant7_CORP">DATA!$J$331</definedName>
    <definedName name="cst_shinsei_applicant7_NAME">DATA!$J$333</definedName>
    <definedName name="cst_shinsei_applicant7_POST">DATA!$J$332</definedName>
    <definedName name="cst_shinsei_applicant7_TEL">DATA!$J$336</definedName>
    <definedName name="cst_shinsei_applicant7_ZIP">DATA!$J$334</definedName>
    <definedName name="cst_shinsei_BILL_NAME">DATA!$J$1271</definedName>
    <definedName name="cst_shinsei_BILL_NAME__common">DATA!$J$1273</definedName>
    <definedName name="cst_shinsei_BIRUKAN_HEALTH_CENTER_NAME__dsp">DATA!$J$1365</definedName>
    <definedName name="cst_shinsei_build_address">DATA!$J$1197</definedName>
    <definedName name="cst_shinsei_build_BILL_SHINSEI_COUNT">DATA!$J$1211</definedName>
    <definedName name="cst_shinsei_build_BILL_SHINSEI_COUNT_2">DATA!$J$1212</definedName>
    <definedName name="cst_shinsei_build_BILL_SONOTA_COUNT">DATA!$J$1213</definedName>
    <definedName name="cst_shinsei_build_BOUKA">DATA!$J$1232</definedName>
    <definedName name="cst_shinsei_build_BOUKA_BOUKA">DATA!$J$1229</definedName>
    <definedName name="cst_shinsei_build_BOUKA_JYUN_BOUKA">DATA!$J$1230</definedName>
    <definedName name="cst_shinsei_build_BOUKA_NASI">DATA!$J$1231</definedName>
    <definedName name="cst_shinsei_build_DOURO_SIKITI_HASSO_DATE">DATA!$J$1376</definedName>
    <definedName name="cst_shinsei_build_DOURO_SIKITI_HASSO_DATE__disp">DATA!$J$1377</definedName>
    <definedName name="cst_shinsei_build_JYUKYO__address">DATA!$J$1198</definedName>
    <definedName name="cst_shinsei_build_KAISU_TIJYOU_SHINSEI">DATA!$J$1215</definedName>
    <definedName name="cst_shinsei_build_KAISU_TIJYOU_SHINSEI_2">DATA!$J$1216</definedName>
    <definedName name="cst_shinsei_build_KAISU_TIKA_SHINSEI__minus">DATA!$J$1219</definedName>
    <definedName name="cst_shinsei_build_KAISU_TIKA_SHINSEI__zero">DATA!$J$1217</definedName>
    <definedName name="cst_shinsei_build_KAISU_TIKA_SHINSEI__zero_2">DATA!$J$1218</definedName>
    <definedName name="cst_shinsei_build_KENPEI_RITU">DATA!$J$1209</definedName>
    <definedName name="cst_shinsei_build_KENPEI_RITU_A">DATA!$J$1208</definedName>
    <definedName name="cst_shinsei_build_KOUJI_DAI_MOYOUGAE">DATA!$J$1241</definedName>
    <definedName name="cst_shinsei_build_KOUJI_DAI_SYUUZEN">DATA!$J$1240</definedName>
    <definedName name="cst_shinsei_build_KOUJI_ITEN">DATA!$J$1238</definedName>
    <definedName name="cst_shinsei_build_KOUJI_KAITIKU">DATA!$J$1237</definedName>
    <definedName name="cst_shinsei_build_KOUJI_SINTIKU">DATA!$J$1235</definedName>
    <definedName name="cst_shinsei_build_KOUJI_YOUTOHENKOU">DATA!$J$1239</definedName>
    <definedName name="cst_shinsei_build_KOUJI_ZOUTIKU">DATA!$J$1236</definedName>
    <definedName name="cst_shinsei_build_kouzou">DATA!$J$1267</definedName>
    <definedName name="cst_shinsei_build_KOUZOU1">DATA!$J$1268</definedName>
    <definedName name="cst_shinsei_build_KOUZOU2">DATA!$J$1269</definedName>
    <definedName name="cst_shinsei_BUILD_NAME">DATA!$J$1275</definedName>
    <definedName name="cst_shinsei_BUILD_NAME_COMP">DATA!$J$1473</definedName>
    <definedName name="cst_shinsei_build_NOBE_MENSEKI_BILL_SHINSEI">DATA!$J$1203</definedName>
    <definedName name="cst_shinsei_build_NOBE_MENSEKI_BILL_SHINSEI_IGAI__minus">DATA!$J$1205</definedName>
    <definedName name="cst_shinsei_build_NOBE_MENSEKI_BILL_SHINSEI_IGAI__zero">DATA!$J$1204</definedName>
    <definedName name="cst_shinsei_build_NOBE_MENSEKI_BILL_SHINSEI_TOTAL">DATA!$J$1206</definedName>
    <definedName name="cst_shinsei_build_p4_TAIKA_KENTIKU">DATA!$J$1309</definedName>
    <definedName name="cst_shinsei_build_p4_TAKASA_KEN_MAX">DATA!$J$1311</definedName>
    <definedName name="cst_shinsei_build_p4_TAKASA_MAX">DATA!$J$1312</definedName>
    <definedName name="cst_shinsei_build_SHIKITI_MENSEKI_1_TOTAL">DATA!$J$1200</definedName>
    <definedName name="cst_shinsei_build_SONOTA_KUIKI">DATA!$J$1227</definedName>
    <definedName name="cst_shinsei_build_STAT_HOU6">DATA!$J$1378</definedName>
    <definedName name="cst_shinsei_build_STAT_HOU6__firestation">dDATA_cst!$I$34</definedName>
    <definedName name="cst_shinsei_build_STAT_HOU6__umu">dDATA_cst!$I$35</definedName>
    <definedName name="cst_shinsei_build_STAT_KOUHOU">DATA!$J$1384</definedName>
    <definedName name="cst_shinsei_build_STAT_SEPTICTANK_CAPACITY">DATA!$J$1354</definedName>
    <definedName name="cst_shinsei_build_STAT_SEPTICTANK_KIBO">DATA!$J$1355</definedName>
    <definedName name="cst_shinsei_build_TOKUREI_56_7__ari">DATA!$J$1286</definedName>
    <definedName name="cst_shinsei_build_TOKUREI_56_7__nashi">DATA!$J$1287</definedName>
    <definedName name="cst_shinsei_build_TOKUREI_56_7_DOURO_KITA">DATA!$J$1290</definedName>
    <definedName name="cst_shinsei_build_TOKUREI_56_7_DOURO_RINTI">DATA!$J$1289</definedName>
    <definedName name="cst_shinsei_build_TOKUREI_56_7_DOURO_TAKASA">DATA!$J$1288</definedName>
    <definedName name="cst_shinsei_build_YOUSEKI_RITU">DATA!$J$1210</definedName>
    <definedName name="cst_shinsei_build_YOUSEKI_RITU_A">DATA!$J$1207</definedName>
    <definedName name="cst_shinsei_build_YOUTO">DATA!$J$1222</definedName>
    <definedName name="cst_shinsei_build_YOUTO_CODE">DATA!$J$1221</definedName>
    <definedName name="cst_shinsei_build_YOUTO_PRINT">DATA!$J$1223</definedName>
    <definedName name="cst_shinsei_build_YOUTO_TIIKI_A">DATA!$J$1226</definedName>
    <definedName name="cst_shinsei_BUILDSHINSEI_ISSUE_NO__add_disp">DATA!$J$1444</definedName>
    <definedName name="cst_shinsei_CHARGE_flag">dDATA_cst!$I$111</definedName>
    <definedName name="cst_shinsei_CHARGE_ID__BASE_DATE">DATA_fee_detail!$I$11</definedName>
    <definedName name="cst_shinsei_CHARGE_ID__BASIC_CHARGE">DATA_fee_detail!$I$43</definedName>
    <definedName name="cst_shinsei_CHARGE_ID__BASIC_CHARGE__case0">DATA_fee_detail!$I$47</definedName>
    <definedName name="cst_shinsei_CHARGE_ID__bill__date">DATA_fee_detail!$I$10</definedName>
    <definedName name="cst_shinsei_CHARGE_ID__cust__address">DATA_fee_detail!$I$19</definedName>
    <definedName name="cst_shinsei_CHARGE_ID__cust__caption">DATA_fee_detail!$I$20</definedName>
    <definedName name="cst_shinsei_CHARGE_ID__cust__tel">DATA_fee_detail!$I$21</definedName>
    <definedName name="cst_shinsei_CHARGE_ID__cust__zip">DATA_fee_detail!$I$18</definedName>
    <definedName name="cst_shinsei_CHARGE_ID__DENPYOU_NO">DATA_fee_detail!$I$16</definedName>
    <definedName name="cst_shinsei_CHARGE_ID__income01_INCOME_DATE">DATA_fee_detail!$I$114</definedName>
    <definedName name="cst_shinsei_CHARGE_ID__income01_INCOME_MONEY">DATA_fee_detail!$I$117</definedName>
    <definedName name="cst_shinsei_CHARGE_ID__income02_INCOME_DATE">DATA_fee_detail!$I$115</definedName>
    <definedName name="cst_shinsei_CHARGE_ID__income02_INCOME_MONEY">DATA_fee_detail!$I$118</definedName>
    <definedName name="cst_shinsei_CHARGE_ID__income03_INCOME_DATE">DATA_fee_detail!$I$116</definedName>
    <definedName name="cst_shinsei_CHARGE_ID__income03_INCOME_MONEY">DATA_fee_detail!$I$119</definedName>
    <definedName name="cst_shinsei_CHARGE_ID__meisai01_ITEM_NAME">DATA_fee_detail!$I$58</definedName>
    <definedName name="cst_shinsei_CHARGE_ID__meisai01_SURYOU">DATA_fee_detail!$I$59</definedName>
    <definedName name="cst_shinsei_CHARGE_ID__meisai01_SYOUKEI">DATA_fee_detail!$I$61</definedName>
    <definedName name="cst_shinsei_CHARGE_ID__meisai01_TANKA">DATA_fee_detail!$I$60</definedName>
    <definedName name="cst_shinsei_CHARGE_ID__meisai02_ITEM_NAME">DATA_fee_detail!$I$63</definedName>
    <definedName name="cst_shinsei_CHARGE_ID__meisai02_SURYOU">DATA_fee_detail!$I$64</definedName>
    <definedName name="cst_shinsei_CHARGE_ID__meisai02_SYOUKEI">DATA_fee_detail!$I$66</definedName>
    <definedName name="cst_shinsei_CHARGE_ID__meisai02_TANKA">DATA_fee_detail!$I$65</definedName>
    <definedName name="cst_shinsei_CHARGE_ID__meisai03_ITEM_NAME">DATA_fee_detail!$I$68</definedName>
    <definedName name="cst_shinsei_CHARGE_ID__meisai03_SURYOU">DATA_fee_detail!$I$69</definedName>
    <definedName name="cst_shinsei_CHARGE_ID__meisai03_SYOUKEI">DATA_fee_detail!$I$71</definedName>
    <definedName name="cst_shinsei_CHARGE_ID__meisai03_TANKA">DATA_fee_detail!$I$70</definedName>
    <definedName name="cst_shinsei_CHARGE_ID__meisai04_ITEM_NAME">DATA_fee_detail!$I$73</definedName>
    <definedName name="cst_shinsei_CHARGE_ID__meisai04_SURYOU">DATA_fee_detail!$I$74</definedName>
    <definedName name="cst_shinsei_CHARGE_ID__meisai04_SYOUKEI">DATA_fee_detail!$I$76</definedName>
    <definedName name="cst_shinsei_CHARGE_ID__meisai04_TANKA">DATA_fee_detail!$I$75</definedName>
    <definedName name="cst_shinsei_CHARGE_ID__meisai05_ITEM_NAME">DATA_fee_detail!$I$78</definedName>
    <definedName name="cst_shinsei_CHARGE_ID__meisai05_SURYOU">DATA_fee_detail!$I$79</definedName>
    <definedName name="cst_shinsei_CHARGE_ID__meisai05_SYOUKEI">DATA_fee_detail!$I$81</definedName>
    <definedName name="cst_shinsei_CHARGE_ID__meisai05_TANKA">DATA_fee_detail!$I$80</definedName>
    <definedName name="cst_shinsei_CHARGE_ID__meisai06_ITEM_NAME">DATA_fee_detail!$I$83</definedName>
    <definedName name="cst_shinsei_CHARGE_ID__meisai06_SURYOU">DATA_fee_detail!$I$84</definedName>
    <definedName name="cst_shinsei_CHARGE_ID__meisai06_SYOUKEI">DATA_fee_detail!$I$86</definedName>
    <definedName name="cst_shinsei_CHARGE_ID__meisai06_TANKA">DATA_fee_detail!$I$85</definedName>
    <definedName name="cst_shinsei_CHARGE_ID__meisai07_ITEM_NAME">DATA_fee_detail!$I$88</definedName>
    <definedName name="cst_shinsei_CHARGE_ID__meisai07_SURYOU">DATA_fee_detail!$I$89</definedName>
    <definedName name="cst_shinsei_CHARGE_ID__meisai07_SYOUKEI">DATA_fee_detail!$I$91</definedName>
    <definedName name="cst_shinsei_CHARGE_ID__meisai07_TANKA">DATA_fee_detail!$I$90</definedName>
    <definedName name="cst_shinsei_CHARGE_ID__meisai08_ITEM_NAME">DATA_fee_detail!$I$93</definedName>
    <definedName name="cst_shinsei_CHARGE_ID__meisai08_SURYOU">DATA_fee_detail!$I$94</definedName>
    <definedName name="cst_shinsei_CHARGE_ID__meisai08_SYOUKEI">DATA_fee_detail!$I$96</definedName>
    <definedName name="cst_shinsei_CHARGE_ID__meisai08_TANKA">DATA_fee_detail!$I$95</definedName>
    <definedName name="cst_shinsei_CHARGE_ID__meisai09_ITEM_NAME">DATA_fee_detail!$I$98</definedName>
    <definedName name="cst_shinsei_CHARGE_ID__meisai09_SURYOU">DATA_fee_detail!$I$99</definedName>
    <definedName name="cst_shinsei_CHARGE_ID__meisai09_SYOUKEI">DATA_fee_detail!$I$101</definedName>
    <definedName name="cst_shinsei_CHARGE_ID__meisai09_TANKA">DATA_fee_detail!$I$100</definedName>
    <definedName name="cst_shinsei_CHARGE_ID__meisai10_ITEM_NAME">DATA_fee_detail!$I$103</definedName>
    <definedName name="cst_shinsei_CHARGE_ID__meisai10_SURYOU">DATA_fee_detail!$I$104</definedName>
    <definedName name="cst_shinsei_CHARGE_ID__meisai10_SYOUKEI">DATA_fee_detail!$I$106</definedName>
    <definedName name="cst_shinsei_CHARGE_ID__meisai10_TANKA">DATA_fee_detail!$I$105</definedName>
    <definedName name="cst_shinsei_CHARGE_ID__meisai11_ITEM_NAME">DATA_fee_detail!$I$108</definedName>
    <definedName name="cst_shinsei_CHARGE_ID__meisai11_SURYOU">DATA_fee_detail!$I$109</definedName>
    <definedName name="cst_shinsei_CHARGE_ID__meisai11_SYOUKEI">DATA_fee_detail!$I$111</definedName>
    <definedName name="cst_shinsei_CHARGE_ID__meisai11_TANKA">DATA_fee_detail!$I$110</definedName>
    <definedName name="cst_shinsei_CHARGE_ID__NOTE">DATA_fee_detail!$I$22</definedName>
    <definedName name="cst_shinsei_CHARGE_ID__PRICE__tekihan">DATA_fee_detail!$I$35</definedName>
    <definedName name="cst_shinsei_CHARGE_ID__PRICE__tekihannozoku">DATA_fee_detail!$I$34</definedName>
    <definedName name="cst_shinsei_CHARGE_ID__RECEIPT_DATE">DATA_fee_detail!$I$13</definedName>
    <definedName name="cst_shinsei_CHARGE_ID__RECEIPT_DATE__add_disp">DATA_fee_detail!$I$12</definedName>
    <definedName name="cst_shinsei_CHARGE_ID__RECEIPT_PRICE">DATA_fee_detail!$I$24</definedName>
    <definedName name="cst_shinsei_CHARGE_ID__RECEIPT_PRICE__disp">DATA_fee_detail!$I$26</definedName>
    <definedName name="cst_shinsei_CHARGE_ID__RECEIPT_PRICE__text">DATA_fee_detail!$I$25</definedName>
    <definedName name="cst_shinsei_CHARGE_ID__RECEIPT_TO">DATA_fee_detail!$I$15</definedName>
    <definedName name="cst_shinsei_CHARGE_ID__RECEIPT_TO__add_sama">DATA_fee_detail!$I$14</definedName>
    <definedName name="cst_shinsei_CHARGE_ID__STR_CHARGE">DATA_fee_detail!$I$29</definedName>
    <definedName name="cst_shinsei_CHARGE_ID__STR_CHARGE_WARIMASHI">DATA_fee_detail!$I$30</definedName>
    <definedName name="cst_shinsei_CHARGE_ID__TIIKIWARIMASHI_CHARGE">DATA_fee_detail!$I$56</definedName>
    <definedName name="cst_shinsei_CHARGE_ID__TIIKIWARIMASHI_SURYOU">DATA_fee_detail!$I$54</definedName>
    <definedName name="cst_shinsei_CHARGE_ID__TIIKIWARIMASHI_TANKA">DATA_fee_detail!$I$55</definedName>
    <definedName name="cst_shinsei_CHARGE_ID2__BASE_DATE">DATA_fee_detail!$I$127</definedName>
    <definedName name="cst_shinsei_CHARGE_ID2__BASIC_CHARGE">DATA_fee_detail!$I$147</definedName>
    <definedName name="cst_shinsei_CHARGE_ID2__bill__date">DATA_fee_detail!$I$129</definedName>
    <definedName name="cst_shinsei_CHARGE_ID2__bill__no">DATA_fee_detail!$I$128</definedName>
    <definedName name="cst_shinsei_CHARGE_ID2__CASH_FLAG">DATA_fee_detail!$I$125</definedName>
    <definedName name="cst_shinsei_CHARGE_ID2__DENPYOU_NO">DATA_fee_detail!$I$141</definedName>
    <definedName name="cst_shinsei_CHARGE_ID2__DENPYOU_PRICE">DATA_fee_detail!$I$140</definedName>
    <definedName name="cst_shinsei_CHARGE_ID2__ENABLED">DATA_fee_detail!$I$126</definedName>
    <definedName name="cst_shinsei_CHARGE_ID2__meisai01_ITEM_NAME">DATA_fee_detail!$I$150</definedName>
    <definedName name="cst_shinsei_CHARGE_ID2__meisai01_SYOUKEI">DATA_fee_detail!$I$151</definedName>
    <definedName name="cst_shinsei_CHARGE_ID2__meisai02_ITEM_NAME">DATA_fee_detail!$I$152</definedName>
    <definedName name="cst_shinsei_CHARGE_ID2__meisai02_SYOUKEI">DATA_fee_detail!$I$153</definedName>
    <definedName name="cst_shinsei_CHARGE_ID2__meisai03_ITEM_NAME">DATA_fee_detail!$I$154</definedName>
    <definedName name="cst_shinsei_CHARGE_ID2__meisai03_SYOUKEI">DATA_fee_detail!$I$155</definedName>
    <definedName name="cst_shinsei_CHARGE_ID2__meisai04_ITEM_NAME">DATA_fee_detail!$I$156</definedName>
    <definedName name="cst_shinsei_CHARGE_ID2__meisai04_SYOUKEI">DATA_fee_detail!$I$157</definedName>
    <definedName name="cst_shinsei_CHARGE_ID2__meisai05_ITEM_NAME">DATA_fee_detail!$I$158</definedName>
    <definedName name="cst_shinsei_CHARGE_ID2__meisai05_SYOUKEI">DATA_fee_detail!$I$159</definedName>
    <definedName name="cst_shinsei_CHARGE_ID2__meisai06_ITEM_NAME">DATA_fee_detail!$I$160</definedName>
    <definedName name="cst_shinsei_CHARGE_ID2__meisai06_SYOUKEI">DATA_fee_detail!$I$161</definedName>
    <definedName name="cst_shinsei_CHARGE_ID2__meisai07_ITEM_NAME">DATA_fee_detail!$I$162</definedName>
    <definedName name="cst_shinsei_CHARGE_ID2__meisai07_SYOUKEI">DATA_fee_detail!$I$163</definedName>
    <definedName name="cst_shinsei_CHARGE_ID2__meisai08_ITEM_NAME">DATA_fee_detail!$I$164</definedName>
    <definedName name="cst_shinsei_CHARGE_ID2__meisai08_SYOUKEI">DATA_fee_detail!$I$165</definedName>
    <definedName name="cst_shinsei_CHARGE_ID2__meisai09_ITEM_NAME">DATA_fee_detail!$I$166</definedName>
    <definedName name="cst_shinsei_CHARGE_ID2__meisai09_SYOUKEI">DATA_fee_detail!$I$167</definedName>
    <definedName name="cst_shinsei_CHARGE_ID2__meisai10_ITEM_NAME">DATA_fee_detail!$I$168</definedName>
    <definedName name="cst_shinsei_CHARGE_ID2__meisai10_SYOUKEI">DATA_fee_detail!$I$169</definedName>
    <definedName name="cst_shinsei_CHARGE_ID2__meisai11_ITEM_NAME">DATA_fee_detail!$I$170</definedName>
    <definedName name="cst_shinsei_CHARGE_ID2__meisai11_SYOUKEI">DATA_fee_detail!$I$171</definedName>
    <definedName name="cst_shinsei_CHARGE_ID2__NOTE">DATA_fee_detail!$I$143</definedName>
    <definedName name="cst_shinsei_CHARGE_ID2__RECEIPT_AREA">DATA_fee_detail!$I$135</definedName>
    <definedName name="cst_shinsei_CHARGE_ID2__RECEIPT_DATE">DATA_fee_detail!$I$139</definedName>
    <definedName name="cst_shinsei_CHARGE_ID2__RECEIPT_PRICE">DATA_fee_detail!$I$137</definedName>
    <definedName name="cst_shinsei_CHARGE_ID2__RECEIPT_TO">DATA_fee_detail!$I$138</definedName>
    <definedName name="cst_shinsei_CHARGE_ID2__TIIKIWARIMASHI_CHARGE">DATA_fee_detail!$I$149</definedName>
    <definedName name="cst_shinsei_CHARGE_ID3__BASE_DATE">DATA_fee_detail!$I$182</definedName>
    <definedName name="cst_shinsei_CHARGE_ID3__BASIC_CHARGE">DATA_fee_detail!$I$202</definedName>
    <definedName name="cst_shinsei_CHARGE_ID3__bill__date">DATA_fee_detail!$I$184</definedName>
    <definedName name="cst_shinsei_CHARGE_ID3__bill__no">DATA_fee_detail!$I$183</definedName>
    <definedName name="cst_shinsei_CHARGE_ID3__CASH_FLAG">DATA_fee_detail!$I$180</definedName>
    <definedName name="cst_shinsei_CHARGE_ID3__DENPYOU_NO">DATA_fee_detail!$I$196</definedName>
    <definedName name="cst_shinsei_CHARGE_ID3__DENPYOU_PRICE">DATA_fee_detail!$I$195</definedName>
    <definedName name="cst_shinsei_CHARGE_ID3__meisai01_ITEM_NAME">DATA_fee_detail!$I$205</definedName>
    <definedName name="cst_shinsei_CHARGE_ID3__meisai01_SYOUKEI">DATA_fee_detail!$I$206</definedName>
    <definedName name="cst_shinsei_CHARGE_ID3__meisai02_ITEM_NAME">DATA_fee_detail!$I$207</definedName>
    <definedName name="cst_shinsei_CHARGE_ID3__meisai02_SYOUKEI">DATA_fee_detail!$I$208</definedName>
    <definedName name="cst_shinsei_CHARGE_ID3__meisai03_ITEM_NAME">DATA_fee_detail!$I$209</definedName>
    <definedName name="cst_shinsei_CHARGE_ID3__meisai03_SYOUKEI">DATA_fee_detail!$I$210</definedName>
    <definedName name="cst_shinsei_CHARGE_ID3__meisai04_ITEM_NAME">DATA_fee_detail!$I$211</definedName>
    <definedName name="cst_shinsei_CHARGE_ID3__meisai04_SYOUKEI">DATA_fee_detail!$I$212</definedName>
    <definedName name="cst_shinsei_CHARGE_ID3__meisai05_ITEM_NAME">DATA_fee_detail!$I$213</definedName>
    <definedName name="cst_shinsei_CHARGE_ID3__meisai05_SYOUKEI">DATA_fee_detail!$I$214</definedName>
    <definedName name="cst_shinsei_CHARGE_ID3__meisai06_ITEM_NAME">DATA_fee_detail!$I$215</definedName>
    <definedName name="cst_shinsei_CHARGE_ID3__meisai06_SYOUKEI">DATA_fee_detail!$I$216</definedName>
    <definedName name="cst_shinsei_CHARGE_ID3__meisai07_ITEM_NAME">DATA_fee_detail!$I$217</definedName>
    <definedName name="cst_shinsei_CHARGE_ID3__meisai07_SYOUKEI">DATA_fee_detail!$I$218</definedName>
    <definedName name="cst_shinsei_CHARGE_ID3__meisai08_ITEM_NAME">DATA_fee_detail!$I$219</definedName>
    <definedName name="cst_shinsei_CHARGE_ID3__meisai08_SYOUKEI">DATA_fee_detail!$I$220</definedName>
    <definedName name="cst_shinsei_CHARGE_ID3__meisai09_ITEM_NAME">DATA_fee_detail!$I$221</definedName>
    <definedName name="cst_shinsei_CHARGE_ID3__meisai09_SYOUKEI">DATA_fee_detail!$I$222</definedName>
    <definedName name="cst_shinsei_CHARGE_ID3__meisai10_ITEM_NAME">DATA_fee_detail!$I$223</definedName>
    <definedName name="cst_shinsei_CHARGE_ID3__meisai10_SYOUKEI">DATA_fee_detail!$I$224</definedName>
    <definedName name="cst_shinsei_CHARGE_ID3__meisai11_ITEM_NAME">DATA_fee_detail!$I$225</definedName>
    <definedName name="cst_shinsei_CHARGE_ID3__meisai11_SYOUKEI">DATA_fee_detail!$I$226</definedName>
    <definedName name="cst_shinsei_CHARGE_ID3__NOTE">DATA_fee_detail!$I$198</definedName>
    <definedName name="cst_shinsei_CHARGE_ID3__RECEIPT_AREA">DATA_fee_detail!$I$190</definedName>
    <definedName name="cst_shinsei_CHARGE_ID3__RECEIPT_DATE">DATA_fee_detail!$I$194</definedName>
    <definedName name="cst_shinsei_CHARGE_ID3__RECEIPT_PRICE">DATA_fee_detail!$I$192</definedName>
    <definedName name="cst_shinsei_CHARGE_ID3__RECEIPT_TO">DATA_fee_detail!$I$193</definedName>
    <definedName name="cst_shinsei_CHARGE_ID3__STR_CHARGE">DATA_fee_detail!$I$229</definedName>
    <definedName name="cst_shinsei_CHARGE_ID3__TIIKIWARIMASHI_CHARGE">DATA_fee_detail!$I$204</definedName>
    <definedName name="cst_shinsei_CHARGE_ID3__ZERO_FLAG">DATA_fee_detail!$I$191</definedName>
    <definedName name="cst_shinsei_ctrl">DATA!$J$1828</definedName>
    <definedName name="cst_shinsei_DAIRI__address">DATA!$J$701</definedName>
    <definedName name="cst_shinsei_DAIRI_FAX">DATA!$J$703</definedName>
    <definedName name="cst_shinsei_DAIRI_JIMU_NAME">DATA!$J$697</definedName>
    <definedName name="cst_shinsei_DAIRI_JIMU_NAME__dsp">DATA!$J$699</definedName>
    <definedName name="cst_shinsei_DAIRI_JIMU_NAME__select_dsp">DATA!$J$698</definedName>
    <definedName name="cst_shinsei_DAIRI_JIMU_NAME_all">DATA!$J$705</definedName>
    <definedName name="cst_shinsei_DAIRI_JIMU_NO">DATA!$J$696</definedName>
    <definedName name="cst_shinsei_DAIRI_JIMU_SIKAKU">DATA!$J$694</definedName>
    <definedName name="cst_shinsei_DAIRI_JIMU_TOUROKU_KIKAN">DATA!$J$695</definedName>
    <definedName name="cst_shinsei_DAIRI_KENSETUSI_NO">DATA!$J$690</definedName>
    <definedName name="cst_shinsei_DAIRI_NAME">DATA!$J$691</definedName>
    <definedName name="cst_shinsei_DAIRI_NAME__dsp">DATA!$J$692</definedName>
    <definedName name="cst_shinsei_DAIRI_POST_CODE">DATA!$J$700</definedName>
    <definedName name="cst_shinsei_DAIRI_SIKAKU">DATA!$J$688</definedName>
    <definedName name="cst_shinsei_DAIRI_TEL">DATA!$J$702</definedName>
    <definedName name="cst_shinsei_DAIRI_TOUROKU_KIKAN">DATA!$J$689</definedName>
    <definedName name="cst_shinsei_dairi02__address">DATA!$J$719</definedName>
    <definedName name="cst_shinsei_dairi02_FAX">DATA!$J$721</definedName>
    <definedName name="cst_shinsei_dairi02_JIMU_NAME">DATA!$J$717</definedName>
    <definedName name="cst_shinsei_dairi02_JIMU_NO">DATA!$J$716</definedName>
    <definedName name="cst_shinsei_dairi02_JIMU_SIKAKU">DATA!$J$714</definedName>
    <definedName name="cst_shinsei_dairi02_JIMU_TOUROKU_KIKAN">DATA!$J$715</definedName>
    <definedName name="cst_shinsei_dairi02_KENSETUSI_NO">DATA!$J$711</definedName>
    <definedName name="cst_shinsei_dairi02_NAME">DATA!$J$712</definedName>
    <definedName name="cst_shinsei_dairi02_POST_CODE">DATA!$J$718</definedName>
    <definedName name="cst_shinsei_dairi02_SIKAKU">DATA!$J$709</definedName>
    <definedName name="cst_shinsei_dairi02_TEL">DATA!$J$720</definedName>
    <definedName name="cst_shinsei_dairi02_TOUROKU_KIKAN">DATA!$J$710</definedName>
    <definedName name="cst_shinsei_dairi03__address">DATA!$J$735</definedName>
    <definedName name="cst_shinsei_dairi03_FAX">DATA!$J$737</definedName>
    <definedName name="cst_shinsei_dairi03_JIMU_NAME">DATA!$J$733</definedName>
    <definedName name="cst_shinsei_dairi03_JIMU_NO">DATA!$J$732</definedName>
    <definedName name="cst_shinsei_dairi03_JIMU_SIKAKU">DATA!$J$730</definedName>
    <definedName name="cst_shinsei_dairi03_JIMU_TOUROKU_KIKAN">DATA!$J$731</definedName>
    <definedName name="cst_shinsei_dairi03_KENSETUSI_NO">DATA!$J$727</definedName>
    <definedName name="cst_shinsei_dairi03_NAME">DATA!$J$728</definedName>
    <definedName name="cst_shinsei_dairi03_POST_CODE">DATA!$J$734</definedName>
    <definedName name="cst_shinsei_dairi03_SIKAKU">DATA!$J$725</definedName>
    <definedName name="cst_shinsei_dairi03_TEL">DATA!$J$736</definedName>
    <definedName name="cst_shinsei_dairi03_TOUROKU_KIKAN">DATA!$J$726</definedName>
    <definedName name="cst_shinsei_dairi04__address">DATA!$J$751</definedName>
    <definedName name="cst_shinsei_dairi04_FAX">DATA!$J$753</definedName>
    <definedName name="cst_shinsei_dairi04_JIMU_NAME">DATA!$J$749</definedName>
    <definedName name="cst_shinsei_dairi04_JIMU_NO">DATA!$J$748</definedName>
    <definedName name="cst_shinsei_dairi04_JIMU_SIKAKU">DATA!$J$746</definedName>
    <definedName name="cst_shinsei_dairi04_JIMU_TOUROKU_KIKAN">DATA!$J$747</definedName>
    <definedName name="cst_shinsei_dairi04_KENSETUSI_NO">DATA!$J$743</definedName>
    <definedName name="cst_shinsei_dairi04_NAME">DATA!$J$744</definedName>
    <definedName name="cst_shinsei_dairi04_POST_CODE">DATA!$J$750</definedName>
    <definedName name="cst_shinsei_dairi04_SIKAKU">DATA!$J$741</definedName>
    <definedName name="cst_shinsei_dairi04_TEL">DATA!$J$752</definedName>
    <definedName name="cst_shinsei_dairi04_TOUROKU_KIKAN">DATA!$J$742</definedName>
    <definedName name="cst_shinsei_dairi05__address">DATA!$J$767</definedName>
    <definedName name="cst_shinsei_dairi05_FAX">DATA!$J$769</definedName>
    <definedName name="cst_shinsei_dairi05_JIMU_NAME">DATA!$J$765</definedName>
    <definedName name="cst_shinsei_dairi05_JIMU_NO">DATA!$J$764</definedName>
    <definedName name="cst_shinsei_dairi05_JIMU_SIKAKU">DATA!$J$762</definedName>
    <definedName name="cst_shinsei_dairi05_JIMU_TOUROKU_KIKAN">DATA!$J$763</definedName>
    <definedName name="cst_shinsei_dairi05_KENSETUSI_NO">DATA!$J$759</definedName>
    <definedName name="cst_shinsei_dairi05_NAME">DATA!$J$760</definedName>
    <definedName name="cst_shinsei_dairi05_POST_CODE">DATA!$J$766</definedName>
    <definedName name="cst_shinsei_dairi05_SIKAKU">DATA!$J$757</definedName>
    <definedName name="cst_shinsei_dairi05_TEL">DATA!$J$768</definedName>
    <definedName name="cst_shinsei_dairi05_TOUROKU_KIKAN">DATA!$J$758</definedName>
    <definedName name="cst_shinsei_DOUI_kyoto_city">dDATA_cst!$I$233</definedName>
    <definedName name="cst_shinsei_DOUI_kyoto_mes">dDATA_cst!$I$247</definedName>
    <definedName name="cst_shinsei_DOUI_kyoto_word__2">dDATA_cst!$I$241</definedName>
    <definedName name="cst_shinsei_DOUI_kyoto_word__3">dDATA_cst!$I$242</definedName>
    <definedName name="cst_shinsei_DOUI_kyoto_word__4">dDATA_cst!$I$243</definedName>
    <definedName name="cst_shinsei_DOUI_kyoto_word__link">dDATA_cst!$I$239</definedName>
    <definedName name="cst_shinsei_DOUI_kyoto_word__list">dDATA_cst!$I$235:$I$238</definedName>
    <definedName name="cst_shinsei_DOUI_kyoto_word__result">dDATA_cst!$I$245</definedName>
    <definedName name="cst_shinsei_ev_EV_BILL_NAME">DATA!$J$1398</definedName>
    <definedName name="cst_shinsei_ev_EV_BILL_YOUTO">DATA!$J$1399</definedName>
    <definedName name="cst_shinsei_ev_EV_COUNT">DATA!$J$1408</definedName>
    <definedName name="cst_shinsei_ev_EV_SEKISAI">DATA!$J$1402</definedName>
    <definedName name="cst_shinsei_ev_EV_SONOTA">DATA!$J$1406</definedName>
    <definedName name="cst_shinsei_ev_EV_SPEED">DATA!$J$1405</definedName>
    <definedName name="cst_shinsei_ev_EV_SYUBETU">DATA!$J$1400</definedName>
    <definedName name="cst_shinsei_ev_EV_TEIIN">DATA!$J$1403</definedName>
    <definedName name="cst_shinsei_ev_EV_TEIIN__tani">DATA!$J$1404</definedName>
    <definedName name="cst_shinsei_ev_EV_YOUTO">DATA!$J$1401</definedName>
    <definedName name="cst_shinsei_ev_KOUSAKU_KOUJI_KAITIKU">DATA!$J$1245</definedName>
    <definedName name="cst_shinsei_ev_KOUSAKU_KOUJI_SHINTIKU">DATA!$J$1243</definedName>
    <definedName name="cst_shinsei_ev_KOUSAKU_KOUJI_SONOTA">DATA!$J$1247</definedName>
    <definedName name="cst_shinsei_ev_KOUSAKU_KOUJI_SONOTA__box">DATA!$J$1246</definedName>
    <definedName name="cst_shinsei_ev_KOUSAKU_KOUJI_SONOTA__dsp">DATA!$J$1248</definedName>
    <definedName name="cst_shinsei_ev_KOUSAKU_KOUJI_ZOUTIKU">DATA!$J$1244</definedName>
    <definedName name="cst_shinsei_ev_KOUSAKU_KOUZOU">DATA!$J$1427</definedName>
    <definedName name="cst_shinsei_ev_KOUSAKU_SONOTA">DATA!$J$1428</definedName>
    <definedName name="cst_shinsei_ev_KOUSAKU_SYURUI">DATA!$J$1420</definedName>
    <definedName name="cst_shinsei_ev_KOUSAKU_SYURUI_CODE">DATA!$J$1419</definedName>
    <definedName name="cst_shinsei_ev_KOUSAKU_TAKASA">DATA!$J$1421</definedName>
    <definedName name="cst_shinsei_ev_KOUSAKU_TAKASA__range_sign">DATA!$J$1424</definedName>
    <definedName name="cst_shinsei_ev_KOUSAKU_TAKASA__range1">DATA!$J$1423</definedName>
    <definedName name="cst_shinsei_ev_KOUSAKU_TAKASA__range2">DATA!$J$1425</definedName>
    <definedName name="cst_shinsei_ev_KOUSAKU_TAKASA_BIKO">DATA!$J$1426</definedName>
    <definedName name="cst_shinsei_ev_KOUSAKU_TAKASA_MAX">DATA!$J$1422</definedName>
    <definedName name="cst_shinsei_ev_KOUSAKU882_YOUTO">DATA!$J$1430</definedName>
    <definedName name="cst_shinsei_ev_SETUBI_GAIYOU">DATA!$J$1409</definedName>
    <definedName name="cst_shinsei_ev_TIKUZOUMENSEKI_IGAI">DATA!$J$1433</definedName>
    <definedName name="cst_shinsei_ev_TIKUZOUMENSEKI_SHINSEI">DATA!$J$1431</definedName>
    <definedName name="cst_shinsei_ev_TIKUZOUMENSEKI_SHINSEI__minus">DATA!$J$1432</definedName>
    <definedName name="cst_shinsei_ev_TIKUZOUMENSEKI_TOTAL">DATA!$J$1434</definedName>
    <definedName name="cst_shinsei_EV_TYPE">DATA!$J$1407</definedName>
    <definedName name="cst_shinsei_ev_WORKCOUNT_SHINSEI">DATA!$J$1417</definedName>
    <definedName name="cst_shinsei_final_KAN_KANRYOU_YOTEI_DATE">DATA!$J$1280</definedName>
    <definedName name="cst_shinsei_final_KOUJI_DAI_MOYOUGAE">DATA!$J$1263</definedName>
    <definedName name="cst_shinsei_final_KOUJI_DAI_SYUUZEN">DATA!$J$1262</definedName>
    <definedName name="cst_shinsei_final_KOUJI_ITEN">DATA!$J$1261</definedName>
    <definedName name="cst_shinsei_final_KOUJI_KAITIKU">DATA!$J$1260</definedName>
    <definedName name="cst_shinsei_final_KOUJI_SETUBISETTI">DATA!$J$1264</definedName>
    <definedName name="cst_shinsei_final_KOUJI_SINTIKU">DATA!$J$1258</definedName>
    <definedName name="cst_shinsei_final_KOUJI_ZOUTIKU">DATA!$J$1259</definedName>
    <definedName name="cst_shinsei_FIRE_AGREE_DATE">DATA!$J$1328</definedName>
    <definedName name="cst_shinsei_FIRE_AGREE_DATE__disp">DATA!$J$1329</definedName>
    <definedName name="cst_shinsei_FIRE_AGREE_RECEIVE_DATE">DATA!$J$1335</definedName>
    <definedName name="cst_shinsei_FIRE_NOTIFY_DATE">DATA!$J$1331</definedName>
    <definedName name="cst_shinsei_FIRE_NOTIFY_DATE__disp">DATA!$J$1332</definedName>
    <definedName name="cst_shinsei_FIRE_NOTIFY_DATE__text">DATA!$J$1333</definedName>
    <definedName name="cst_shinsei_FIRE_NOTIFY_SUBMIT_KIND">DATA!$J$1322</definedName>
    <definedName name="cst_shinsei_FIRE_NOTIFY_SUBMIT_KIND_date">DATA!$J$1339</definedName>
    <definedName name="cst_shinsei_FIRE_NOTIFY_SUBMIT_KIND_text">DATA!$J$1338</definedName>
    <definedName name="cst_shinsei_FIRE_SUBMIT_DATE">DATA!$J$1324</definedName>
    <definedName name="cst_shinsei_FIRE_SUBMIT_DATE__disp">DATA!$J$1325</definedName>
    <definedName name="cst_shinsei_FIRE_SUBMIT_DATE__text">DATA!$J$1326</definedName>
    <definedName name="cst_shinsei_FIRE_SUBMIT_OFFICE_DAIHYOUSYA">DATA!$J$1341</definedName>
    <definedName name="cst_shinsei_GENKAI_TAIRYOKU_FLAG">DATA_StructuralCalc!$J$16</definedName>
    <definedName name="cst_shinsei_HEALTH_NOTIFY_DATE">DATA!$J$1357</definedName>
    <definedName name="cst_shinsei_HEALTH_NOTIFY_DATE__disp">DATA!$J$1358</definedName>
    <definedName name="cst_shinsei_HEALTH_NOTIFY_DATE__text">DATA!$J$1359</definedName>
    <definedName name="cst_shinsei_HEN_SUMI_KOUFU_DATE__txt">DATA!$J$1644</definedName>
    <definedName name="cst_shinsei_HEN_SUMI_NO__bottom">DATA!$J$1648</definedName>
    <definedName name="cst_shinsei_HEN_SUMI_NO__dsp">DATA!$J$1646</definedName>
    <definedName name="cst_shinsei_HEN_SUMI_NO__top">DATA!$J$1647</definedName>
    <definedName name="cst_shinsei_HIKIUKE_DATE">DATA!$J$1551</definedName>
    <definedName name="cst_shinsei_HIKIUKE_DATE__change_disp">DATA!$J$1554</definedName>
    <definedName name="cst_shinsei_HIKIUKE_DATE__cons_disp">DATA!$J$1555</definedName>
    <definedName name="cst_shinsei_HIKIUKE_DATE__dd">DATA!$J$1508</definedName>
    <definedName name="cst_shinsei_HIKIUKE_DATE__disp">DATA!$J$1552</definedName>
    <definedName name="cst_shinsei_HIKIUKE_DATE__ee">DATA!$J$1506</definedName>
    <definedName name="cst_shinsei_HIKIUKE_DATE__mm">DATA!$J$1507</definedName>
    <definedName name="cst_shinsei_HIKIUKE_DATE__text">DATA!$J$1553</definedName>
    <definedName name="cst_shinsei_HIKIUKE_KAKU_KOUFU_YOTEI_DATE">DATA!$J$230</definedName>
    <definedName name="cst_shinsei_HIKIUKE_numer1_word">dDATA_cst!$I$142</definedName>
    <definedName name="cst_shinsei_HIKIUKE_numer1_year">dDATA_cst!$I$143</definedName>
    <definedName name="cst_shinsei_HIKIUKE_numer3_word">dDATA_cst!$I$144</definedName>
    <definedName name="cst_shinsei_HIKIUKE_numer3_year">dDATA_cst!$I$145</definedName>
    <definedName name="cst_shinsei_HIKIUKE_TANTO">DATA!$J$47</definedName>
    <definedName name="cst_shinsei_HIKIUKE_TANTO_myouji">DATA!$J$48</definedName>
    <definedName name="cst_shinsei_HIKIUKE_TUUTI_DATE">DATA!$J$1557</definedName>
    <definedName name="cst_shinsei_HIKIUKE_TUUTI_DATE__disp">DATA!$J$1558</definedName>
    <definedName name="cst_shinsei_HIKIUKE_TUUTI_DATE__text">DATA!$J$1559</definedName>
    <definedName name="cst_shinsei_HOUKOKU_DATE">DATA!$J$1603</definedName>
    <definedName name="cst_shinsei_HOUKOKU_DATE__text">DATA!$J$1604</definedName>
    <definedName name="cst_shinsei_imposs1_NOTIFY_CAUSE">DATA!$J$1875</definedName>
    <definedName name="cst_shinsei_imposs1_NOTIFY_DATE">DATA!$J$1872</definedName>
    <definedName name="cst_shinsei_imposs1_NOTIFY_LIMIT_DATE">DATA!$J$1874</definedName>
    <definedName name="cst_shinsei_imposs1_NOTIFY_NOTE">DATA!$J$1876</definedName>
    <definedName name="cst_shinsei_imposs1_NOTIFY_USER">DATA!$J$1873</definedName>
    <definedName name="cst_shinsei_imposs1_REPORT_DATE">DATA!$J$1879</definedName>
    <definedName name="cst_shinsei_imposs2_NOTIFY_CAUSE">DATA!$J$1892</definedName>
    <definedName name="cst_shinsei_imposs2_NOTIFY_DATE">DATA!$J$1889</definedName>
    <definedName name="cst_shinsei_imposs2_NOTIFY_LIMIT_DATE">DATA!$J$1891</definedName>
    <definedName name="cst_shinsei_imposs2_NOTIFY_NOTE">DATA!$J$1893</definedName>
    <definedName name="cst_shinsei_imposs2_NOTIFY_USER">DATA!$J$1890</definedName>
    <definedName name="cst_shinsei_imposs2_REPORT_DATE">DATA!$J$1896</definedName>
    <definedName name="cst_shinsei_imposs3_NOTIFY_CAUSE">DATA!$J$1909</definedName>
    <definedName name="cst_shinsei_imposs3_NOTIFY_DATE">DATA!$J$1906</definedName>
    <definedName name="cst_shinsei_imposs3_NOTIFY_LIMIT_DATE">DATA!$J$1908</definedName>
    <definedName name="cst_shinsei_imposs3_NOTIFY_NOTE">DATA!$J$1910</definedName>
    <definedName name="cst_shinsei_imposs3_NOTIFY_USER">DATA!$J$1907</definedName>
    <definedName name="cst_shinsei_imposs3_REPORT_DATE">DATA!$J$1913</definedName>
    <definedName name="cst_shinsei_imposs4_NOTIFY_CAUSE">DATA!$J$1926</definedName>
    <definedName name="cst_shinsei_imposs4_NOTIFY_DATE">DATA!$J$1923</definedName>
    <definedName name="cst_shinsei_imposs4_NOTIFY_LIMIT_DATE">DATA!$J$1925</definedName>
    <definedName name="cst_shinsei_imposs4_NOTIFY_NOTE">DATA!$J$1927</definedName>
    <definedName name="cst_shinsei_imposs4_NOTIFY_USER">DATA!$J$1924</definedName>
    <definedName name="cst_shinsei_imposs4_REPORT_DATE">DATA!$J$1930</definedName>
    <definedName name="cst_shinsei_imposs5_NOTIFY_CAUSE">DATA!$J$1943</definedName>
    <definedName name="cst_shinsei_imposs5_NOTIFY_DATE">DATA!$J$1940</definedName>
    <definedName name="cst_shinsei_imposs5_NOTIFY_LIMIT_DATE">DATA!$J$1942</definedName>
    <definedName name="cst_shinsei_imposs5_NOTIFY_NOTE">DATA!$J$1944</definedName>
    <definedName name="cst_shinsei_imposs5_NOTIFY_USER">DATA!$J$1941</definedName>
    <definedName name="cst_shinsei_imposs5_REPORT_DATE">DATA!$J$1947</definedName>
    <definedName name="cst_shinsei_imposs6_NOTIFY_CAUSE">DATA!$J$1960</definedName>
    <definedName name="cst_shinsei_imposs6_NOTIFY_DATE">DATA!$J$1957</definedName>
    <definedName name="cst_shinsei_imposs6_NOTIFY_LIMIT_DATE">DATA!$J$1959</definedName>
    <definedName name="cst_shinsei_imposs6_NOTIFY_NOTE">DATA!$J$1961</definedName>
    <definedName name="cst_shinsei_imposs6_NOTIFY_USER">DATA!$J$1958</definedName>
    <definedName name="cst_shinsei_imposs6_REPORT_DATE">DATA!$J$1964</definedName>
    <definedName name="cst_shinsei_impossx_NOTIFY_CAUSE">DATA!$J$1976</definedName>
    <definedName name="cst_shinsei_impossx_NOTIFY_DATE">DATA!$J$1974</definedName>
    <definedName name="cst_shinsei_impossx_NOTIFY_NOTE">DATA!$J$1977</definedName>
    <definedName name="cst_shinsei_impossx_NOTIFY_USER">DATA!$J$1975</definedName>
    <definedName name="cst_shinsei_impossx_REPORT_DATE">DATA!$J$1980</definedName>
    <definedName name="cst_shinsei_INSPECTION_NO">DATA!$J$89</definedName>
    <definedName name="cst_shinsei_INSPECTION_TYPE">DATA!$J$82</definedName>
    <definedName name="cst_shinsei_INSPECTION_TYPE__check_sheet">DATA!$J$86</definedName>
    <definedName name="cst_shinsei_INSPECTION_TYPE_class2">DATA!$J$83</definedName>
    <definedName name="cst_shinsei_INSPECTION_TYPE_class3">DATA!$J$84</definedName>
    <definedName name="cst_shinsei_INSPECTION_TYPE_class4">DATA!$J$85</definedName>
    <definedName name="cst_shinsei_INTER_KOUKU">DATA!$J$1464</definedName>
    <definedName name="cst_shinsei_intermediate_BILL_KOUJI_DAI_MOYOUGAE">DATA!$J$1255</definedName>
    <definedName name="cst_shinsei_intermediate_BILL_KOUJI_DAI_SYUUZEN">DATA!$J$1254</definedName>
    <definedName name="cst_shinsei_intermediate_BILL_KOUJI_ITEN">DATA!$J$1253</definedName>
    <definedName name="cst_shinsei_intermediate_BILL_KOUJI_KAITIKU">DATA!$J$1252</definedName>
    <definedName name="cst_shinsei_intermediate_BILL_KOUJI_SETUBISETTI">DATA!$J$1256</definedName>
    <definedName name="cst_shinsei_intermediate_BILL_KOUJI_SINTIKU">DATA!$J$1250</definedName>
    <definedName name="cst_shinsei_intermediate_BILL_KOUJI_ZOUTIKU">DATA!$J$1251</definedName>
    <definedName name="cst_shinsei_intermediate_CYU1_KAISUU">DATA!$J$1455</definedName>
    <definedName name="cst_shinsei_intermediate_CYU1_NITTEI">DATA!$J$1461</definedName>
    <definedName name="cst_shinsei_intermediate_CYU1_NITTEI__disp">DATA!$J$1462</definedName>
    <definedName name="cst_shinsei_intermediate_CYU1_NITTEI__text">DATA!$J$1463</definedName>
    <definedName name="cst_shinsei_intermediate_CYU1_YUKA_MENSEKI">DATA!$J$1465</definedName>
    <definedName name="cst_shinsei_intermediate_GOUKAKU_KENSAIN">DATA!$J$1585</definedName>
    <definedName name="cst_shinsei_Intermediate_GOUKAKU_TOKKI_JIKOU">DATA!$J$1597</definedName>
    <definedName name="cst_shinsei_intermediate_KENSA_DATE">DATA!$J$1592</definedName>
    <definedName name="cst_shinsei_intermediate_KENSA_KEKKA">DATA!$J$1579</definedName>
    <definedName name="cst_shinsei_intermediate_SPECIFIC_KOUTEI">DATA!$J$1456</definedName>
    <definedName name="cst_shinsei_intermediate_SPECIFIC_KOUTEI_KAISUU">DATA!$J$1459</definedName>
    <definedName name="cst_shinsei_intermediate_SPECIFIC_KOUTEI_select">DATA!$J$1458</definedName>
    <definedName name="cst_shinsei_ISHOU_TANTO">DATA!$J$52</definedName>
    <definedName name="cst_shinsei_ISHOU_TANTO2">DATA!$J$55</definedName>
    <definedName name="cst_shinsei_ISHOU_TANTO3">DATA!$J$56</definedName>
    <definedName name="cst_shinsei_ISSUE_DATE">DATA!$J$1568</definedName>
    <definedName name="cst_shinsei_ISSUE_DATE__disp">DATA!$J$1569</definedName>
    <definedName name="cst_shinsei_ISSUE_DATE__text">DATA!$J$1570</definedName>
    <definedName name="cst_shinsei_ISSUE_KOUFU_NAME">DATA!$J$1575</definedName>
    <definedName name="cst_shinsei_ISSUE_KOUFU_NAME__code">DATA!$J$1576</definedName>
    <definedName name="cst_shinsei_ISSUE_NO">DATA!$J$1572</definedName>
    <definedName name="cst_shinsei_ISSUE_NO__disp">DATA!$J$1573</definedName>
    <definedName name="cst_shinsei_ISSUE_NO_serial">dDATA_cst!$I$103</definedName>
    <definedName name="cst_shinsei_ISSUE_NO_serial_dsp">dDATA_cst!$I$104</definedName>
    <definedName name="cst_shinsei_ISSUE_NO_sign">dDATA_cst!$I$97</definedName>
    <definedName name="cst_shinsei_ISSUE_NOTIFY_DATE">DATA!$J$1732</definedName>
    <definedName name="cst_shinsei_ISSUE_NOTIFY_DATE__disp">DATA!$J$1733</definedName>
    <definedName name="cst_shinsei_ISSUETAB_MEMO">DATA!$J$1606</definedName>
    <definedName name="cst_shinsei_judgehist_accept_kouzou1_TANTO_USER_ID">DATA_StructuralCalc!$J$20</definedName>
    <definedName name="cst_shinsei_judgehist_accept_kouzou2_TANTO_USER_ID">DATA_StructuralCalc!$J$21</definedName>
    <definedName name="cst_shinsei_KAKU_SUMI_KOUFU_DATE">DATA!$J$1617</definedName>
    <definedName name="cst_shinsei_KAKU_SUMI_KOUFU_DATE__disp">DATA!$J$1618</definedName>
    <definedName name="cst_shinsei_KAKU_SUMI_KOUFU_DATE__text">DATA!$J$1619</definedName>
    <definedName name="cst_shinsei_KAKU_SUMI_KOUFU_DATE_hikiuke_houkoku__text">DATA!$J$1620</definedName>
    <definedName name="cst_shinsei_KAKU_SUMI_KOUFU_NAME">DATA!$J$1622</definedName>
    <definedName name="cst_shinsei_KAKU_SUMI_KOUFU_NAME__code">DATA!$J$1623</definedName>
    <definedName name="cst_shinsei_KAKU_SUMI_NO">DATA!$J$1611</definedName>
    <definedName name="cst_shinsei_KAKU_SUMI_NO__bottom">DATA!$J$1613</definedName>
    <definedName name="cst_shinsei_KAKU_SUMI_NO__disp">DATA!$J$1614</definedName>
    <definedName name="cst_shinsei_KAKU_SUMI_NO__top">DATA!$J$1612</definedName>
    <definedName name="cst_shinsei_KAKU_SUMI_NO_hikiuke_houkoku__disp">DATA!$J$1615</definedName>
    <definedName name="cst_shinsei_KAKUNINZUMI_HOUKOKU_GYOSEI_DATE">DATA!$J$1375</definedName>
    <definedName name="cst_shinsei_KAKUNINZUMI_HOUKOKU_GYOSEI_DATE__dd">DATA!$J$1530</definedName>
    <definedName name="cst_shinsei_KAKUNINZUMI_HOUKOKU_GYOSEI_DATE__ee">DATA!$J$1528</definedName>
    <definedName name="cst_shinsei_KAKUNINZUMI_HOUKOKU_GYOSEI_DATE__mm">DATA!$J$1529</definedName>
    <definedName name="cst_shinsei_KAKUNINZUMI_HOUKOKU_GYOSEI_NO">DATA!$J$1371</definedName>
    <definedName name="cst_shinsei_KAKUNINZUMI_KENSAIN">DATA!$J$1584</definedName>
    <definedName name="cst_shinsei_KAN_HOUKOKU_KENSA_DATE">DATA!$J$1593</definedName>
    <definedName name="cst_shinsei_KAN_KENSA_KEKKA">DATA!$J$1580</definedName>
    <definedName name="cst_shinsei_KAN_ZUMI_KENSAIN">DATA!$J$1586</definedName>
    <definedName name="cst_shinsei_KAN_ZUMI_TOKKI_JIKOU">DATA!$J$1598</definedName>
    <definedName name="cst_shinsei_KANRI__address">DATA!$J$966</definedName>
    <definedName name="cst_shinsei_KANRI_JIMU_NAME">DATA!$J$964</definedName>
    <definedName name="cst_shinsei_KANRI_JIMU_NO">DATA!$J$963</definedName>
    <definedName name="cst_shinsei_KANRI_JIMU_SIKAKU">DATA!$J$961</definedName>
    <definedName name="cst_shinsei_KANRI_JIMU_TOUROKU_KIKAN">DATA!$J$962</definedName>
    <definedName name="cst_shinsei_KANRI_KENSETUSI_NO">DATA!$J$958</definedName>
    <definedName name="cst_shinsei_KANRI_NAME">DATA!$J$959</definedName>
    <definedName name="cst_shinsei_KANRI_POST_CODE">DATA!$J$965</definedName>
    <definedName name="cst_shinsei_KANRI_SIKAKU">DATA!$J$956</definedName>
    <definedName name="cst_shinsei_KANRI_TEL">DATA!$J$967</definedName>
    <definedName name="cst_shinsei_KANRI_TOUROKU_KIKAN">DATA!$J$957</definedName>
    <definedName name="cst_shinsei_kanri04__address">DATA!$J$1026</definedName>
    <definedName name="cst_shinsei_kanri04_JIMU_NAME">DATA!$J$1024</definedName>
    <definedName name="cst_shinsei_kanri04_JIMU_NO">DATA!$J$1023</definedName>
    <definedName name="cst_shinsei_kanri04_JIMU_SIKAKU">DATA!$J$1021</definedName>
    <definedName name="cst_shinsei_kanri04_JIMU_TOUROKU_KIKAN">DATA!$J$1022</definedName>
    <definedName name="cst_shinsei_kanri04_KENSETUSI_NO">DATA!$J$1018</definedName>
    <definedName name="cst_shinsei_kanri04_NAME">DATA!$J$1019</definedName>
    <definedName name="cst_shinsei_kanri04_POST_CODE">DATA!$J$1025</definedName>
    <definedName name="cst_shinsei_kanri04_SIKAKU">DATA!$J$1016</definedName>
    <definedName name="cst_shinsei_kanri04_TEL">DATA!$J$1027</definedName>
    <definedName name="cst_shinsei_kanri04_TOUROKU_KIKAN">DATA!$J$1017</definedName>
    <definedName name="cst_shinsei_kanri05__address">DATA!$J$1041</definedName>
    <definedName name="cst_shinsei_kanri05_JIMU_NAME">DATA!$J$1039</definedName>
    <definedName name="cst_shinsei_kanri05_JIMU_NO">DATA!$J$1038</definedName>
    <definedName name="cst_shinsei_kanri05_JIMU_SIKAKU">DATA!$J$1036</definedName>
    <definedName name="cst_shinsei_kanri05_JIMU_TOUROKU_KIKAN">DATA!$J$1037</definedName>
    <definedName name="cst_shinsei_kanri05_KENSETUSI_NO">DATA!$J$1033</definedName>
    <definedName name="cst_shinsei_kanri05_NAME">DATA!$J$1034</definedName>
    <definedName name="cst_shinsei_kanri05_POST_CODE">DATA!$J$1040</definedName>
    <definedName name="cst_shinsei_kanri05_SIKAKU">DATA!$J$1031</definedName>
    <definedName name="cst_shinsei_kanri05_TEL">DATA!$J$1042</definedName>
    <definedName name="cst_shinsei_kanri05_TOUROKU_KIKAN">DATA!$J$1032</definedName>
    <definedName name="cst_shinsei_kanri06__address">DATA!$J$1056</definedName>
    <definedName name="cst_shinsei_kanri06_JIMU_NAME">DATA!$J$1054</definedName>
    <definedName name="cst_shinsei_kanri06_JIMU_NO">DATA!$J$1053</definedName>
    <definedName name="cst_shinsei_kanri06_JIMU_SIKAKU">DATA!$J$1051</definedName>
    <definedName name="cst_shinsei_kanri06_JIMU_TOUROKU_KIKAN">DATA!$J$1052</definedName>
    <definedName name="cst_shinsei_kanri06_KENSETUSI_NO">DATA!$J$1048</definedName>
    <definedName name="cst_shinsei_kanri06_NAME">DATA!$J$1049</definedName>
    <definedName name="cst_shinsei_kanri06_POST_CODE">DATA!$J$1055</definedName>
    <definedName name="cst_shinsei_kanri06_SIKAKU">DATA!$J$1046</definedName>
    <definedName name="cst_shinsei_kanri06_TEL">DATA!$J$1057</definedName>
    <definedName name="cst_shinsei_kanri06_TOUROKU_KIKAN">DATA!$J$1047</definedName>
    <definedName name="cst_shinsei_kanri07__address">DATA!$J$1071</definedName>
    <definedName name="cst_shinsei_kanri07_JIMU_NAME">DATA!$J$1069</definedName>
    <definedName name="cst_shinsei_kanri07_JIMU_NO">DATA!$J$1068</definedName>
    <definedName name="cst_shinsei_kanri07_JIMU_SIKAKU">DATA!$J$1066</definedName>
    <definedName name="cst_shinsei_kanri07_JIMU_TOUROKU_KIKAN">DATA!$J$1067</definedName>
    <definedName name="cst_shinsei_kanri07_KENSETUSI_NO">DATA!$J$1063</definedName>
    <definedName name="cst_shinsei_kanri07_NAME">DATA!$J$1064</definedName>
    <definedName name="cst_shinsei_kanri07_POST_CODE">DATA!$J$1070</definedName>
    <definedName name="cst_shinsei_kanri07_SIKAKU">DATA!$J$1061</definedName>
    <definedName name="cst_shinsei_kanri07_TEL">DATA!$J$1072</definedName>
    <definedName name="cst_shinsei_kanri07_TOUROKU_KIKAN">DATA!$J$1062</definedName>
    <definedName name="cst_shinsei_kanri08__address">DATA!$J$1086</definedName>
    <definedName name="cst_shinsei_kanri08_JIMU_NAME">DATA!$J$1084</definedName>
    <definedName name="cst_shinsei_kanri08_JIMU_NO">DATA!$J$1083</definedName>
    <definedName name="cst_shinsei_kanri08_JIMU_SIKAKU">DATA!$J$1081</definedName>
    <definedName name="cst_shinsei_kanri08_JIMU_TOUROKU_KIKAN">DATA!$J$1082</definedName>
    <definedName name="cst_shinsei_kanri08_KENSETUSI_NO">DATA!$J$1078</definedName>
    <definedName name="cst_shinsei_kanri08_NAME">DATA!$J$1079</definedName>
    <definedName name="cst_shinsei_kanri08_POST_CODE">DATA!$J$1085</definedName>
    <definedName name="cst_shinsei_kanri08_SIKAKU">DATA!$J$1076</definedName>
    <definedName name="cst_shinsei_kanri08_TEL">DATA!$J$1087</definedName>
    <definedName name="cst_shinsei_kanri08_TOUROKU_KIKAN">DATA!$J$1077</definedName>
    <definedName name="cst_shinsei_kanri09__address">DATA!$J$1101</definedName>
    <definedName name="cst_shinsei_kanri09_JIMU_NAME">DATA!$J$1099</definedName>
    <definedName name="cst_shinsei_kanri09_JIMU_NO">DATA!$J$1098</definedName>
    <definedName name="cst_shinsei_kanri09_JIMU_SIKAKU">DATA!$J$1096</definedName>
    <definedName name="cst_shinsei_kanri09_JIMU_TOUROKU_KIKAN">DATA!$J$1097</definedName>
    <definedName name="cst_shinsei_kanri09_KENSETUSI_NO">DATA!$J$1093</definedName>
    <definedName name="cst_shinsei_kanri09_NAME">DATA!$J$1094</definedName>
    <definedName name="cst_shinsei_kanri09_POST_CODE">DATA!$J$1100</definedName>
    <definedName name="cst_shinsei_kanri09_SIKAKU">DATA!$J$1091</definedName>
    <definedName name="cst_shinsei_kanri09_TEL">DATA!$J$1102</definedName>
    <definedName name="cst_shinsei_kanri09_TOUROKU_KIKAN">DATA!$J$1092</definedName>
    <definedName name="cst_shinsei_KANRI1__address">DATA!$J$981</definedName>
    <definedName name="cst_shinsei_KANRI1_JIMU_NAME">DATA!$J$979</definedName>
    <definedName name="cst_shinsei_KANRI1_JIMU_NO">DATA!$J$978</definedName>
    <definedName name="cst_shinsei_KANRI1_JIMU_SIKAKU">DATA!$J$976</definedName>
    <definedName name="cst_shinsei_KANRI1_JIMU_TOUROKU_KIKAN">DATA!$J$977</definedName>
    <definedName name="cst_shinsei_KANRI1_KENSETUSI_NO">DATA!$J$973</definedName>
    <definedName name="cst_shinsei_KANRI1_NAME">DATA!$J$974</definedName>
    <definedName name="cst_shinsei_KANRI1_POST_CODE">DATA!$J$980</definedName>
    <definedName name="cst_shinsei_KANRI1_SIKAKU">DATA!$J$971</definedName>
    <definedName name="cst_shinsei_KANRI1_TEL">DATA!$J$982</definedName>
    <definedName name="cst_shinsei_KANRI1_TOUROKU_KIKAN">DATA!$J$972</definedName>
    <definedName name="cst_shinsei_kanri10__address">DATA!$J$1116</definedName>
    <definedName name="cst_shinsei_kanri10_JIMU_NAME">DATA!$J$1114</definedName>
    <definedName name="cst_shinsei_kanri10_JIMU_NO">DATA!$J$1113</definedName>
    <definedName name="cst_shinsei_kanri10_JIMU_SIKAKU">DATA!$J$1111</definedName>
    <definedName name="cst_shinsei_kanri10_JIMU_TOUROKU_KIKAN">DATA!$J$1112</definedName>
    <definedName name="cst_shinsei_kanri10_KENSETUSI_NO">DATA!$J$1108</definedName>
    <definedName name="cst_shinsei_kanri10_NAME">DATA!$J$1109</definedName>
    <definedName name="cst_shinsei_kanri10_POST_CODE">DATA!$J$1115</definedName>
    <definedName name="cst_shinsei_kanri10_SIKAKU">DATA!$J$1106</definedName>
    <definedName name="cst_shinsei_kanri10_TEL">DATA!$J$1117</definedName>
    <definedName name="cst_shinsei_kanri10_TOUROKU_KIKAN">DATA!$J$1107</definedName>
    <definedName name="cst_shinsei_kanri11__address">DATA!$J$1131</definedName>
    <definedName name="cst_shinsei_kanri11_JIMU_NAME">DATA!$J$1129</definedName>
    <definedName name="cst_shinsei_kanri11_JIMU_NO">DATA!$J$1128</definedName>
    <definedName name="cst_shinsei_kanri11_JIMU_SIKAKU">DATA!$J$1126</definedName>
    <definedName name="cst_shinsei_kanri11_JIMU_TOUROKU_KIKAN">DATA!$J$1127</definedName>
    <definedName name="cst_shinsei_kanri11_KENSETUSI_NO">DATA!$J$1123</definedName>
    <definedName name="cst_shinsei_kanri11_NAME">DATA!$J$1124</definedName>
    <definedName name="cst_shinsei_kanri11_POST_CODE">DATA!$J$1130</definedName>
    <definedName name="cst_shinsei_kanri11_SIKAKU">DATA!$J$1121</definedName>
    <definedName name="cst_shinsei_kanri11_TEL">DATA!$J$1132</definedName>
    <definedName name="cst_shinsei_kanri11_TOUROKU_KIKAN">DATA!$J$1122</definedName>
    <definedName name="cst_shinsei_KANRI2__address">DATA!$J$996</definedName>
    <definedName name="cst_shinsei_KANRI2_JIMU_NAME">DATA!$J$994</definedName>
    <definedName name="cst_shinsei_KANRI2_JIMU_NO">DATA!$J$993</definedName>
    <definedName name="cst_shinsei_KANRI2_JIMU_SIKAKU">DATA!$J$991</definedName>
    <definedName name="cst_shinsei_KANRI2_JIMU_TOUROKU_KIKAN">DATA!$J$992</definedName>
    <definedName name="cst_shinsei_KANRI2_KENSETUSI_NO">DATA!$J$988</definedName>
    <definedName name="cst_shinsei_KANRI2_NAME">DATA!$J$989</definedName>
    <definedName name="cst_shinsei_KANRI2_POST_CODE">DATA!$J$995</definedName>
    <definedName name="cst_shinsei_KANRI2_SIKAKU">DATA!$J$986</definedName>
    <definedName name="cst_shinsei_KANRI2_TEL">DATA!$J$997</definedName>
    <definedName name="cst_shinsei_KANRI2_TOUROKU_KIKAN">DATA!$J$987</definedName>
    <definedName name="cst_shinsei_KANRI3__address">DATA!$J$1011</definedName>
    <definedName name="cst_shinsei_KANRI3_JIMU_NAME">DATA!$J$1009</definedName>
    <definedName name="cst_shinsei_KANRI3_JIMU_NO">DATA!$J$1008</definedName>
    <definedName name="cst_shinsei_KANRI3_JIMU_SIKAKU">DATA!$J$1006</definedName>
    <definedName name="cst_shinsei_KANRI3_JIMU_TOUROKU_KIKAN">DATA!$J$1007</definedName>
    <definedName name="cst_shinsei_KANRI3_KENSETUSI_NO">DATA!$J$1003</definedName>
    <definedName name="cst_shinsei_KANRI3_NAME">DATA!$J$1004</definedName>
    <definedName name="cst_shinsei_KANRI3_POST_CODE">DATA!$J$1010</definedName>
    <definedName name="cst_shinsei_KANRI3_SIKAKU">DATA!$J$1001</definedName>
    <definedName name="cst_shinsei_KANRI3_TEL">DATA!$J$1012</definedName>
    <definedName name="cst_shinsei_KANRI3_TOUROKU_KIKAN">DATA!$J$1002</definedName>
    <definedName name="cst_shinsei_KANRYOU_KEIKA1_GOUKAKU_NO">DATA!$J$1294</definedName>
    <definedName name="cst_shinsei_KANRYOU_KEIKA1_GOUKAKU_NO_disp">DATA!$J$1295</definedName>
    <definedName name="cst_shinsei_KANRYOU_KEIKA1_KOUFU_DATE">DATA!$J$1296</definedName>
    <definedName name="cst_shinsei_KANRYOU_KEIKA1_KOUTEI">DATA!$J$1298</definedName>
    <definedName name="cst_shinsei_KENSA_DATE">DATA!$J$1594</definedName>
    <definedName name="cst_shinsei_KENSA_DATE__add_disp">DATA!$J$1595</definedName>
    <definedName name="cst_shinsei_KENSA_KEKKA">DATA!$J$1581</definedName>
    <definedName name="cst_shinsei_KENSA_RESULT">DATA!$J$1578</definedName>
    <definedName name="cst_shinsei_KENSA_YOTEI_DATE">DATA!$J$231</definedName>
    <definedName name="cst_shinsei_KENSA_YOTEI_DATE__hikiuke">DATA!$J$232</definedName>
    <definedName name="cst_shinsei_KENSAIN">DATA!$J$1587</definedName>
    <definedName name="cst_shinsei_kouji">DATA!$J$1224</definedName>
    <definedName name="cst_shinsei_KOUJI_KANRYOU_DATE">DATA!$J$1279</definedName>
    <definedName name="cst_shinsei_KOUJI_KANRYOU_DATE__common">DATA!$J$1281</definedName>
    <definedName name="cst_shinsei_KOUJI_KANRYOU_DATE__common__disp">DATA!$J$1282</definedName>
    <definedName name="cst_shinsei_KOUJI_KANRYOU_DATE__common__text">DATA!$J$1283</definedName>
    <definedName name="cst_shinsei_KOUJI_YUKA_MENSEKI">DATA!$J$1472</definedName>
    <definedName name="cst_shinsei_KOUZOU_ROUTE2_KENSA_USER_ID">DATA!$J$1588</definedName>
    <definedName name="cst_shinsei_KOUZOU_ROUTE2_KENSA_USER_ID_SUMISHO">dDATA_cst!$I$161</definedName>
    <definedName name="cst_shinsei_KOUZOU_TANTO">DATA!$J$57</definedName>
    <definedName name="cst_shinsei_KOUZOU_TANTO1">DATA!$J$49</definedName>
    <definedName name="cst_shinsei_KOUZOU_TANTO2">DATA!$J$58</definedName>
    <definedName name="cst_shinsei_KOUZOU_TANTO3">DATA!$J$59</definedName>
    <definedName name="cst_shinsei_ng1_NOTIFY_CAUSE">DATA!$J$1995</definedName>
    <definedName name="cst_shinsei_ng1_NOTIFY_DATE">DATA!$J$1991</definedName>
    <definedName name="cst_shinsei_ng1_NOTIFY_KENSA_DATE">DATA!$J$1993</definedName>
    <definedName name="cst_shinsei_ng1_NOTIFY_LIMIT_DATE">DATA!$J$1994</definedName>
    <definedName name="cst_shinsei_ng1_NOTIFY_NOTE">DATA!$J$1996</definedName>
    <definedName name="cst_shinsei_ng1_NOTIFY_USER">DATA!$J$1992</definedName>
    <definedName name="cst_shinsei_ng1_REPORT_DATE">DATA!$J$2000</definedName>
    <definedName name="cst_shinsei_ng2_NOTIFY_CAUSE">DATA!$J$2014</definedName>
    <definedName name="cst_shinsei_ng2_NOTIFY_DATE">DATA!$J$2010</definedName>
    <definedName name="cst_shinsei_ng2_NOTIFY_KENSA_DATE">DATA!$J$2012</definedName>
    <definedName name="cst_shinsei_ng2_NOTIFY_LIMIT_DATE">DATA!$J$2013</definedName>
    <definedName name="cst_shinsei_ng2_NOTIFY_NOTE">DATA!$J$2015</definedName>
    <definedName name="cst_shinsei_ng2_NOTIFY_USER">DATA!$J$2011</definedName>
    <definedName name="cst_shinsei_ng2_REPORT_DATE">DATA!$J$2018</definedName>
    <definedName name="cst_shinsei_ng3_NOTIFY_CAUSE">DATA!$J$2026</definedName>
    <definedName name="cst_shinsei_ng3_NOTIFY_DATE">DATA!$J$2022</definedName>
    <definedName name="cst_shinsei_ng3_NOTIFY_KENSA_DATE">DATA!$J$2024</definedName>
    <definedName name="cst_shinsei_ng3_NOTIFY_LIMIT_DATE">DATA!$J$2025</definedName>
    <definedName name="cst_shinsei_ng3_NOTIFY_NOTE">DATA!$J$2027</definedName>
    <definedName name="cst_shinsei_ng3_NOTIFY_USER">DATA!$J$2023</definedName>
    <definedName name="cst_shinsei_ng3_REPORT_DATE">DATA!$J$2030</definedName>
    <definedName name="cst_shinsei_ngx_CAUSE">DATA!$J$2042</definedName>
    <definedName name="cst_shinsei_ngx_NOTIFY_CAUSE">DATA!$J$2037</definedName>
    <definedName name="cst_shinsei_ngx_NOTIFY_DATE">DATA!$J$2034</definedName>
    <definedName name="cst_shinsei_ngx_NOTIFY_KENSA_DATE">DATA!$J$2036</definedName>
    <definedName name="cst_shinsei_ngx_NOTIFY_NOTE">DATA!$J$2038</definedName>
    <definedName name="cst_shinsei_ngx_NOTIFY_USER">DATA!$J$2035</definedName>
    <definedName name="cst_shinsei_ngx_REPORT_DATE">DATA!$J$2041</definedName>
    <definedName name="cst_shinsei_owner1__address">DATA!$J$466</definedName>
    <definedName name="cst_shinsei_owner1_CORP">DATA!$J$461</definedName>
    <definedName name="cst_shinsei_owner1_NAME">DATA!$J$464</definedName>
    <definedName name="cst_shinsei_owner1_NAME_KANA">DATA!$J$462</definedName>
    <definedName name="cst_shinsei_owner1_POST">DATA!$J$463</definedName>
    <definedName name="cst_shinsei_owner1_TEL">DATA!$J$467</definedName>
    <definedName name="cst_shinsei_owner1_ZIP">DATA!$J$465</definedName>
    <definedName name="cst_shinsei_owner2__address">DATA!$J$475</definedName>
    <definedName name="cst_shinsei_owner2_CORP">DATA!$J$470</definedName>
    <definedName name="cst_shinsei_owner2_NAME">DATA!$J$473</definedName>
    <definedName name="cst_shinsei_owner2_NAME_KANA">DATA!$J$471</definedName>
    <definedName name="cst_shinsei_owner2_POST">DATA!$J$472</definedName>
    <definedName name="cst_shinsei_owner2_TEL">DATA!$J$476</definedName>
    <definedName name="cst_shinsei_owner2_ZIP">DATA!$J$474</definedName>
    <definedName name="cst_shinsei_owner3__address">DATA!$J$484</definedName>
    <definedName name="cst_shinsei_owner3_CORP">DATA!$J$479</definedName>
    <definedName name="cst_shinsei_owner3_NAME">DATA!$J$482</definedName>
    <definedName name="cst_shinsei_owner3_NAME_KANA">DATA!$J$480</definedName>
    <definedName name="cst_shinsei_owner3_POST">DATA!$J$481</definedName>
    <definedName name="cst_shinsei_owner3_TEL">DATA!$J$485</definedName>
    <definedName name="cst_shinsei_owner3_ZIP">DATA!$J$483</definedName>
    <definedName name="cst_shinsei_owner4__address">DATA!$J$493</definedName>
    <definedName name="cst_shinsei_owner4_CORP">DATA!$J$488</definedName>
    <definedName name="cst_shinsei_owner4_NAME">DATA!$J$491</definedName>
    <definedName name="cst_shinsei_owner4_NAME_KANA">DATA!$J$489</definedName>
    <definedName name="cst_shinsei_owner4_POST">DATA!$J$490</definedName>
    <definedName name="cst_shinsei_owner4_TEL">DATA!$J$494</definedName>
    <definedName name="cst_shinsei_owner4_ZIP">DATA!$J$492</definedName>
    <definedName name="cst_shinsei_owner5__address">DATA!$J$502</definedName>
    <definedName name="cst_shinsei_owner5_CORP">DATA!$J$497</definedName>
    <definedName name="cst_shinsei_owner5_NAME">DATA!$J$500</definedName>
    <definedName name="cst_shinsei_owner5_NAME_KANA">DATA!$J$498</definedName>
    <definedName name="cst_shinsei_owner5_POST">DATA!$J$499</definedName>
    <definedName name="cst_shinsei_owner5_TEL">DATA!$J$503</definedName>
    <definedName name="cst_shinsei_owner5_ZIP">DATA!$J$501</definedName>
    <definedName name="cst_shinsei_owner6__address">DATA!$J$511</definedName>
    <definedName name="cst_shinsei_owner6_CORP">DATA!$J$506</definedName>
    <definedName name="cst_shinsei_owner6_NAME">DATA!$J$509</definedName>
    <definedName name="cst_shinsei_owner6_NAME_KANA">DATA!$J$507</definedName>
    <definedName name="cst_shinsei_owner6_POST">DATA!$J$508</definedName>
    <definedName name="cst_shinsei_owner6_TEL">DATA!$J$512</definedName>
    <definedName name="cst_shinsei_owner6_ZIP">DATA!$J$510</definedName>
    <definedName name="cst_shinsei_owner7__address">DATA!$J$520</definedName>
    <definedName name="cst_shinsei_owner7_CORP">DATA!$J$515</definedName>
    <definedName name="cst_shinsei_owner7_NAME">DATA!$J$518</definedName>
    <definedName name="cst_shinsei_owner7_NAME_KANA">DATA!$J$516</definedName>
    <definedName name="cst_shinsei_owner7_POST">DATA!$J$517</definedName>
    <definedName name="cst_shinsei_owner7_TEL">DATA!$J$521</definedName>
    <definedName name="cst_shinsei_owner7_ZIP">DATA!$J$519</definedName>
    <definedName name="cst_shinsei_owner8__address">DATA!$J$529</definedName>
    <definedName name="cst_shinsei_owner8_CORP">DATA!$J$524</definedName>
    <definedName name="cst_shinsei_owner8_NAME">DATA!$J$527</definedName>
    <definedName name="cst_shinsei_owner8_NAME_KANA">DATA!$J$525</definedName>
    <definedName name="cst_shinsei_owner8_POST">DATA!$J$526</definedName>
    <definedName name="cst_shinsei_owner8_TEL">DATA!$J$530</definedName>
    <definedName name="cst_shinsei_owner8_ZIP">DATA!$J$528</definedName>
    <definedName name="cst_shinsei_owner9__address">DATA!$J$538</definedName>
    <definedName name="cst_shinsei_owner9_CORP">DATA!$J$533</definedName>
    <definedName name="cst_shinsei_owner9_NAME">DATA!$J$536</definedName>
    <definedName name="cst_shinsei_owner9_NAME_KANA">DATA!$J$534</definedName>
    <definedName name="cst_shinsei_owner9_POST">DATA!$J$535</definedName>
    <definedName name="cst_shinsei_owner9_TEL">DATA!$J$539</definedName>
    <definedName name="cst_shinsei_owner9_ZIP">DATA!$J$537</definedName>
    <definedName name="cst_shinsei_PREF_OFFICE_FLAG">DATA!$J$183</definedName>
    <definedName name="cst_shinsei_PROVO_DATE">DATA!$J$1544</definedName>
    <definedName name="cst_shinsei_PROVO_NO">DATA!$J$1546</definedName>
    <definedName name="cst_shinsei_PROVO_NO__dsp">DATA!$J$1547</definedName>
    <definedName name="cst_shinsei_PROVO_TANTO_USER_ID">DATA!$J$46</definedName>
    <definedName name="cst_shinsei_REPORT_DEST_DEPART_NAME">DATA!$J$142</definedName>
    <definedName name="cst_shinsei_REPORT_DEST_DEPART_NAME__decision">dDATA_cst!$I$52</definedName>
    <definedName name="cst_shinsei_REPORT_DEST_FAX">DATA!$J$143</definedName>
    <definedName name="cst_shinsei_REPORT_DEST_FAX__decision">dDATA_cst!$I$53</definedName>
    <definedName name="cst_shinsei_REPORT_DEST_GYOUSEI_NAME">DATA!$J$146</definedName>
    <definedName name="cst_shinsei_REPORT_DEST_GYOUSEI_NAME__decision">dDATA_cst!$I$55</definedName>
    <definedName name="cst_shinsei_REPORT_DEST_GYOUSEI_NAME__dsp">DATA!$J$147</definedName>
    <definedName name="cst_shinsei_REPORT_DEST_GYOUSEI_NAME_kakunin">DATA!$J$148</definedName>
    <definedName name="cst_shinsei_REPORT_DEST_KIND">DATA!$J$1374</definedName>
    <definedName name="cst_shinsei_REPORT_DEST_NAME">DATA!$J$141</definedName>
    <definedName name="cst_shinsei_REPORT_DEST_NAME__decision">dDATA_cst!$I$51</definedName>
    <definedName name="cst_shinsei_REPORT_DEST_SYUJI_NAME">DATA!$J$144</definedName>
    <definedName name="cst_shinsei_REPORT_DEST_SYUJI_NAME__decision">dDATA_cst!$I$54</definedName>
    <definedName name="cst_shinsei_REPORT_DEST_SYUJI_NAME__dsp">DATA!$J$145</definedName>
    <definedName name="cst_shinsei_SEKKEI__address">DATA!$J$785</definedName>
    <definedName name="cst_shinsei_SEKKEI_JIMU_NAME">DATA!$J$783</definedName>
    <definedName name="cst_shinsei_SEKKEI_JIMU_NO">DATA!$J$782</definedName>
    <definedName name="cst_shinsei_SEKKEI_JIMU_SIKAKU">DATA!$J$780</definedName>
    <definedName name="cst_shinsei_SEKKEI_JIMU_TOUROKU_KIKAN">DATA!$J$781</definedName>
    <definedName name="cst_shinsei_SEKKEI_KENSETUSI_NO">DATA!$J$777</definedName>
    <definedName name="cst_shinsei_SEKKEI_NAME">DATA!$J$778</definedName>
    <definedName name="cst_shinsei_SEKKEI_POST_CODE">DATA!$J$784</definedName>
    <definedName name="cst_shinsei_SEKKEI_SIKAKU">DATA!$J$775</definedName>
    <definedName name="cst_shinsei_SEKKEI_TEL">DATA!$J$786</definedName>
    <definedName name="cst_shinsei_SEKKEI_TOUROKU_KIKAN">DATA!$J$776</definedName>
    <definedName name="cst_shinsei_sekkei04__address">DATA!$J$845</definedName>
    <definedName name="cst_shinsei_sekkei04_JIMU_NAME">DATA!$J$843</definedName>
    <definedName name="cst_shinsei_sekkei04_JIMU_NO">DATA!$J$842</definedName>
    <definedName name="cst_shinsei_sekkei04_JIMU_SIKAKU">DATA!$J$840</definedName>
    <definedName name="cst_shinsei_sekkei04_JIMU_TOUROKU_KIKAN">DATA!$J$841</definedName>
    <definedName name="cst_shinsei_sekkei04_KENSETUSI_NO">DATA!$J$837</definedName>
    <definedName name="cst_shinsei_sekkei04_NAME">DATA!$J$838</definedName>
    <definedName name="cst_shinsei_sekkei04_POST_CODE">DATA!$J$844</definedName>
    <definedName name="cst_shinsei_sekkei04_SIKAKU">DATA!$J$835</definedName>
    <definedName name="cst_shinsei_sekkei04_TEL">DATA!$J$846</definedName>
    <definedName name="cst_shinsei_sekkei04_TOUROKU_KIKAN">DATA!$J$836</definedName>
    <definedName name="cst_shinsei_sekkei05__address">DATA!$J$860</definedName>
    <definedName name="cst_shinsei_sekkei05_JIMU_NAME">DATA!$J$858</definedName>
    <definedName name="cst_shinsei_sekkei05_JIMU_NO">DATA!$J$857</definedName>
    <definedName name="cst_shinsei_sekkei05_JIMU_SIKAKU">DATA!$J$855</definedName>
    <definedName name="cst_shinsei_sekkei05_JIMU_TOUROKU_KIKAN">DATA!$J$856</definedName>
    <definedName name="cst_shinsei_sekkei05_KENSETUSI_NO">DATA!$J$852</definedName>
    <definedName name="cst_shinsei_sekkei05_NAME">DATA!$J$853</definedName>
    <definedName name="cst_shinsei_sekkei05_POST_CODE">DATA!$J$859</definedName>
    <definedName name="cst_shinsei_sekkei05_SIKAKU">DATA!$J$850</definedName>
    <definedName name="cst_shinsei_sekkei05_TEL">DATA!$J$861</definedName>
    <definedName name="cst_shinsei_sekkei05_TOUROKU_KIKAN">DATA!$J$851</definedName>
    <definedName name="cst_shinsei_sekkei06__address">DATA!$J$875</definedName>
    <definedName name="cst_shinsei_sekkei06_JIMU_NAME">DATA!$J$873</definedName>
    <definedName name="cst_shinsei_sekkei06_JIMU_NO">DATA!$J$872</definedName>
    <definedName name="cst_shinsei_sekkei06_JIMU_SIKAKU">DATA!$J$870</definedName>
    <definedName name="cst_shinsei_sekkei06_JIMU_TOUROKU_KIKAN">DATA!$J$871</definedName>
    <definedName name="cst_shinsei_sekkei06_KENSETUSI_NO">DATA!$J$867</definedName>
    <definedName name="cst_shinsei_sekkei06_NAME">DATA!$J$868</definedName>
    <definedName name="cst_shinsei_sekkei06_POST_CODE">DATA!$J$874</definedName>
    <definedName name="cst_shinsei_sekkei06_SIKAKU">DATA!$J$865</definedName>
    <definedName name="cst_shinsei_sekkei06_TEL">DATA!$J$876</definedName>
    <definedName name="cst_shinsei_sekkei06_TOUROKU_KIKAN">DATA!$J$866</definedName>
    <definedName name="cst_shinsei_sekkei07__address">DATA!$J$890</definedName>
    <definedName name="cst_shinsei_sekkei07_JIMU_NAME">DATA!$J$888</definedName>
    <definedName name="cst_shinsei_sekkei07_JIMU_NO">DATA!$J$887</definedName>
    <definedName name="cst_shinsei_sekkei07_JIMU_SIKAKU">DATA!$J$885</definedName>
    <definedName name="cst_shinsei_sekkei07_JIMU_TOUROKU_KIKAN">DATA!$J$886</definedName>
    <definedName name="cst_shinsei_sekkei07_KENSETUSI_NO">DATA!$J$882</definedName>
    <definedName name="cst_shinsei_sekkei07_NAME">DATA!$J$883</definedName>
    <definedName name="cst_shinsei_sekkei07_POST_CODE">DATA!$J$889</definedName>
    <definedName name="cst_shinsei_sekkei07_SIKAKU">DATA!$J$880</definedName>
    <definedName name="cst_shinsei_sekkei07_TEL">DATA!$J$891</definedName>
    <definedName name="cst_shinsei_sekkei07_TOUROKU_KIKAN">DATA!$J$881</definedName>
    <definedName name="cst_shinsei_sekkei08__address">DATA!$J$905</definedName>
    <definedName name="cst_shinsei_sekkei08_JIMU_NAME">DATA!$J$903</definedName>
    <definedName name="cst_shinsei_sekkei08_JIMU_NO">DATA!$J$902</definedName>
    <definedName name="cst_shinsei_sekkei08_JIMU_SIKAKU">DATA!$J$900</definedName>
    <definedName name="cst_shinsei_sekkei08_JIMU_TOUROKU_KIKAN">DATA!$J$901</definedName>
    <definedName name="cst_shinsei_sekkei08_KENSETUSI_NO">DATA!$J$897</definedName>
    <definedName name="cst_shinsei_sekkei08_NAME">DATA!$J$898</definedName>
    <definedName name="cst_shinsei_sekkei08_POST_CODE">DATA!$J$904</definedName>
    <definedName name="cst_shinsei_sekkei08_SIKAKU">DATA!$J$895</definedName>
    <definedName name="cst_shinsei_sekkei08_TEL">DATA!$J$906</definedName>
    <definedName name="cst_shinsei_sekkei08_TOUROKU_KIKAN">DATA!$J$896</definedName>
    <definedName name="cst_shinsei_sekkei09__address">DATA!$J$920</definedName>
    <definedName name="cst_shinsei_sekkei09_JIMU_NAME">DATA!$J$918</definedName>
    <definedName name="cst_shinsei_sekkei09_JIMU_NO">DATA!$J$917</definedName>
    <definedName name="cst_shinsei_sekkei09_JIMU_SIKAKU">DATA!$J$915</definedName>
    <definedName name="cst_shinsei_sekkei09_JIMU_TOUROKU_KIKAN">DATA!$J$916</definedName>
    <definedName name="cst_shinsei_sekkei09_KENSETUSI_NO">DATA!$J$912</definedName>
    <definedName name="cst_shinsei_sekkei09_NAME">DATA!$J$913</definedName>
    <definedName name="cst_shinsei_sekkei09_POST_CODE">DATA!$J$919</definedName>
    <definedName name="cst_shinsei_sekkei09_SIKAKU">DATA!$J$910</definedName>
    <definedName name="cst_shinsei_sekkei09_TEL">DATA!$J$921</definedName>
    <definedName name="cst_shinsei_sekkei09_TOUROKU_KIKAN">DATA!$J$911</definedName>
    <definedName name="cst_shinsei_SEKKEI1__address">DATA!$J$800</definedName>
    <definedName name="cst_shinsei_SEKKEI1_JIMU_NAME">DATA!$J$798</definedName>
    <definedName name="cst_shinsei_SEKKEI1_JIMU_NO">DATA!$J$797</definedName>
    <definedName name="cst_shinsei_SEKKEI1_JIMU_SIKAKU">DATA!$J$795</definedName>
    <definedName name="cst_shinsei_SEKKEI1_JIMU_TOUROKU_KIKAN">DATA!$J$796</definedName>
    <definedName name="cst_shinsei_SEKKEI1_KENSETUSI_NO">DATA!$J$792</definedName>
    <definedName name="cst_shinsei_SEKKEI1_NAME">DATA!$J$793</definedName>
    <definedName name="cst_shinsei_SEKKEI1_POST_CODE">DATA!$J$799</definedName>
    <definedName name="cst_shinsei_SEKKEI1_SIKAKU">DATA!$J$790</definedName>
    <definedName name="cst_shinsei_SEKKEI1_TEL">DATA!$J$801</definedName>
    <definedName name="cst_shinsei_SEKKEI1_TOUROKU_KIKAN">DATA!$J$791</definedName>
    <definedName name="cst_shinsei_sekkei10__address">DATA!$J$935</definedName>
    <definedName name="cst_shinsei_sekkei10_JIMU_NAME">DATA!$J$933</definedName>
    <definedName name="cst_shinsei_sekkei10_JIMU_NO">DATA!$J$932</definedName>
    <definedName name="cst_shinsei_sekkei10_JIMU_SIKAKU">DATA!$J$930</definedName>
    <definedName name="cst_shinsei_sekkei10_JIMU_TOUROKU_KIKAN">DATA!$J$931</definedName>
    <definedName name="cst_shinsei_sekkei10_KENSETUSI_NO">DATA!$J$927</definedName>
    <definedName name="cst_shinsei_sekkei10_NAME">DATA!$J$928</definedName>
    <definedName name="cst_shinsei_sekkei10_POST_CODE">DATA!$J$934</definedName>
    <definedName name="cst_shinsei_sekkei10_SIKAKU">DATA!$J$925</definedName>
    <definedName name="cst_shinsei_sekkei10_TEL">DATA!$J$936</definedName>
    <definedName name="cst_shinsei_sekkei10_TOUROKU_KIKAN">DATA!$J$926</definedName>
    <definedName name="cst_shinsei_sekkei11__address">DATA!$J$950</definedName>
    <definedName name="cst_shinsei_sekkei11_JIMU_NAME">DATA!$J$948</definedName>
    <definedName name="cst_shinsei_sekkei11_JIMU_NO">DATA!$J$947</definedName>
    <definedName name="cst_shinsei_sekkei11_JIMU_SIKAKU">DATA!$J$945</definedName>
    <definedName name="cst_shinsei_sekkei11_JIMU_TOUROKU_KIKAN">DATA!$J$946</definedName>
    <definedName name="cst_shinsei_sekkei11_KENSETUSI_NO">DATA!$J$942</definedName>
    <definedName name="cst_shinsei_sekkei11_NAME">DATA!$J$943</definedName>
    <definedName name="cst_shinsei_sekkei11_POST_CODE">DATA!$J$949</definedName>
    <definedName name="cst_shinsei_sekkei11_SIKAKU">DATA!$J$940</definedName>
    <definedName name="cst_shinsei_sekkei11_TEL">DATA!$J$951</definedName>
    <definedName name="cst_shinsei_sekkei11_TOUROKU_KIKAN">DATA!$J$941</definedName>
    <definedName name="cst_shinsei_SEKKEI2__address">DATA!$J$815</definedName>
    <definedName name="cst_shinsei_SEKKEI2_JIMU_NAME">DATA!$J$813</definedName>
    <definedName name="cst_shinsei_SEKKEI2_JIMU_NO">DATA!$J$812</definedName>
    <definedName name="cst_shinsei_SEKKEI2_JIMU_SIKAKU">DATA!$J$810</definedName>
    <definedName name="cst_shinsei_SEKKEI2_JIMU_TOUROKU_KIKAN">DATA!$J$811</definedName>
    <definedName name="cst_shinsei_SEKKEI2_KENSETUSI_NO">DATA!$J$807</definedName>
    <definedName name="cst_shinsei_SEKKEI2_NAME">DATA!$J$808</definedName>
    <definedName name="cst_shinsei_SEKKEI2_POST_CODE">DATA!$J$814</definedName>
    <definedName name="cst_shinsei_SEKKEI2_SIKAKU">DATA!$J$805</definedName>
    <definedName name="cst_shinsei_SEKKEI2_TEL">DATA!$J$816</definedName>
    <definedName name="cst_shinsei_SEKKEI2_TOUROKU_KIKAN">DATA!$J$806</definedName>
    <definedName name="cst_shinsei_SEKKEI3__address">DATA!$J$830</definedName>
    <definedName name="cst_shinsei_SEKKEI3_JIMU_NAME">DATA!$J$828</definedName>
    <definedName name="cst_shinsei_SEKKEI3_JIMU_NO">DATA!$J$827</definedName>
    <definedName name="cst_shinsei_SEKKEI3_JIMU_SIKAKU">DATA!$J$825</definedName>
    <definedName name="cst_shinsei_SEKKEI3_JIMU_TOUROKU_KIKAN">DATA!$J$826</definedName>
    <definedName name="cst_shinsei_SEKKEI3_KENSETUSI_NO">DATA!$J$822</definedName>
    <definedName name="cst_shinsei_SEKKEI3_NAME">DATA!$J$823</definedName>
    <definedName name="cst_shinsei_SEKKEI3_POST_CODE">DATA!$J$829</definedName>
    <definedName name="cst_shinsei_SEKKEI3_SIKAKU">DATA!$J$820</definedName>
    <definedName name="cst_shinsei_SEKKEI3_TEL">DATA!$J$831</definedName>
    <definedName name="cst_shinsei_SEKKEI3_TOUROKU_KIKAN">DATA!$J$821</definedName>
    <definedName name="cst_shinsei_SEKOU__address">DATA!$J$1139</definedName>
    <definedName name="cst_shinsei_SEKOU_ADDRESS">DATA!$J$1140</definedName>
    <definedName name="cst_shinsei_SEKOU_JIMU_NAME">DATA!$J$1138</definedName>
    <definedName name="cst_shinsei_SEKOU_JIMU_NO">DATA!$J$1137</definedName>
    <definedName name="cst_shinsei_SEKOU_JIMU_TOUROKU_KIKAN">DATA!$J$1136</definedName>
    <definedName name="cst_shinsei_SEKOU_NAME">DATA!$J$1135</definedName>
    <definedName name="cst_shinsei_SEKOU_TEL">DATA!$J$1141</definedName>
    <definedName name="cst_shinsei_sekou2__address">DATA!$J$1148</definedName>
    <definedName name="cst_shinsei_sekou2_ADDRESS">DATA!$J$1149</definedName>
    <definedName name="cst_shinsei_sekou2_JIMU_NAME">DATA!$J$1147</definedName>
    <definedName name="cst_shinsei_sekou2_JIMU_NO">DATA!$J$1146</definedName>
    <definedName name="cst_shinsei_sekou2_JIMU_TOUROKU_KIKAN">DATA!$J$1145</definedName>
    <definedName name="cst_shinsei_sekou2_NAME">DATA!$J$1144</definedName>
    <definedName name="cst_shinsei_sekou2_TEL">DATA!$J$1150</definedName>
    <definedName name="cst_shinsei_sekou3__address">DATA!$J$1157</definedName>
    <definedName name="cst_shinsei_sekou3_ADDRESS">DATA!$J$1158</definedName>
    <definedName name="cst_shinsei_sekou3_JIMU_NAME">DATA!$J$1156</definedName>
    <definedName name="cst_shinsei_sekou3_JIMU_NO">DATA!$J$1155</definedName>
    <definedName name="cst_shinsei_sekou3_JIMU_TOUROKU_KIKAN">DATA!$J$1154</definedName>
    <definedName name="cst_shinsei_sekou3_NAME">DATA!$J$1153</definedName>
    <definedName name="cst_shinsei_sekou3_TEL">DATA!$J$1159</definedName>
    <definedName name="cst_shinsei_sekou4__address">DATA!$J$1166</definedName>
    <definedName name="cst_shinsei_sekou4_ADDRESS">DATA!$J$1167</definedName>
    <definedName name="cst_shinsei_sekou4_JIMU_NAME">DATA!$J$1165</definedName>
    <definedName name="cst_shinsei_sekou4_JIMU_NO">DATA!$J$1164</definedName>
    <definedName name="cst_shinsei_sekou4_JIMU_TOUROKU_KIKAN">DATA!$J$1163</definedName>
    <definedName name="cst_shinsei_sekou4_NAME">DATA!$J$1162</definedName>
    <definedName name="cst_shinsei_sekou4_TEL">DATA!$J$1168</definedName>
    <definedName name="cst_shinsei_sekou5__address">DATA!$J$1175</definedName>
    <definedName name="cst_shinsei_sekou5_ADDRESS">DATA!$J$1176</definedName>
    <definedName name="cst_shinsei_sekou5_JIMU_NAME">DATA!$J$1174</definedName>
    <definedName name="cst_shinsei_sekou5_JIMU_NO">DATA!$J$1173</definedName>
    <definedName name="cst_shinsei_sekou5_JIMU_TOUROKU_KIKAN">DATA!$J$1172</definedName>
    <definedName name="cst_shinsei_sekou5_NAME">DATA!$J$1171</definedName>
    <definedName name="cst_shinsei_sekou5_TEL">DATA!$J$1177</definedName>
    <definedName name="cst_shinsei_sekou6__address">DATA!$J$1184</definedName>
    <definedName name="cst_shinsei_sekou6_ADDRESS">DATA!$J$1185</definedName>
    <definedName name="cst_shinsei_sekou6_JIMU_NAME">DATA!$J$1183</definedName>
    <definedName name="cst_shinsei_sekou6_JIMU_NO">DATA!$J$1182</definedName>
    <definedName name="cst_shinsei_sekou6_JIMU_TOUROKU_KIKAN">DATA!$J$1181</definedName>
    <definedName name="cst_shinsei_sekou6_NAME">DATA!$J$1180</definedName>
    <definedName name="cst_shinsei_sekou6_TEL">DATA!$J$1186</definedName>
    <definedName name="cst_shinsei_SEPTICTANK_KOUZOU_SYURUI">DATA!$J$1361</definedName>
    <definedName name="cst_shinsei_SETSUBI_TANTO">DATA!$J$60</definedName>
    <definedName name="cst_shinsei_SETSUBI_TANTO2">DATA!$J$61</definedName>
    <definedName name="cst_shinsei_SETSUBI_TANTO3">DATA!$J$62</definedName>
    <definedName name="cst_shinsei_STR_EXCEEDED_DATE_disp">DATA_StructuralCalc!$J$57</definedName>
    <definedName name="cst_shinsei_STR_SEKKEI___address">DATA_StructuralCalc!$J$26</definedName>
    <definedName name="cst_shinsei_STR_SEKKEI_EMAIL">DATA_StructuralCalc!$J$27</definedName>
    <definedName name="cst_shinsei_STR_SEKKEI_FAX">DATA_StructuralCalc!$J$29</definedName>
    <definedName name="cst_shinsei_STR_SEKKEI_JIMU_NAME">DATA_StructuralCalc!$J$24</definedName>
    <definedName name="cst_shinsei_STR_SEKKEI_NAME">DATA_StructuralCalc!$J$25</definedName>
    <definedName name="cst_shinsei_STR_SEKKEI_TEL">DATA_StructuralCalc!$J$28</definedName>
    <definedName name="cst_shinsei_STR_SHINSEI_TOWERS">DATA_StructuralCalc!$J$18</definedName>
    <definedName name="cst_shinsei_STR_SHINSEI_TOWERS__disp">DATA_StructuralCalc!$J$19</definedName>
    <definedName name="cst_shinsei_STR_SHINSEI_TOWERS__set_count">DATA!$J$1681</definedName>
    <definedName name="cst_shinsei_STR_TEKIHAN_NO">DATA_StructuralCalc!$J$52</definedName>
    <definedName name="cst_shinsei_STR_TOTAL_CHARGE">DATA_fee_detail!$I$28</definedName>
    <definedName name="cst_shinsei_STR_TOTAL_CHARGE__zero">DATA_StructuralCalc!$J$98</definedName>
    <definedName name="cst_shinsei_STRIRAI_DATE">DATA_StructuralCalc!$J$49</definedName>
    <definedName name="cst_shinsei_STRIRAI_DOCNO">DATA_StructuralCalc!$J$48</definedName>
    <definedName name="cst_shinsei_STRIRAI_TEKIHAN_ACCEPT_DATE">DATA_StructuralCalc!$J$50</definedName>
    <definedName name="cst_shinsei_STRIRAI_TEKIHAN_ACCEPT_NO">DATA_StructuralCalc!$J$51</definedName>
    <definedName name="cst_shinsei_STRIRAI_TEKIHAN_LAST_NO">DATA_StructuralCalc!$J$53</definedName>
    <definedName name="cst_shinsei_STRPROVO_IRAIYOTEI_DATE">DATA_StructuralCalc!$J$38</definedName>
    <definedName name="cst_shinsei_STRPROVO_IRAIYOTEI_DATE2">DATA_StructuralCalc!$J$39</definedName>
    <definedName name="cst_shinsei_STRPROVO_NOTE">DATA_StructuralCalc!$J$43</definedName>
    <definedName name="cst_shinsei_STRPROVO_NOTIFY_DATE">DATA_StructuralCalc!$J$37</definedName>
    <definedName name="cst_shinsei_STRPROVO_SEIGEN_BESSI">DATA_StructuralCalc!$J$41</definedName>
    <definedName name="cst_shinsei_STRPROVO_SEIGEN_MITEI">DATA_StructuralCalc!$J$42</definedName>
    <definedName name="cst_shinsei_STRTORISAGE_CAUSE">DATA_StructuralCalc!$J$67</definedName>
    <definedName name="cst_shinsei_STRTORISAGE_TEISYUTU_DATE">DATA_StructuralCalc!$J$66</definedName>
    <definedName name="cst_shinsei_strtower_HOU20_2_select__KKS_select">DATA_StructuralCalc!$J$126</definedName>
    <definedName name="cst_shinsei_strtower_HOU20_3_select__KKS_select">DATA_StructuralCalc!$J$127</definedName>
    <definedName name="cst_shinsei_strtower_JUDGE">DATA_StructuralCalc!$J$95</definedName>
    <definedName name="cst_shinsei_strtower_KAISU_TIJYOU__KKS_select">DATA_StructuralCalc!$J$116</definedName>
    <definedName name="cst_shinsei_strtower_KAISU_TIKA__KKS_select">DATA_StructuralCalc!$J$117</definedName>
    <definedName name="cst_shinsei_strtower_KAISU_TOUYA__KKS_select">DATA_StructuralCalc!$J$118</definedName>
    <definedName name="cst_shinsei_strtower_KEISAN_X_ROUTE__select">DATA_StructuralCalc!$J$129</definedName>
    <definedName name="cst_shinsei_strtower_KEISAN_Y_ROUTE__select">DATA_StructuralCalc!$J$130</definedName>
    <definedName name="cst_shinsei_strtower_KOUJI_TEXT__KKS_select">DATA_StructuralCalc!$J$120</definedName>
    <definedName name="cst_shinsei_strtower_KOUJI_TEXT__KKS_select_iten">DATA_StructuralCalc!$J$124</definedName>
    <definedName name="cst_shinsei_strtower_KOUJI_TEXT__KKS_select_kaitiku">DATA_StructuralCalc!$J$123</definedName>
    <definedName name="cst_shinsei_strtower_KOUJI_TEXT__KKS_select_shintiku">DATA_StructuralCalc!$J$121</definedName>
    <definedName name="cst_shinsei_strtower_KOUJI_TEXT__KKS_select_zoutiku">DATA_StructuralCalc!$J$122</definedName>
    <definedName name="cst_shinsei_strtower_KOUZOU__select">DATA_StructuralCalc!$J$104</definedName>
    <definedName name="cst_shinsei_strtower_KOUZOU_KEISAN_2_1_i">DATA_StructuralCalc!$J$134</definedName>
    <definedName name="cst_shinsei_strtower_KOUZOU_KEISAN_2_1_ro">DATA_StructuralCalc!$J$135</definedName>
    <definedName name="cst_shinsei_strtower_KOUZOU_KEISAN_2_2_i">DATA_StructuralCalc!$J$136</definedName>
    <definedName name="cst_shinsei_strtower_KOUZOU_KEISAN_3">DATA_StructuralCalc!$J$137</definedName>
    <definedName name="cst_shinsei_strtower_KOUZOU_KEISAN_TEXT__KKS_select">DATA_StructuralCalc!$J$133</definedName>
    <definedName name="cst_shinsei_strtower_KOUZOU_TEXT__KKS_select">DATA_StructuralCalc!$J$125</definedName>
    <definedName name="cst_shinsei_strtower_MAX_TAKASA__KKS_select">DATA_StructuralCalc!$J$114</definedName>
    <definedName name="cst_shinsei_strtower_MENSEKI__KKS_select">DATA_StructuralCalc!$J$113</definedName>
    <definedName name="cst_shinsei_strtower_MENSEKI__select">DATA_StructuralCalc!$J$103</definedName>
    <definedName name="cst_shinsei_strtower_prgo01_NAME">DATA_StructuralCalc!$J$141</definedName>
    <definedName name="cst_shinsei_strtower_prgo01_NINTEI_NO__KKS_select">DATA_StructuralCalc!$J$143</definedName>
    <definedName name="cst_shinsei_STRTOWER_PROG_MAKER__NINTEI_ari_SP">DATA_StructuralCalc!$J$146</definedName>
    <definedName name="cst_shinsei_STRTOWER_PROG_MAKER__NINTEI_no_SP">DATA_StructuralCalc!$J$152</definedName>
    <definedName name="cst_shinsei_STRTOWER_PROG_NAME_VER__CHAR">DATA_StructuralCalc!$J$139</definedName>
    <definedName name="cst_shinsei_STRTOWER_PROG_NAME_VER__NINTEI_ari_SP">DATA_StructuralCalc!$J$147</definedName>
    <definedName name="cst_shinsei_STRTOWER_PROG_NAME_VER__NINTEI_non_SP">DATA_StructuralCalc!$J$153</definedName>
    <definedName name="cst_shinsei_STRTOWER_PROG_NAME_VER__SP">DATA_StructuralCalc!$J$140</definedName>
    <definedName name="cst_shinsei_STRTOWER_PROG_NINTEI_DATE_SP">DATA_StructuralCalc!$J$150</definedName>
    <definedName name="cst_shinsei_strtower_PROGRAM_KIND__select">DATA_StructuralCalc!$J$107</definedName>
    <definedName name="cst_shinsei_strtower_PROGRAM_KIND_SONOTA__select">DATA_StructuralCalc!$J$131</definedName>
    <definedName name="cst_shinsei_strtower_REI80_2_KOKUJI__select">DATA_StructuralCalc!$J$105</definedName>
    <definedName name="cst_shinsei_strtower_REI80_2_KOKUJI__select2">DATA_StructuralCalc!$J$106</definedName>
    <definedName name="cst_shinsei_strtower_STR_TOWER_NAME__KKS_select">DATA_StructuralCalc!$J$112</definedName>
    <definedName name="cst_shinsei_strtower_STR_TOWER_YOUTO_TEXT__KKS_select">DATA_StructuralCalc!$J$119</definedName>
    <definedName name="cst_shinsei_strtower_TAKASA_MAX__select">DATA_StructuralCalc!$J$102</definedName>
    <definedName name="cst_shinsei_strtower_TOWER_NO__KKS_select">DATA_StructuralCalc!$J$110</definedName>
    <definedName name="cst_shinsei_strtower_TOWER_NO__KKS_select2">DATA_StructuralCalc!$J$111</definedName>
    <definedName name="cst_shinsei_strtower_XY_select__KKS_select">DATA_StructuralCalc!$J$128</definedName>
    <definedName name="cst_shinsei_strtower01__TOWER_NO_STR_TOWER_NO">DATA_StructuralCalc!$J$163</definedName>
    <definedName name="cst_shinsei_strtower01__TOWER_NO_STR_TOWERS">DATA_StructuralCalc!$J$164</definedName>
    <definedName name="cst_shinsei_strtower01_BUILD_KUBUN">DATA_StructuralCalc!$J$190</definedName>
    <definedName name="cst_shinsei_strtower01_BUILD_KUBUN_TEXT">DATA_StructuralCalc!$J$191</definedName>
    <definedName name="cst_shinsei_strtower01_CHARGE">DATA_StructuralCalc!$J$293</definedName>
    <definedName name="cst_shinsei_strtower01_CHARGE__dsp">DATA_StructuralCalc!$J$294</definedName>
    <definedName name="cst_shinsei_strtower01_CHARGE_KEISAN_NOTE">DATA_StructuralCalc!$J$298</definedName>
    <definedName name="cst_shinsei_strtower01_CHARGE_KEISAN_NOTE__alter">DATA_StructuralCalc!$J$299</definedName>
    <definedName name="cst_shinsei_strtower01_CHARGE_SANTEI_MENSEKI">DATA_StructuralCalc!$J$297</definedName>
    <definedName name="cst_shinsei_strtower01_CHARGE_TOTAL">DATA_StructuralCalc!$J$296</definedName>
    <definedName name="cst_shinsei_strtower01_CHARGE_WARIMASHI">DATA_StructuralCalc!$J$295</definedName>
    <definedName name="cst_shinsei_strtower01_DISK_FLAG">DATA_StructuralCalc!$J$292</definedName>
    <definedName name="cst_shinsei_strtower01_HOU20_2_select">DATA_StructuralCalc!$J$192</definedName>
    <definedName name="cst_shinsei_strtower01_HOU20_3_select">DATA_StructuralCalc!$J$193</definedName>
    <definedName name="cst_shinsei_strtower01_JUDGE">DATA!$J$1683</definedName>
    <definedName name="cst_shinsei_strtower01_KAISU_TIJYOU">DATA_StructuralCalc!$J$187</definedName>
    <definedName name="cst_shinsei_strtower01_KAISU_TIKA">DATA_StructuralCalc!$J$188</definedName>
    <definedName name="cst_shinsei_strtower01_KAISU_TOUYA">DATA_StructuralCalc!$J$189</definedName>
    <definedName name="cst_shinsei_strtower01_KEISAN_X_ROUTE">DATA_StructuralCalc!$J$300</definedName>
    <definedName name="cst_shinsei_strtower01_KEISAN_Y_ROUTE">DATA_StructuralCalc!$J$301</definedName>
    <definedName name="cst_shinsei_strtower01_KOUJI_TEXT">DATA_StructuralCalc!$J$168</definedName>
    <definedName name="cst_shinsei_strtower01_KOUJI_TEXT__KKS_select_iten">DATA_StructuralCalc!$J$172</definedName>
    <definedName name="cst_shinsei_strtower01_KOUJI_TEXT__KKS_select_kaitiku">DATA_StructuralCalc!$J$171</definedName>
    <definedName name="cst_shinsei_strtower01_KOUJI_TEXT__KKS_select_shintiku">DATA_StructuralCalc!$J$169</definedName>
    <definedName name="cst_shinsei_strtower01_KOUJI_TEXT__KKS_select_zoutiku">DATA_StructuralCalc!$J$170</definedName>
    <definedName name="cst_shinsei_strtower01_KOUZOU">DATA_StructuralCalc!$J$173</definedName>
    <definedName name="cst_shinsei_strtower01_KOUZOU_KEISAN">DATA_StructuralCalc!$J$175</definedName>
    <definedName name="cst_shinsei_strtower01_KOUZOU_KEISAN_2_1_i">DATA_StructuralCalc!$J$177</definedName>
    <definedName name="cst_shinsei_strtower01_KOUZOU_KEISAN_2_1_ro">DATA_StructuralCalc!$J$178</definedName>
    <definedName name="cst_shinsei_strtower01_KOUZOU_KEISAN_2_2_i">DATA_StructuralCalc!$J$179</definedName>
    <definedName name="cst_shinsei_strtower01_KOUZOU_KEISAN_3">DATA_StructuralCalc!$J$180</definedName>
    <definedName name="cst_shinsei_strtower01_KOUZOU_KEISAN_TEXT">DATA_StructuralCalc!$J$176</definedName>
    <definedName name="cst_shinsei_strtower01_KOUZOU_TEXT">DATA_StructuralCalc!$J$174</definedName>
    <definedName name="cst_shinsei_strtower01_MAX_NOKI_TAKASA">DATA_StructuralCalc!$J$185</definedName>
    <definedName name="cst_shinsei_strtower01_MAX_TAKASA">DATA_StructuralCalc!$J$184</definedName>
    <definedName name="cst_shinsei_strtower01_MENJYO">DATA_StructuralCalc!$J$194</definedName>
    <definedName name="cst_shinsei_strtower01_MENSEKI">DATA_StructuralCalc!$J$182</definedName>
    <definedName name="cst_shinsei_strtower01_MENSEKI__dsp">DATA_StructuralCalc!$J$183</definedName>
    <definedName name="cst_shinsei_strtower01_NINTEI">DATA_StructuralCalc!$J$198</definedName>
    <definedName name="cst_shinsei_strtower01_prgo01_MAKER__nintei_ari">DATA_StructuralCalc!$J$211</definedName>
    <definedName name="cst_shinsei_strtower01_prgo01_MAKER__nintei_nasi">DATA_StructuralCalc!$J$219</definedName>
    <definedName name="cst_shinsei_strtower01_prgo01_MAKER__NINTEI_non">DATA_StructuralCalc!$J$214</definedName>
    <definedName name="cst_shinsei_strtower01_prgo01_NAME">DATA_StructuralCalc!$J$202</definedName>
    <definedName name="cst_shinsei_strtower01_prgo01_NAME_VER">DATA_StructuralCalc!$J$208</definedName>
    <definedName name="cst_shinsei_strtower01_prgo01_NAME_VER__NINTEI_ari">DATA_StructuralCalc!$J$212</definedName>
    <definedName name="cst_shinsei_strtower01_prgo01_NAME_VER__NINTEI_non">DATA_StructuralCalc!$J$215</definedName>
    <definedName name="cst_shinsei_strtower01_prgo01_NAME_VER__SP">DATA_StructuralCalc!$J$209</definedName>
    <definedName name="cst_shinsei_strtower01_prgo01_NINTEI__nintei_ari">DATA_StructuralCalc!$J$218</definedName>
    <definedName name="cst_shinsei_strtower01_prgo01_NINTEI__umu">DATA_StructuralCalc!$J$204</definedName>
    <definedName name="cst_shinsei_strtower01_prgo01_NINTEI_DATE_dsp">DATA_StructuralCalc!$J$206</definedName>
    <definedName name="cst_shinsei_strtower01_prgo01_NINTEI_NO">DATA_StructuralCalc!$J$205</definedName>
    <definedName name="cst_shinsei_strtower01_prgo01_PROG__nintei_ari">DATA_StructuralCalc!$J$216</definedName>
    <definedName name="cst_shinsei_strtower01_prgo01_PROG__nintei_nasi">DATA_StructuralCalc!$J$220</definedName>
    <definedName name="cst_shinsei_strtower01_prgo01_VER">DATA_StructuralCalc!$J$203</definedName>
    <definedName name="cst_shinsei_strtower01_prgo01_VER__nintei_ari">DATA_StructuralCalc!$J$217</definedName>
    <definedName name="cst_shinsei_strtower01_prgo01_VER__nintei_nasi">DATA_StructuralCalc!$J$221</definedName>
    <definedName name="cst_shinsei_strtower01_prgo02_MAKER__NINTEI_ari">DATA_StructuralCalc!$J$232</definedName>
    <definedName name="cst_shinsei_strtower01_prgo02_MAKER__NINTEI_non">DATA_StructuralCalc!$J$235</definedName>
    <definedName name="cst_shinsei_strtower01_prgo02_NAME_VER">DATA_StructuralCalc!$J$229</definedName>
    <definedName name="cst_shinsei_strtower01_prgo02_NAME_VER__NINTEI_ari">DATA_StructuralCalc!$J$233</definedName>
    <definedName name="cst_shinsei_strtower01_prgo02_NAME_VER__NINTEI_non">DATA_StructuralCalc!$J$236</definedName>
    <definedName name="cst_shinsei_strtower01_prgo02_NAME_VER__SP">DATA_StructuralCalc!$J$230</definedName>
    <definedName name="cst_shinsei_strtower01_prgo02_NINTEI__umu">DATA_StructuralCalc!$J$225</definedName>
    <definedName name="cst_shinsei_strtower01_prgo02_NINTEI_DATE_dsp">DATA_StructuralCalc!$J$227</definedName>
    <definedName name="cst_shinsei_strtower01_prgo03_MAKER__NINTEI_ari">DATA_StructuralCalc!$J$247</definedName>
    <definedName name="cst_shinsei_strtower01_prgo03_MAKER__NINTEI_non">DATA_StructuralCalc!$J$250</definedName>
    <definedName name="cst_shinsei_strtower01_prgo03_NAME_VER">DATA_StructuralCalc!$J$244</definedName>
    <definedName name="cst_shinsei_strtower01_prgo03_NAME_VER__NINTEI_ari">DATA_StructuralCalc!$J$248</definedName>
    <definedName name="cst_shinsei_strtower01_prgo03_NAME_VER__NINTEI_non">DATA_StructuralCalc!$J$251</definedName>
    <definedName name="cst_shinsei_strtower01_prgo03_NAME_VER__SP">DATA_StructuralCalc!$J$245</definedName>
    <definedName name="cst_shinsei_strtower01_prgo03_NINTEI__umu">DATA_StructuralCalc!$J$240</definedName>
    <definedName name="cst_shinsei_strtower01_prgo03_NINTEI_DATE_dsp">DATA_StructuralCalc!$J$242</definedName>
    <definedName name="cst_shinsei_strtower01_prgo04_MAKER__NINTEI_ari">DATA_StructuralCalc!$J$262</definedName>
    <definedName name="cst_shinsei_strtower01_prgo04_MAKER__NINTEI_non">DATA_StructuralCalc!$J$265</definedName>
    <definedName name="cst_shinsei_strtower01_prgo04_NAME_VER">DATA_StructuralCalc!$J$259</definedName>
    <definedName name="cst_shinsei_strtower01_prgo04_NAME_VER__NINTEI_ari">DATA_StructuralCalc!$J$263</definedName>
    <definedName name="cst_shinsei_strtower01_prgo04_NAME_VER__NINTEI_non">DATA_StructuralCalc!$J$266</definedName>
    <definedName name="cst_shinsei_strtower01_prgo04_NAME_VER__SP">DATA_StructuralCalc!$J$260</definedName>
    <definedName name="cst_shinsei_strtower01_prgo04_NINTEI__umu">DATA_StructuralCalc!$J$255</definedName>
    <definedName name="cst_shinsei_strtower01_prgo04_NINTEI_DATE_dsp">DATA_StructuralCalc!$J$257</definedName>
    <definedName name="cst_shinsei_strtower01_prgo05_MAKER__NINTEI_ari">DATA_StructuralCalc!$J$277</definedName>
    <definedName name="cst_shinsei_strtower01_prgo05_MAKER__NINTEI_non">DATA_StructuralCalc!$J$280</definedName>
    <definedName name="cst_shinsei_strtower01_prgo05_NAME_VER">DATA_StructuralCalc!$J$274</definedName>
    <definedName name="cst_shinsei_strtower01_prgo05_NAME_VER__NINTEI_ari">DATA_StructuralCalc!$J$278</definedName>
    <definedName name="cst_shinsei_strtower01_prgo05_NAME_VER__NINTEI_non">DATA_StructuralCalc!$J$281</definedName>
    <definedName name="cst_shinsei_strtower01_prgo05_NAME_VER__SP">DATA_StructuralCalc!$J$275</definedName>
    <definedName name="cst_shinsei_strtower01_prgo05_NINTEI__umu">DATA_StructuralCalc!$J$270</definedName>
    <definedName name="cst_shinsei_strtower01_prgo05_NINTEI_DATE_dsp">DATA_StructuralCalc!$J$272</definedName>
    <definedName name="cst_shinsei_STRTOWER01_PROG_MAKER__NINTEI_ari_SP">DATA_StructuralCalc!$J$286</definedName>
    <definedName name="cst_shinsei_STRTOWER01_PROG_MAKER__NINTEI_no_SP">DATA_StructuralCalc!$J$290</definedName>
    <definedName name="cst_shinsei_STRTOWER01_PROG_NAME_VER__CHAR">DATA_StructuralCalc!$J$283</definedName>
    <definedName name="cst_shinsei_STRTOWER01_PROG_NAME_VER__CHAR__SP">DATA_StructuralCalc!$J$284</definedName>
    <definedName name="cst_shinsei_STRTOWER01_PROG_NAME_VER__NINTEI_ari_SP">DATA_StructuralCalc!$J$287</definedName>
    <definedName name="cst_shinsei_STRTOWER01_PROG_NAME_VER__NINTEI_non_SP">DATA_StructuralCalc!$J$291</definedName>
    <definedName name="cst_shinsei_STRTOWER01_PROG_NINTEI_DATE_SP">DATA_StructuralCalc!$J$288</definedName>
    <definedName name="cst_shinsei_strtower01_PROGRAM_KIND">DATA_StructuralCalc!$J$195</definedName>
    <definedName name="cst_shinsei_strtower01_PROGRAM_KIND_SONOTA">DATA_StructuralCalc!$J$303</definedName>
    <definedName name="cst_shinsei_strtower01_REI80_2_KOKUJI">DATA_StructuralCalc!$J$196</definedName>
    <definedName name="cst_shinsei_strtower01_REI80_2_KOKUJI__select2">DATA_StructuralCalc!$J$197</definedName>
    <definedName name="cst_shinsei_strtower01_STR_TOWER_NAME">DATA_StructuralCalc!$J$165</definedName>
    <definedName name="cst_shinsei_strtower01_STR_TOWER_NO">DATA_StructuralCalc!$J$162</definedName>
    <definedName name="cst_shinsei_strtower01_STR_TOWER_YOUTO_TEXT">DATA_StructuralCalc!$J$167</definedName>
    <definedName name="cst_shinsei_strtower01_TOWER_NO">DATA_StructuralCalc!$J$161</definedName>
    <definedName name="cst_shinsei_strtower01_XY_select">DATA_StructuralCalc!$J$302</definedName>
    <definedName name="cst_shinsei_strtower02__TOWER_NO_STR_TOWER_NO">DATA_StructuralCalc!$J$308</definedName>
    <definedName name="cst_shinsei_strtower02__TOWER_NO_STR_TOWERS">DATA_StructuralCalc!$J$309</definedName>
    <definedName name="cst_shinsei_strtower02_BUILD_KUBUN">DATA_StructuralCalc!$J$326</definedName>
    <definedName name="cst_shinsei_strtower02_BUILD_KUBUN_TEXT">DATA_StructuralCalc!$J$327</definedName>
    <definedName name="cst_shinsei_strtower02_CHARGE">DATA_StructuralCalc!$J$428</definedName>
    <definedName name="cst_shinsei_strtower02_CHARGE__dsp">DATA_StructuralCalc!$J$429</definedName>
    <definedName name="cst_shinsei_strtower02_CHARGE_KEISAN_NOTE">DATA_StructuralCalc!$J$433</definedName>
    <definedName name="cst_shinsei_strtower02_CHARGE_KEISAN_NOTE__alter">DATA_StructuralCalc!$J$434</definedName>
    <definedName name="cst_shinsei_strtower02_CHARGE_SANTEI_MENSEKI">DATA_StructuralCalc!$J$432</definedName>
    <definedName name="cst_shinsei_strtower02_CHARGE_TOTAL">DATA_StructuralCalc!$J$431</definedName>
    <definedName name="cst_shinsei_strtower02_CHARGE_WARIMASHI">DATA_StructuralCalc!$J$430</definedName>
    <definedName name="cst_shinsei_strtower02_DISK_FLAG">DATA_StructuralCalc!$J$427</definedName>
    <definedName name="cst_shinsei_strtower02_HOU20_2_select">DATA_StructuralCalc!$J$328</definedName>
    <definedName name="cst_shinsei_strtower02_HOU20_3_select">DATA_StructuralCalc!$J$329</definedName>
    <definedName name="cst_shinsei_strtower02_JUDGE">DATA_StructuralCalc!$J$311</definedName>
    <definedName name="cst_shinsei_strtower02_KAISU_TIJYOU">DATA_StructuralCalc!$J$323</definedName>
    <definedName name="cst_shinsei_strtower02_KAISU_TIKA">DATA_StructuralCalc!$J$324</definedName>
    <definedName name="cst_shinsei_strtower02_KAISU_TOUYA">DATA_StructuralCalc!$J$325</definedName>
    <definedName name="cst_shinsei_strtower02_KEISAN_X_ROUTE">DATA_StructuralCalc!$J$435</definedName>
    <definedName name="cst_shinsei_strtower02_KEISAN_Y_ROUTE">DATA_StructuralCalc!$J$436</definedName>
    <definedName name="cst_shinsei_strtower02_KOUJI_TEXT">DATA_StructuralCalc!$J$313</definedName>
    <definedName name="cst_shinsei_strtower02_KOUZOU">DATA_StructuralCalc!$J$314</definedName>
    <definedName name="cst_shinsei_strtower02_KOUZOU_KEISAN">DATA_StructuralCalc!$J$316</definedName>
    <definedName name="cst_shinsei_strtower02_KOUZOU_KEISAN_TEXT">DATA_StructuralCalc!$J$317</definedName>
    <definedName name="cst_shinsei_strtower02_KOUZOU_TEXT">DATA_StructuralCalc!$J$315</definedName>
    <definedName name="cst_shinsei_strtower02_MAX_NOKI_TAKASA">DATA_StructuralCalc!$J$321</definedName>
    <definedName name="cst_shinsei_strtower02_MAX_TAKASA">DATA_StructuralCalc!$J$320</definedName>
    <definedName name="cst_shinsei_strtower02_MENJYO">DATA_StructuralCalc!$J$330</definedName>
    <definedName name="cst_shinsei_strtower02_MENSEKI">DATA_StructuralCalc!$J$318</definedName>
    <definedName name="cst_shinsei_strtower02_MENSEKI__dsp">DATA_StructuralCalc!$J$319</definedName>
    <definedName name="cst_shinsei_strtower02_NINTEI">DATA_StructuralCalc!$J$333</definedName>
    <definedName name="cst_shinsei_strtower02_prgo01_MAKER__NINTEI_ari">DATA_StructuralCalc!$J$346</definedName>
    <definedName name="cst_shinsei_strtower02_prgo01_MAKER__nintei_nasi">DATA_StructuralCalc!$J$354</definedName>
    <definedName name="cst_shinsei_strtower02_prgo01_MAKER__NINTEI_non">DATA_StructuralCalc!$J$349</definedName>
    <definedName name="cst_shinsei_strtower02_prgo01_NAME">DATA_StructuralCalc!$J$337</definedName>
    <definedName name="cst_shinsei_strtower02_prgo01_NAME_VER">DATA_StructuralCalc!$J$343</definedName>
    <definedName name="cst_shinsei_strtower02_prgo01_NAME_VER__NINTEI_ari">DATA_StructuralCalc!$J$347</definedName>
    <definedName name="cst_shinsei_strtower02_prgo01_NAME_VER__NINTEI_non">DATA_StructuralCalc!$J$350</definedName>
    <definedName name="cst_shinsei_strtower02_prgo01_NAME_VER__SP">DATA_StructuralCalc!$J$344</definedName>
    <definedName name="cst_shinsei_strtower02_prgo01_NINTEI__nintei_ari">DATA_StructuralCalc!$J$353</definedName>
    <definedName name="cst_shinsei_strtower02_prgo01_NINTEI__umu">DATA_StructuralCalc!$J$339</definedName>
    <definedName name="cst_shinsei_strtower02_prgo01_NINTEI_DATE_dsp">DATA_StructuralCalc!$J$341</definedName>
    <definedName name="cst_shinsei_strtower02_prgo01_NINTEI_NO">DATA_StructuralCalc!$J$340</definedName>
    <definedName name="cst_shinsei_strtower02_prgo01_PROG__nintei_ari">DATA_StructuralCalc!$J$351</definedName>
    <definedName name="cst_shinsei_strtower02_prgo01_PROG__nintei_nasi">DATA_StructuralCalc!$J$355</definedName>
    <definedName name="cst_shinsei_strtower02_prgo01_VER">DATA_StructuralCalc!$J$338</definedName>
    <definedName name="cst_shinsei_strtower02_prgo01_VER__nintei_ari">DATA_StructuralCalc!$J$352</definedName>
    <definedName name="cst_shinsei_strtower02_prgo01_VER__nintei_nasi">DATA_StructuralCalc!$J$356</definedName>
    <definedName name="cst_shinsei_strtower02_prgo02_MAKER__NINTEI_ari">DATA_StructuralCalc!$J$367</definedName>
    <definedName name="cst_shinsei_strtower02_prgo02_MAKER__NINTEI_non">DATA_StructuralCalc!$J$370</definedName>
    <definedName name="cst_shinsei_strtower02_prgo02_NAME_VER">DATA_StructuralCalc!$J$364</definedName>
    <definedName name="cst_shinsei_strtower02_prgo02_NAME_VER__NINTEI_ari">DATA_StructuralCalc!$J$368</definedName>
    <definedName name="cst_shinsei_strtower02_prgo02_NAME_VER__NINTEI_non">DATA_StructuralCalc!$J$371</definedName>
    <definedName name="cst_shinsei_strtower02_prgo02_NAME_VER__SP">DATA_StructuralCalc!$J$365</definedName>
    <definedName name="cst_shinsei_strtower02_prgo02_NINTEI__umu">DATA_StructuralCalc!$J$360</definedName>
    <definedName name="cst_shinsei_strtower02_prgo02_NINTEI_DATE_dsp">DATA_StructuralCalc!$J$362</definedName>
    <definedName name="cst_shinsei_strtower02_prgo03_MAKER__NINTEI_ari">DATA_StructuralCalc!$J$382</definedName>
    <definedName name="cst_shinsei_strtower02_prgo03_MAKER__NINTEI_non">DATA_StructuralCalc!$J$385</definedName>
    <definedName name="cst_shinsei_strtower02_prgo03_NAME_VER">DATA_StructuralCalc!$J$379</definedName>
    <definedName name="cst_shinsei_strtower02_prgo03_NAME_VER__NINTEI_ari">DATA_StructuralCalc!$J$383</definedName>
    <definedName name="cst_shinsei_strtower02_prgo03_NAME_VER__NINTEI_non">DATA_StructuralCalc!$J$386</definedName>
    <definedName name="cst_shinsei_strtower02_prgo03_NAME_VER__SP">DATA_StructuralCalc!$J$380</definedName>
    <definedName name="cst_shinsei_strtower02_prgo03_NINTEI__umu">DATA_StructuralCalc!$J$375</definedName>
    <definedName name="cst_shinsei_strtower02_prgo03_NINTEI_DATE_dsp">DATA_StructuralCalc!$J$377</definedName>
    <definedName name="cst_shinsei_strtower02_prgo04_MAKER__NINTEI_ari">DATA_StructuralCalc!$J$397</definedName>
    <definedName name="cst_shinsei_strtower02_prgo04_MAKER__NINTEI_non">DATA_StructuralCalc!$J$400</definedName>
    <definedName name="cst_shinsei_strtower02_prgo04_NAME_VER">DATA_StructuralCalc!$J$394</definedName>
    <definedName name="cst_shinsei_strtower02_prgo04_NAME_VER__NINTEI_ari">DATA_StructuralCalc!$J$398</definedName>
    <definedName name="cst_shinsei_strtower02_prgo04_NAME_VER__NINTEI_non">DATA_StructuralCalc!$J$401</definedName>
    <definedName name="cst_shinsei_strtower02_prgo04_NAME_VER__SP">DATA_StructuralCalc!$J$395</definedName>
    <definedName name="cst_shinsei_strtower02_prgo04_NINTEI__umu">DATA_StructuralCalc!$J$390</definedName>
    <definedName name="cst_shinsei_strtower02_prgo04_NINTEI_DATE_dsp">DATA_StructuralCalc!$J$392</definedName>
    <definedName name="cst_shinsei_strtower02_prgo05_MAKER__NINTEI_ari">DATA_StructuralCalc!$J$412</definedName>
    <definedName name="cst_shinsei_strtower02_prgo05_MAKER__NINTEI_non">DATA_StructuralCalc!$J$415</definedName>
    <definedName name="cst_shinsei_strtower02_prgo05_NAME_VER">DATA_StructuralCalc!$J$409</definedName>
    <definedName name="cst_shinsei_strtower02_prgo05_NAME_VER__NINTEI_ari">DATA_StructuralCalc!$J$413</definedName>
    <definedName name="cst_shinsei_strtower02_prgo05_NAME_VER__NINTEI_non">DATA_StructuralCalc!$J$416</definedName>
    <definedName name="cst_shinsei_strtower02_prgo05_NAME_VER__SP">DATA_StructuralCalc!$J$410</definedName>
    <definedName name="cst_shinsei_strtower02_prgo05_NINTEI__umu">DATA_StructuralCalc!$J$405</definedName>
    <definedName name="cst_shinsei_strtower02_prgo05_NINTEI_DATE_dsp">DATA_StructuralCalc!$J$407</definedName>
    <definedName name="cst_shinsei_strtower02_PROG_MAKER__NINTEI_ari_SP">DATA_StructuralCalc!$J$421</definedName>
    <definedName name="cst_shinsei_strtower02_PROG_MAKER__NINTEI_no_SP">DATA_StructuralCalc!$J$425</definedName>
    <definedName name="cst_shinsei_strtower02_PROG_NAME_VER__CHAR">DATA_StructuralCalc!$J$418</definedName>
    <definedName name="cst_shinsei_strtower02_PROG_NAME_VER__CHAR__SP">DATA_StructuralCalc!$J$419</definedName>
    <definedName name="cst_shinsei_strtower02_PROG_NAME_VER__NINTEI_ari_SP">DATA_StructuralCalc!$J$422</definedName>
    <definedName name="cst_shinsei_strtower02_PROG_NAME_VER__NINTEI_non_SP">DATA_StructuralCalc!$J$426</definedName>
    <definedName name="cst_shinsei_strtower02_PROG_NINTEI_DATE_SP">DATA_StructuralCalc!$J$423</definedName>
    <definedName name="cst_shinsei_strtower02_PROGRAM_KIND">DATA_StructuralCalc!$J$331</definedName>
    <definedName name="cst_shinsei_strtower02_PROGRAM_KIND_SONOTA">DATA_StructuralCalc!$J$438</definedName>
    <definedName name="cst_shinsei_strtower02_REI80_2_KOKUJI">DATA_StructuralCalc!$J$332</definedName>
    <definedName name="cst_shinsei_strtower02_STR_TOWER_NAME">DATA_StructuralCalc!$J$310</definedName>
    <definedName name="cst_shinsei_strtower02_STR_TOWER_NO">DATA_StructuralCalc!$J$307</definedName>
    <definedName name="cst_shinsei_strtower02_STR_TOWER_YOUTO_TEXT">DATA_StructuralCalc!$J$312</definedName>
    <definedName name="cst_shinsei_strtower02_TOWER_NO">DATA_StructuralCalc!$J$306</definedName>
    <definedName name="cst_shinsei_strtower02_XY_select">DATA_StructuralCalc!$J$437</definedName>
    <definedName name="cst_shinsei_strtower03__TOWER_NO_STR_TOWER_NO">DATA_StructuralCalc!$J$443</definedName>
    <definedName name="cst_shinsei_strtower03__TOWER_NO_STR_TOWERS">DATA_StructuralCalc!$J$444</definedName>
    <definedName name="cst_shinsei_strtower03_BUILD_KUBUN">DATA_StructuralCalc!$J$461</definedName>
    <definedName name="cst_shinsei_strtower03_BUILD_KUBUN_TEXT">DATA_StructuralCalc!$J$462</definedName>
    <definedName name="cst_shinsei_strtower03_CHARGE">DATA_StructuralCalc!$J$563</definedName>
    <definedName name="cst_shinsei_strtower03_CHARGE__dsp">DATA_StructuralCalc!$J$564</definedName>
    <definedName name="cst_shinsei_strtower03_CHARGE_KEISAN_NOTE">DATA_StructuralCalc!$J$568</definedName>
    <definedName name="cst_shinsei_strtower03_CHARGE_KEISAN_NOTE__alter">DATA_StructuralCalc!$J$569</definedName>
    <definedName name="cst_shinsei_strtower03_CHARGE_SANTEI_MENSEKI">DATA_StructuralCalc!$J$567</definedName>
    <definedName name="cst_shinsei_strtower03_CHARGE_TOTAL">DATA_StructuralCalc!$J$566</definedName>
    <definedName name="cst_shinsei_strtower03_CHARGE_WARIMASHI">DATA_StructuralCalc!$J$565</definedName>
    <definedName name="cst_shinsei_strtower03_DISK_FLAG">DATA_StructuralCalc!$J$562</definedName>
    <definedName name="cst_shinsei_strtower03_HOU20_2_select">DATA_StructuralCalc!$J$463</definedName>
    <definedName name="cst_shinsei_strtower03_HOU20_3_select">DATA_StructuralCalc!$J$464</definedName>
    <definedName name="cst_shinsei_strtower03_JUDGE">DATA_StructuralCalc!$J$446</definedName>
    <definedName name="cst_shinsei_strtower03_KAISU_TIJYOU">DATA_StructuralCalc!$J$458</definedName>
    <definedName name="cst_shinsei_strtower03_KAISU_TIKA">DATA_StructuralCalc!$J$459</definedName>
    <definedName name="cst_shinsei_strtower03_KAISU_TOUYA">DATA_StructuralCalc!$J$460</definedName>
    <definedName name="cst_shinsei_strtower03_KEISAN_X_ROUTE">DATA_StructuralCalc!$J$570</definedName>
    <definedName name="cst_shinsei_strtower03_KEISAN_Y_ROUTE">DATA_StructuralCalc!$J$571</definedName>
    <definedName name="cst_shinsei_strtower03_KOUJI_TEXT">DATA_StructuralCalc!$J$448</definedName>
    <definedName name="cst_shinsei_strtower03_KOUZOU">DATA_StructuralCalc!$J$449</definedName>
    <definedName name="cst_shinsei_strtower03_KOUZOU_KEISAN">DATA_StructuralCalc!$J$451</definedName>
    <definedName name="cst_shinsei_strtower03_KOUZOU_KEISAN_TEXT">DATA_StructuralCalc!$J$452</definedName>
    <definedName name="cst_shinsei_strtower03_KOUZOU_TEXT">DATA_StructuralCalc!$J$450</definedName>
    <definedName name="cst_shinsei_strtower03_MAX_NOKI_TAKASA">DATA_StructuralCalc!$J$456</definedName>
    <definedName name="cst_shinsei_strtower03_MAX_TAKASA">DATA_StructuralCalc!$J$455</definedName>
    <definedName name="cst_shinsei_strtower03_MENJYO">DATA_StructuralCalc!$J$465</definedName>
    <definedName name="cst_shinsei_strtower03_MENSEKI">DATA_StructuralCalc!$J$453</definedName>
    <definedName name="cst_shinsei_strtower03_MENSEKI__dsp">DATA_StructuralCalc!$J$454</definedName>
    <definedName name="cst_shinsei_strtower03_NINTEI">DATA_StructuralCalc!$J$468</definedName>
    <definedName name="cst_shinsei_strtower03_prgo01_MAKER__NINTEI_ari">DATA_StructuralCalc!$J$481</definedName>
    <definedName name="cst_shinsei_strtower03_prgo01_MAKER__nintei_nasi">DATA_StructuralCalc!$J$489</definedName>
    <definedName name="cst_shinsei_strtower03_prgo01_MAKER__NINTEI_non">DATA_StructuralCalc!$J$484</definedName>
    <definedName name="cst_shinsei_strtower03_prgo01_NAME">DATA_StructuralCalc!$J$472</definedName>
    <definedName name="cst_shinsei_strtower03_prgo01_NAME_VER">DATA_StructuralCalc!$J$478</definedName>
    <definedName name="cst_shinsei_strtower03_prgo01_NAME_VER__NINTEI_ari">DATA_StructuralCalc!$J$482</definedName>
    <definedName name="cst_shinsei_strtower03_prgo01_NAME_VER__NINTEI_non">DATA_StructuralCalc!$J$485</definedName>
    <definedName name="cst_shinsei_strtower03_prgo01_NAME_VER__SP">DATA_StructuralCalc!$J$479</definedName>
    <definedName name="cst_shinsei_strtower03_prgo01_NINTEI__nintei_ari">DATA_StructuralCalc!$J$488</definedName>
    <definedName name="cst_shinsei_strtower03_prgo01_NINTEI__umu">DATA_StructuralCalc!$J$474</definedName>
    <definedName name="cst_shinsei_strtower03_prgo01_NINTEI_DATE">DATA_StructuralCalc!$J$476</definedName>
    <definedName name="cst_shinsei_strtower03_prgo01_NINTEI_DATE_dsp">DATA_StructuralCalc!$J$476</definedName>
    <definedName name="cst_shinsei_strtower03_prgo01_NINTEI_NO">DATA_StructuralCalc!$J$475</definedName>
    <definedName name="cst_shinsei_strtower03_prgo01_PROG__nintei_ari">DATA_StructuralCalc!$J$486</definedName>
    <definedName name="cst_shinsei_strtower03_prgo01_PROG__nintei_nasi">DATA_StructuralCalc!$J$490</definedName>
    <definedName name="cst_shinsei_strtower03_prgo01_VER">DATA_StructuralCalc!$J$473</definedName>
    <definedName name="cst_shinsei_strtower03_prgo01_VER__nintei_ari">DATA_StructuralCalc!$J$487</definedName>
    <definedName name="cst_shinsei_strtower03_prgo01_VER__nintei_nasi">DATA_StructuralCalc!$J$491</definedName>
    <definedName name="cst_shinsei_strtower03_prgo02_MAKER__NINTEI_ari">DATA_StructuralCalc!$J$502</definedName>
    <definedName name="cst_shinsei_strtower03_prgo02_MAKER__NINTEI_non">DATA_StructuralCalc!$J$505</definedName>
    <definedName name="cst_shinsei_strtower03_prgo02_NAME_VER">DATA_StructuralCalc!$J$499</definedName>
    <definedName name="cst_shinsei_strtower03_prgo02_NAME_VER__NINTEI_ari">DATA_StructuralCalc!$J$503</definedName>
    <definedName name="cst_shinsei_strtower03_prgo02_NAME_VER__NINTEI_non">DATA_StructuralCalc!$J$506</definedName>
    <definedName name="cst_shinsei_strtower03_prgo02_NAME_VER__SP">DATA_StructuralCalc!$J$500</definedName>
    <definedName name="cst_shinsei_strtower03_prgo02_NINTEI__umu">DATA_StructuralCalc!$J$495</definedName>
    <definedName name="cst_shinsei_strtower03_prgo02_NINTEI_DATE">DATA_StructuralCalc!$J$497</definedName>
    <definedName name="cst_shinsei_strtower03_prgo02_NINTEI_DATE_dsp">DATA_StructuralCalc!$J$497</definedName>
    <definedName name="cst_shinsei_strtower03_prgo03_MAKER__NINTEI_ari">DATA_StructuralCalc!$J$517</definedName>
    <definedName name="cst_shinsei_strtower03_prgo03_MAKER__NINTEI_non">DATA_StructuralCalc!$J$520</definedName>
    <definedName name="cst_shinsei_strtower03_prgo03_NAME_VER">DATA_StructuralCalc!$J$514</definedName>
    <definedName name="cst_shinsei_strtower03_prgo03_NAME_VER__NINTEI_ari">DATA_StructuralCalc!$J$518</definedName>
    <definedName name="cst_shinsei_strtower03_prgo03_NAME_VER__NINTEI_non">DATA_StructuralCalc!$J$521</definedName>
    <definedName name="cst_shinsei_strtower03_prgo03_NAME_VER__SP">DATA_StructuralCalc!$J$515</definedName>
    <definedName name="cst_shinsei_strtower03_prgo03_NINTEI__umu">DATA_StructuralCalc!$J$510</definedName>
    <definedName name="cst_shinsei_strtower03_prgo03_NINTEI_DATE_dsp">DATA_StructuralCalc!$J$512</definedName>
    <definedName name="cst_shinsei_strtower03_prgo04_MAKER__NINTEI_ari">DATA_StructuralCalc!$J$532</definedName>
    <definedName name="cst_shinsei_strtower03_prgo04_MAKER__NINTEI_non">DATA_StructuralCalc!$J$535</definedName>
    <definedName name="cst_shinsei_strtower03_prgo04_NAME_VER">DATA_StructuralCalc!$J$529</definedName>
    <definedName name="cst_shinsei_strtower03_prgo04_NAME_VER__NINTEI_ari">DATA_StructuralCalc!$J$533</definedName>
    <definedName name="cst_shinsei_strtower03_prgo04_NAME_VER__NINTEI_non">DATA_StructuralCalc!$J$536</definedName>
    <definedName name="cst_shinsei_strtower03_prgo04_NAME_VER__SP">DATA_StructuralCalc!$J$530</definedName>
    <definedName name="cst_shinsei_strtower03_prgo04_NINTEI__umu">DATA_StructuralCalc!$J$525</definedName>
    <definedName name="cst_shinsei_strtower03_prgo04_NINTEI_DATE_dsp">DATA_StructuralCalc!$J$527</definedName>
    <definedName name="cst_shinsei_strtower03_prgo05_MAKER__NINTEI_ari">DATA_StructuralCalc!$J$547</definedName>
    <definedName name="cst_shinsei_strtower03_prgo05_MAKER__NINTEI_non">DATA_StructuralCalc!$J$550</definedName>
    <definedName name="cst_shinsei_strtower03_prgo05_NAME_VER">DATA_StructuralCalc!$J$544</definedName>
    <definedName name="cst_shinsei_strtower03_prgo05_NAME_VER__NINTEI_ari">DATA_StructuralCalc!$J$548</definedName>
    <definedName name="cst_shinsei_strtower03_prgo05_NAME_VER__NINTEI_non">DATA_StructuralCalc!$J$551</definedName>
    <definedName name="cst_shinsei_strtower03_prgo05_NAME_VER__SP">DATA_StructuralCalc!$J$545</definedName>
    <definedName name="cst_shinsei_strtower03_prgo05_NINTEI__umu">DATA_StructuralCalc!$J$540</definedName>
    <definedName name="cst_shinsei_strtower03_prgo05_NINTEI_DATE_dsp">DATA_StructuralCalc!$J$542</definedName>
    <definedName name="cst_shinsei_strtower03_PROG_MAKER__NINTEI_ari_SP">DATA_StructuralCalc!$J$556</definedName>
    <definedName name="cst_shinsei_strtower03_PROG_MAKER__NINTEI_no_SP">DATA_StructuralCalc!$J$560</definedName>
    <definedName name="cst_shinsei_strtower03_PROG_NAME_VER__CHAR">DATA_StructuralCalc!$J$553</definedName>
    <definedName name="cst_shinsei_strtower03_PROG_NAME_VER__CHAR__SP">DATA_StructuralCalc!$J$554</definedName>
    <definedName name="cst_shinsei_strtower03_PROG_NAME_VER__NINTEI_ari_SP">DATA_StructuralCalc!$J$557</definedName>
    <definedName name="cst_shinsei_strtower03_PROG_NAME_VER__NINTEI_non_SP">DATA_StructuralCalc!$J$561</definedName>
    <definedName name="cst_shinsei_strtower03_PROG_NINTEI_DATE_SP">DATA_StructuralCalc!$J$558</definedName>
    <definedName name="cst_shinsei_strtower03_PROGRAM_KIND">DATA_StructuralCalc!$J$466</definedName>
    <definedName name="cst_shinsei_strtower03_PROGRAM_KIND_SONOTA">DATA_StructuralCalc!$J$573</definedName>
    <definedName name="cst_shinsei_strtower03_REI80_2_KOKUJI">DATA_StructuralCalc!$J$467</definedName>
    <definedName name="cst_shinsei_strtower03_STR_TOWER_NAME">DATA_StructuralCalc!$J$445</definedName>
    <definedName name="cst_shinsei_strtower03_STR_TOWER_NO">DATA_StructuralCalc!$J$442</definedName>
    <definedName name="cst_shinsei_strtower03_STR_TOWER_YOUTO_TEXT">DATA_StructuralCalc!$J$447</definedName>
    <definedName name="cst_shinsei_strtower03_TOWER_NO">DATA_StructuralCalc!$J$441</definedName>
    <definedName name="cst_shinsei_strtower03_XY_select">DATA_StructuralCalc!$J$572</definedName>
    <definedName name="cst_shinsei_strtower04__TOWER_NO_STR_TOWER_NO">DATA_StructuralCalc!$J$578</definedName>
    <definedName name="cst_shinsei_strtower04__TOWER_NO_STR_TOWERS">DATA_StructuralCalc!$J$579</definedName>
    <definedName name="cst_shinsei_strtower04_BUILD_KUBUN">DATA_StructuralCalc!$J$596</definedName>
    <definedName name="cst_shinsei_strtower04_BUILD_KUBUN_TEXT">DATA_StructuralCalc!$J$597</definedName>
    <definedName name="cst_shinsei_strtower04_CHARGE">DATA_StructuralCalc!$J$698</definedName>
    <definedName name="cst_shinsei_strtower04_CHARGE__dsp">DATA_StructuralCalc!$J$699</definedName>
    <definedName name="cst_shinsei_strtower04_CHARGE_KEISAN_NOTE">DATA_StructuralCalc!$J$703</definedName>
    <definedName name="cst_shinsei_strtower04_CHARGE_KEISAN_NOTE__alter">DATA_StructuralCalc!$J$704</definedName>
    <definedName name="cst_shinsei_strtower04_CHARGE_SANTEI_MENSEKI">DATA_StructuralCalc!$J$702</definedName>
    <definedName name="cst_shinsei_strtower04_CHARGE_TOTAL">DATA_StructuralCalc!$J$701</definedName>
    <definedName name="cst_shinsei_strtower04_CHARGE_WARIMASHI">DATA_StructuralCalc!$J$700</definedName>
    <definedName name="cst_shinsei_strtower04_DISK_FLAG">DATA_StructuralCalc!$J$697</definedName>
    <definedName name="cst_shinsei_strtower04_HOU20_2_select">DATA_StructuralCalc!$J$598</definedName>
    <definedName name="cst_shinsei_strtower04_HOU20_3_select">DATA_StructuralCalc!$J$599</definedName>
    <definedName name="cst_shinsei_strtower04_JUDGE">DATA_StructuralCalc!$J$581</definedName>
    <definedName name="cst_shinsei_strtower04_KAISU_TIJYOU">DATA_StructuralCalc!$J$593</definedName>
    <definedName name="cst_shinsei_strtower04_KAISU_TIKA">DATA_StructuralCalc!$J$594</definedName>
    <definedName name="cst_shinsei_strtower04_KAISU_TOUYA">DATA_StructuralCalc!$J$595</definedName>
    <definedName name="cst_shinsei_strtower04_KEISAN_X_ROUTE">DATA_StructuralCalc!$J$705</definedName>
    <definedName name="cst_shinsei_strtower04_KEISAN_Y_ROUTE">DATA_StructuralCalc!$J$706</definedName>
    <definedName name="cst_shinsei_strtower04_KOUJI_TEXT">DATA_StructuralCalc!$J$583</definedName>
    <definedName name="cst_shinsei_strtower04_KOUZOU">DATA_StructuralCalc!$J$584</definedName>
    <definedName name="cst_shinsei_strtower04_KOUZOU_KEISAN">DATA_StructuralCalc!$J$586</definedName>
    <definedName name="cst_shinsei_strtower04_KOUZOU_KEISAN_TEXT">DATA_StructuralCalc!$J$587</definedName>
    <definedName name="cst_shinsei_strtower04_KOUZOU_TEXT">DATA_StructuralCalc!$J$585</definedName>
    <definedName name="cst_shinsei_strtower04_MAX_NOKI_TAKASA">DATA_StructuralCalc!$J$591</definedName>
    <definedName name="cst_shinsei_strtower04_MAX_TAKASA">DATA_StructuralCalc!$J$590</definedName>
    <definedName name="cst_shinsei_strtower04_MENJYO">DATA_StructuralCalc!$J$600</definedName>
    <definedName name="cst_shinsei_strtower04_MENSEKI">DATA_StructuralCalc!$J$588</definedName>
    <definedName name="cst_shinsei_strtower04_MENSEKI__dsp">DATA_StructuralCalc!$J$589</definedName>
    <definedName name="cst_shinsei_strtower04_NINTEI">DATA_StructuralCalc!$J$603</definedName>
    <definedName name="cst_shinsei_strtower04_prgo01_MAKER__NINTEI_ari">DATA_StructuralCalc!$J$616</definedName>
    <definedName name="cst_shinsei_strtower04_prgo01_MAKER__nintei_nasi">DATA_StructuralCalc!$J$624</definedName>
    <definedName name="cst_shinsei_strtower04_prgo01_MAKER__NINTEI_non">DATA_StructuralCalc!$J$619</definedName>
    <definedName name="cst_shinsei_strtower04_prgo01_NAME">DATA_StructuralCalc!$J$607</definedName>
    <definedName name="cst_shinsei_strtower04_prgo01_NAME_VER">DATA_StructuralCalc!$J$613</definedName>
    <definedName name="cst_shinsei_strtower04_prgo01_NAME_VER__NINTEI_ari">DATA_StructuralCalc!$J$617</definedName>
    <definedName name="cst_shinsei_strtower04_prgo01_NAME_VER__NINTEI_non">DATA_StructuralCalc!$J$620</definedName>
    <definedName name="cst_shinsei_strtower04_prgo01_NAME_VER__SP">DATA_StructuralCalc!$J$614</definedName>
    <definedName name="cst_shinsei_strtower04_prgo01_NINTEI__nintei_ari">DATA_StructuralCalc!$J$623</definedName>
    <definedName name="cst_shinsei_strtower04_prgo01_NINTEI__umu">DATA_StructuralCalc!$J$609</definedName>
    <definedName name="cst_shinsei_strtower04_prgo01_NINTEI_DATE">DATA_StructuralCalc!$J$611</definedName>
    <definedName name="cst_shinsei_strtower04_prgo01_NINTEI_DATE_dsp">DATA_StructuralCalc!$J$611</definedName>
    <definedName name="cst_shinsei_strtower04_prgo01_NINTEI_NO">DATA_StructuralCalc!$J$610</definedName>
    <definedName name="cst_shinsei_strtower04_prgo01_PROG__nintei_ari">DATA_StructuralCalc!$J$621</definedName>
    <definedName name="cst_shinsei_strtower04_prgo01_PROG__nintei_nasi">DATA_StructuralCalc!$J$625</definedName>
    <definedName name="cst_shinsei_strtower04_prgo01_VER">DATA_StructuralCalc!$J$608</definedName>
    <definedName name="cst_shinsei_strtower04_prgo01_VER__nintei_ari">DATA_StructuralCalc!$J$622</definedName>
    <definedName name="cst_shinsei_strtower04_prgo01_VER__nintei_nasi">DATA_StructuralCalc!$J$626</definedName>
    <definedName name="cst_shinsei_strtower04_prgo02_MAKER__NINTEI_ari">DATA_StructuralCalc!$J$637</definedName>
    <definedName name="cst_shinsei_strtower04_prgo02_MAKER__NINTEI_non">DATA_StructuralCalc!$J$640</definedName>
    <definedName name="cst_shinsei_strtower04_prgo02_NAME_VER">DATA_StructuralCalc!$J$634</definedName>
    <definedName name="cst_shinsei_strtower04_prgo02_NAME_VER__NINTEI_ari">DATA_StructuralCalc!$J$638</definedName>
    <definedName name="cst_shinsei_strtower04_prgo02_NAME_VER__NINTEI_non">DATA_StructuralCalc!$J$641</definedName>
    <definedName name="cst_shinsei_strtower04_prgo02_NAME_VER__SP">DATA_StructuralCalc!$J$635</definedName>
    <definedName name="cst_shinsei_strtower04_prgo02_NINTEI__umu">DATA_StructuralCalc!$J$630</definedName>
    <definedName name="cst_shinsei_strtower04_prgo02_NINTEI_DATE">DATA_StructuralCalc!$J$632</definedName>
    <definedName name="cst_shinsei_strtower04_prgo02_NINTEI_DATE_dsp">DATA_StructuralCalc!$J$632</definedName>
    <definedName name="cst_shinsei_strtower04_prgo03_MAKER__NINTEI_ari">DATA_StructuralCalc!$J$652</definedName>
    <definedName name="cst_shinsei_strtower04_prgo03_MAKER__NINTEI_non">DATA_StructuralCalc!$J$655</definedName>
    <definedName name="cst_shinsei_strtower04_prgo03_NAME_VER">DATA_StructuralCalc!$J$649</definedName>
    <definedName name="cst_shinsei_strtower04_prgo03_NAME_VER__NINTEI_ari">DATA_StructuralCalc!$J$653</definedName>
    <definedName name="cst_shinsei_strtower04_prgo03_NAME_VER__NINTEI_non">DATA_StructuralCalc!$J$656</definedName>
    <definedName name="cst_shinsei_strtower04_prgo03_NAME_VER__SP">DATA_StructuralCalc!$J$650</definedName>
    <definedName name="cst_shinsei_strtower04_prgo03_NINTEI__umu">DATA_StructuralCalc!$J$645</definedName>
    <definedName name="cst_shinsei_strtower04_prgo03_NINTEI_DATE_dsp">DATA_StructuralCalc!$J$647</definedName>
    <definedName name="cst_shinsei_strtower04_prgo04_MAKER__NINTEI_ari">DATA_StructuralCalc!$J$667</definedName>
    <definedName name="cst_shinsei_strtower04_prgo04_MAKER__NINTEI_non">DATA_StructuralCalc!$J$670</definedName>
    <definedName name="cst_shinsei_strtower04_prgo04_NAME_VER">DATA_StructuralCalc!$J$664</definedName>
    <definedName name="cst_shinsei_strtower04_prgo04_NAME_VER__NINTEI_ari">DATA_StructuralCalc!$J$668</definedName>
    <definedName name="cst_shinsei_strtower04_prgo04_NAME_VER__NINTEI_non">DATA_StructuralCalc!$J$671</definedName>
    <definedName name="cst_shinsei_strtower04_prgo04_NAME_VER__SP">DATA_StructuralCalc!$J$665</definedName>
    <definedName name="cst_shinsei_strtower04_prgo04_NINTEI__umu">DATA_StructuralCalc!$J$660</definedName>
    <definedName name="cst_shinsei_strtower04_prgo04_NINTEI_DATE_dsp">DATA_StructuralCalc!$J$662</definedName>
    <definedName name="cst_shinsei_strtower04_prgo05_MAKER__NINTEI_ari">DATA_StructuralCalc!$J$682</definedName>
    <definedName name="cst_shinsei_strtower04_prgo05_MAKER__NINTEI_non">DATA_StructuralCalc!$J$685</definedName>
    <definedName name="cst_shinsei_strtower04_prgo05_NAME_VER">DATA_StructuralCalc!$J$679</definedName>
    <definedName name="cst_shinsei_strtower04_prgo05_NAME_VER__NINTEI_ari">DATA_StructuralCalc!$J$683</definedName>
    <definedName name="cst_shinsei_strtower04_prgo05_NAME_VER__NINTEI_non">DATA_StructuralCalc!$J$686</definedName>
    <definedName name="cst_shinsei_strtower04_prgo05_NAME_VER__SP">DATA_StructuralCalc!$J$680</definedName>
    <definedName name="cst_shinsei_strtower04_prgo05_NINTEI__umu">DATA_StructuralCalc!$J$675</definedName>
    <definedName name="cst_shinsei_strtower04_prgo05_NINTEI_DATE_dsp">DATA_StructuralCalc!$J$677</definedName>
    <definedName name="cst_shinsei_strtower04_PROG_MAKER__NINTEI_ari_SP">DATA_StructuralCalc!$J$691</definedName>
    <definedName name="cst_shinsei_strtower04_PROG_MAKER__NINTEI_no_SP">DATA_StructuralCalc!$J$695</definedName>
    <definedName name="cst_shinsei_strtower04_PROG_NAME_VER__CHAR">DATA_StructuralCalc!$J$688</definedName>
    <definedName name="cst_shinsei_strtower04_PROG_NAME_VER__CHAR__SP">DATA_StructuralCalc!$J$689</definedName>
    <definedName name="cst_shinsei_strtower04_PROG_NAME_VER__NINTEI_ari_SP">DATA_StructuralCalc!$J$692</definedName>
    <definedName name="cst_shinsei_strtower04_PROG_NAME_VER__NINTEI_non_SP">DATA_StructuralCalc!$J$696</definedName>
    <definedName name="cst_shinsei_strtower04_PROG_NINTEI_DATE_SP">DATA_StructuralCalc!$J$693</definedName>
    <definedName name="cst_shinsei_strtower04_PROGRAM_KIND">DATA_StructuralCalc!$J$601</definedName>
    <definedName name="cst_shinsei_strtower04_PROGRAM_KIND_SONOTA">DATA_StructuralCalc!$J$708</definedName>
    <definedName name="cst_shinsei_strtower04_REI80_2_KOKUJI">DATA_StructuralCalc!$J$602</definedName>
    <definedName name="cst_shinsei_strtower04_STR_TOWER_NAME">DATA_StructuralCalc!$J$580</definedName>
    <definedName name="cst_shinsei_strtower04_STR_TOWER_NO">DATA_StructuralCalc!$J$577</definedName>
    <definedName name="cst_shinsei_strtower04_STR_TOWER_YOUTO_TEXT">DATA_StructuralCalc!$J$582</definedName>
    <definedName name="cst_shinsei_strtower04_TOWER_NO">DATA_StructuralCalc!$J$576</definedName>
    <definedName name="cst_shinsei_strtower04_XY_select">DATA_StructuralCalc!$J$707</definedName>
    <definedName name="cst_shinsei_strtower05__TOWER_NO_STR_TOWER_NO">DATA_StructuralCalc!$J$713</definedName>
    <definedName name="cst_shinsei_strtower05__TOWER_NO_STR_TOWERS">DATA_StructuralCalc!$J$714</definedName>
    <definedName name="cst_shinsei_strtower05_BUILD_KUBUN">DATA_StructuralCalc!$J$731</definedName>
    <definedName name="cst_shinsei_strtower05_BUILD_KUBUN_NEXT">DATA_StructuralCalc!$J$732</definedName>
    <definedName name="cst_shinsei_strtower05_CHARGE">DATA_StructuralCalc!$J$833</definedName>
    <definedName name="cst_shinsei_strtower05_CHARGE__dsp">DATA_StructuralCalc!$J$834</definedName>
    <definedName name="cst_shinsei_strtower05_CHARGE_KEISAN_NOTE">DATA_StructuralCalc!$J$838</definedName>
    <definedName name="cst_shinsei_strtower05_CHARGE_KEISAN_NOTE__alter">DATA_StructuralCalc!$J$839</definedName>
    <definedName name="cst_shinsei_strtower05_CHARGE_SANTEI_MENSEKI">DATA_StructuralCalc!$J$837</definedName>
    <definedName name="cst_shinsei_strtower05_CHARGE_TOTAL">DATA_StructuralCalc!$J$836</definedName>
    <definedName name="cst_shinsei_strtower05_CHARGE_WARIMASHI">DATA_StructuralCalc!$J$835</definedName>
    <definedName name="cst_shinsei_strtower05_DISK_FLAG">DATA_StructuralCalc!$J$832</definedName>
    <definedName name="cst_shinsei_strtower05_HOU20_2_select">DATA_StructuralCalc!$J$733</definedName>
    <definedName name="cst_shinsei_strtower05_HOU20_3_select">DATA_StructuralCalc!$J$734</definedName>
    <definedName name="cst_shinsei_strtower05_JUDGE">DATA_StructuralCalc!$J$716</definedName>
    <definedName name="cst_shinsei_strtower05_KAISU_TIJYOU">DATA_StructuralCalc!$J$728</definedName>
    <definedName name="cst_shinsei_strtower05_KAISU_TIKA">DATA_StructuralCalc!$J$729</definedName>
    <definedName name="cst_shinsei_strtower05_KAISU_TOUYA">DATA_StructuralCalc!$J$730</definedName>
    <definedName name="cst_shinsei_strtower05_KEISAN_X_ROUTE">DATA_StructuralCalc!$J$840</definedName>
    <definedName name="cst_shinsei_strtower05_KEISAN_Y_ROUTE">DATA_StructuralCalc!$J$841</definedName>
    <definedName name="cst_shinsei_strtower05_KOUJI_TEXT">DATA_StructuralCalc!$J$718</definedName>
    <definedName name="cst_shinsei_strtower05_KOUZOU">DATA_StructuralCalc!$J$719</definedName>
    <definedName name="cst_shinsei_strtower05_KOUZOU_KEISAN">DATA_StructuralCalc!$J$721</definedName>
    <definedName name="cst_shinsei_strtower05_KOUZOU_KEISAN_TEXT">DATA_StructuralCalc!$J$722</definedName>
    <definedName name="cst_shinsei_strtower05_KOUZOU_TEXT">DATA_StructuralCalc!$J$720</definedName>
    <definedName name="cst_shinsei_strtower05_MAX_NOKI_TAKASA">DATA_StructuralCalc!$J$726</definedName>
    <definedName name="cst_shinsei_strtower05_MAX_TAKASA">DATA_StructuralCalc!$J$725</definedName>
    <definedName name="cst_shinsei_strtower05_MENJYO">DATA_StructuralCalc!$J$735</definedName>
    <definedName name="cst_shinsei_strtower05_MENSEKI">DATA_StructuralCalc!$J$723</definedName>
    <definedName name="cst_shinsei_strtower05_MENSEKI__dsp">DATA_StructuralCalc!$J$724</definedName>
    <definedName name="cst_shinsei_strtower05_NINTEI">DATA_StructuralCalc!$J$738</definedName>
    <definedName name="cst_shinsei_strtower05_prgo01_MAKER__NINTEI_ari">DATA_StructuralCalc!$J$751</definedName>
    <definedName name="cst_shinsei_strtower05_prgo01_MAKER__nintei_nasi">DATA_StructuralCalc!$J$759</definedName>
    <definedName name="cst_shinsei_strtower05_prgo01_MAKER__NINTEI_non">DATA_StructuralCalc!$J$754</definedName>
    <definedName name="cst_shinsei_strtower05_prgo01_NAME">DATA_StructuralCalc!$J$742</definedName>
    <definedName name="cst_shinsei_strtower05_prgo01_NAME_VER">DATA_StructuralCalc!$J$748</definedName>
    <definedName name="cst_shinsei_strtower05_prgo01_NAME_VER__NINTEI_ari">DATA_StructuralCalc!$J$752</definedName>
    <definedName name="cst_shinsei_strtower05_prgo01_NAME_VER__NINTEI_non">DATA_StructuralCalc!$J$755</definedName>
    <definedName name="cst_shinsei_strtower05_prgo01_NAME_VER__SP">DATA_StructuralCalc!$J$749</definedName>
    <definedName name="cst_shinsei_strtower05_prgo01_NINTEI__nintei_ari">DATA_StructuralCalc!$J$758</definedName>
    <definedName name="cst_shinsei_strtower05_prgo01_NINTEI__umu">DATA_StructuralCalc!$J$744</definedName>
    <definedName name="cst_shinsei_strtower05_prgo01_NINTEI_DATE">DATA_StructuralCalc!$J$746</definedName>
    <definedName name="cst_shinsei_strtower05_prgo01_NINTEI_DATE_dsp">DATA_StructuralCalc!$J$746</definedName>
    <definedName name="cst_shinsei_strtower05_prgo01_NINTEI_NO">DATA_StructuralCalc!$J$745</definedName>
    <definedName name="cst_shinsei_strtower05_prgo01_PROG__nintei_ari">DATA_StructuralCalc!$J$756</definedName>
    <definedName name="cst_shinsei_strtower05_prgo01_PROG__nintei_nasi">DATA_StructuralCalc!$J$760</definedName>
    <definedName name="cst_shinsei_strtower05_prgo01_VER">DATA_StructuralCalc!$J$743</definedName>
    <definedName name="cst_shinsei_strtower05_prgo01_VER__nintei_ari">DATA_StructuralCalc!$J$757</definedName>
    <definedName name="cst_shinsei_strtower05_prgo01_VER__nintei_nasi">DATA_StructuralCalc!$J$761</definedName>
    <definedName name="cst_shinsei_strtower05_prgo02_MAKER__NINTEI_ari">DATA_StructuralCalc!$J$772</definedName>
    <definedName name="cst_shinsei_strtower05_prgo02_MAKER__NINTEI_non">DATA_StructuralCalc!$J$775</definedName>
    <definedName name="cst_shinsei_strtower05_prgo02_NAME_VER">DATA_StructuralCalc!$J$769</definedName>
    <definedName name="cst_shinsei_strtower05_prgo02_NAME_VER__NINTEI_ari">DATA_StructuralCalc!$J$773</definedName>
    <definedName name="cst_shinsei_strtower05_prgo02_NAME_VER__NINTEI_non">DATA_StructuralCalc!$J$776</definedName>
    <definedName name="cst_shinsei_strtower05_prgo02_NAME_VER__SP">DATA_StructuralCalc!$J$770</definedName>
    <definedName name="cst_shinsei_strtower05_prgo02_NINTEI__umu">DATA_StructuralCalc!$J$765</definedName>
    <definedName name="cst_shinsei_strtower05_prgo02_NINTEI_DATE">DATA_StructuralCalc!$J$767</definedName>
    <definedName name="cst_shinsei_strtower05_prgo02_NINTEI_DATE_dsp">DATA_StructuralCalc!$J$767</definedName>
    <definedName name="cst_shinsei_strtower05_prgo03_MAKER__NINTEI_ari">DATA_StructuralCalc!$J$787</definedName>
    <definedName name="cst_shinsei_strtower05_prgo03_MAKER__NINTEI_non">DATA_StructuralCalc!$J$790</definedName>
    <definedName name="cst_shinsei_strtower05_prgo03_NAME_VER">DATA_StructuralCalc!$J$784</definedName>
    <definedName name="cst_shinsei_strtower05_prgo03_NAME_VER__NINTEI_ari">DATA_StructuralCalc!$J$788</definedName>
    <definedName name="cst_shinsei_strtower05_prgo03_NAME_VER__NINTEI_non">DATA_StructuralCalc!$J$791</definedName>
    <definedName name="cst_shinsei_strtower05_prgo03_NAME_VER__SP">DATA_StructuralCalc!$J$785</definedName>
    <definedName name="cst_shinsei_strtower05_prgo03_NINTEI__umu">DATA_StructuralCalc!$J$780</definedName>
    <definedName name="cst_shinsei_strtower05_prgo03_NINTEI_DATE_dsp">DATA_StructuralCalc!$J$782</definedName>
    <definedName name="cst_shinsei_strtower05_prgo04_MAKER__NINTEI_ari">DATA_StructuralCalc!$J$802</definedName>
    <definedName name="cst_shinsei_strtower05_prgo04_MAKER__NINTEI_non">DATA_StructuralCalc!$J$805</definedName>
    <definedName name="cst_shinsei_strtower05_prgo04_NAME_VER">DATA_StructuralCalc!$J$799</definedName>
    <definedName name="cst_shinsei_strtower05_prgo04_NAME_VER__NINTEI_ari">DATA_StructuralCalc!$J$803</definedName>
    <definedName name="cst_shinsei_strtower05_prgo04_NAME_VER__NINTEI_non">DATA_StructuralCalc!$J$806</definedName>
    <definedName name="cst_shinsei_strtower05_prgo04_NAME_VER__SP">DATA_StructuralCalc!$J$800</definedName>
    <definedName name="cst_shinsei_strtower05_prgo04_NINTEI__umu">DATA_StructuralCalc!$J$795</definedName>
    <definedName name="cst_shinsei_strtower05_prgo04_NINTEI_DATE_dsp">DATA_StructuralCalc!$J$797</definedName>
    <definedName name="cst_shinsei_strtower05_prgo05_MAKER__NINTEI_ari">DATA_StructuralCalc!$J$817</definedName>
    <definedName name="cst_shinsei_strtower05_prgo05_MAKER__NINTEI_non">DATA_StructuralCalc!$J$820</definedName>
    <definedName name="cst_shinsei_strtower05_prgo05_NAME_VER">DATA_StructuralCalc!$J$814</definedName>
    <definedName name="cst_shinsei_strtower05_prgo05_NAME_VER__NINTEI_ari">DATA_StructuralCalc!$J$818</definedName>
    <definedName name="cst_shinsei_strtower05_prgo05_NAME_VER__NINTEI_non">DATA_StructuralCalc!$J$821</definedName>
    <definedName name="cst_shinsei_strtower05_prgo05_NAME_VER__SP">DATA_StructuralCalc!$J$815</definedName>
    <definedName name="cst_shinsei_strtower05_prgo05_NINTEI__umu">DATA_StructuralCalc!$J$810</definedName>
    <definedName name="cst_shinsei_strtower05_prgo05_NINTEI_DATE_dsp">DATA_StructuralCalc!$J$812</definedName>
    <definedName name="cst_shinsei_strtower05_PROG_MAKER__NINTEI_ari_SP">DATA_StructuralCalc!$J$826</definedName>
    <definedName name="cst_shinsei_strtower05_PROG_MAKER__NINTEI_no_SP">DATA_StructuralCalc!$J$830</definedName>
    <definedName name="cst_shinsei_strtower05_PROG_NAME_VER__CHAR">DATA_StructuralCalc!$J$823</definedName>
    <definedName name="cst_shinsei_strtower05_PROG_NAME_VER__CHAR__SP">DATA_StructuralCalc!$J$824</definedName>
    <definedName name="cst_shinsei_strtower05_PROG_NAME_VER__NINTEI_ari_SP">DATA_StructuralCalc!$J$827</definedName>
    <definedName name="cst_shinsei_strtower05_PROG_NAME_VER__NINTEI_non_SP">DATA_StructuralCalc!$J$831</definedName>
    <definedName name="cst_shinsei_strtower05_PROG_NINTEI_DATE_SP">DATA_StructuralCalc!$J$828</definedName>
    <definedName name="cst_shinsei_strtower05_PROGRAM_KIND">DATA_StructuralCalc!$J$736</definedName>
    <definedName name="cst_shinsei_strtower05_PROGRAM_KIND_SONOTA">DATA_StructuralCalc!$J$843</definedName>
    <definedName name="cst_shinsei_strtower05_REI80_2_KOKUJI">DATA_StructuralCalc!$J$737</definedName>
    <definedName name="cst_shinsei_strtower05_STR_TOWER_NAME">DATA_StructuralCalc!$J$715</definedName>
    <definedName name="cst_shinsei_strtower05_STR_TOWER_NO">DATA_StructuralCalc!$J$712</definedName>
    <definedName name="cst_shinsei_strtower05_STR_TOWER_YOUTO_TEXT">DATA_StructuralCalc!$J$717</definedName>
    <definedName name="cst_shinsei_strtower05_TOWER_NO">DATA_StructuralCalc!$J$711</definedName>
    <definedName name="cst_shinsei_strtower05_XY_select">DATA_StructuralCalc!$J$842</definedName>
    <definedName name="cst_shinsei_strtuikaimposs1_STRUCT_NOTIFT_DATE">DATA!$J$1882</definedName>
    <definedName name="cst_shinsei_strtuikaimposs1_STRUCT_NOTIFT_NO">DATA!$J$1883</definedName>
    <definedName name="cst_shinsei_strtuikaimposs1_STRUCT_TUIKA_DATE">DATA!$J$1884</definedName>
    <definedName name="cst_shinsei_strtuikaimposs1_STRUCTTUIKA_NOTIFT_DATE">DATA!$J$1885</definedName>
    <definedName name="cst_shinsei_strtuikaimposs2_STRUCT_NOTIFT_DATE">DATA!$J$1899</definedName>
    <definedName name="cst_shinsei_strtuikaimposs2_STRUCT_NOTIFT_NO">DATA!$J$1900</definedName>
    <definedName name="cst_shinsei_strtuikaimposs2_STRUCT_TUIKA_DATE">DATA!$J$1901</definedName>
    <definedName name="cst_shinsei_strtuikaimposs2_STRUCTTUIKA_NOTIFT_DATE">DATA!$J$1902</definedName>
    <definedName name="cst_shinsei_strtuikaimposs3_STRUCT_NOTIFT_DATE">DATA!$J$1916</definedName>
    <definedName name="cst_shinsei_strtuikaimposs3_STRUCT_NOTIFT_NO">DATA!$J$1917</definedName>
    <definedName name="cst_shinsei_strtuikaimposs3_STRUCT_TUIKA_DATE">DATA!$J$1918</definedName>
    <definedName name="cst_shinsei_strtuikaimposs3_STRUCTTUIKA_NOTIFT_DATE">DATA!$J$1919</definedName>
    <definedName name="cst_shinsei_strtuikaimposs4_STRUCT_NOTIFT_DATE">DATA!$J$1933</definedName>
    <definedName name="cst_shinsei_strtuikaimposs4_STRUCT_NOTIFT_NO">DATA!$J$1934</definedName>
    <definedName name="cst_shinsei_strtuikaimposs4_STRUCT_TUIKA_DATE">DATA!$J$1935</definedName>
    <definedName name="cst_shinsei_strtuikaimposs4_STRUCTTUIKA_NOTIFT_DATE">DATA!$J$1936</definedName>
    <definedName name="cst_shinsei_strtuikaimposs5_STRUCT_NOTIFT_DATE">DATA!$J$1950</definedName>
    <definedName name="cst_shinsei_strtuikaimposs5_STRUCT_NOTIFT_NO">DATA!$J$1951</definedName>
    <definedName name="cst_shinsei_strtuikaimposs5_STRUCT_TUIKA_DATE">DATA!$J$1952</definedName>
    <definedName name="cst_shinsei_strtuikaimposs5_STRUCTTUIKA_NOTIFT_DATE">DATA!$J$1953</definedName>
    <definedName name="cst_shinsei_strtuikaimposs6_STRUCT_NOTIFT_DATE">DATA!$J$1967</definedName>
    <definedName name="cst_shinsei_strtuikaimposs6_STRUCT_NOTIFT_NO">DATA!$J$1968</definedName>
    <definedName name="cst_shinsei_strtuikaimposs6_STRUCT_TUIKA_DATE">DATA!$J$1969</definedName>
    <definedName name="cst_shinsei_strtuikaimposs6_STRUCTTUIKA_NOTIFT_DATE">DATA!$J$1970</definedName>
    <definedName name="cst_shinsei_strtuikaimpossx_STRUCT_NOTIFT_DATE">DATA!$J$1983</definedName>
    <definedName name="cst_shinsei_strtuikaimpossx_STRUCT_NOTIFT_NO">DATA!$J$1984</definedName>
    <definedName name="cst_shinsei_strtuikaimpossx_STRUCT_TUIKA_DATE">DATA!$J$1985</definedName>
    <definedName name="cst_shinsei_strtuikaimpossx_STRUCTTUIKA_NOTIFT_DATE">DATA!$J$1986</definedName>
    <definedName name="cst_shinsei_strtuikang1_STRUCT_NOTIFT_DATE">DATA!$J$2003</definedName>
    <definedName name="cst_shinsei_strtuikang1_STRUCT_NOTIFT_NO">DATA!$J$2004</definedName>
    <definedName name="cst_shinsei_strtuikang1_STRUCT_TUIKA_DATE">DATA!$J$2005</definedName>
    <definedName name="cst_shinsei_strtuikang1_STRUCTTUIKA_NOTIFT_DATE">DATA!$J$2006</definedName>
    <definedName name="cst_shinsei_STRUCT_NOTIFT_DATE">DATA_StructuralCalc!$J$78</definedName>
    <definedName name="cst_shinsei_STRUCT_NOTIFT_DATE__add_shosiki">DATA_StructuralCalc!$J$83</definedName>
    <definedName name="cst_shinsei_STRUCT_NOTIFT_DATE__day">DATA_StructuralCalc!$J$80</definedName>
    <definedName name="cst_shinsei_STRUCT_NOTIFT_DATE__dsp">DATA_StructuralCalc!$J$82</definedName>
    <definedName name="cst_shinsei_STRUCT_NOTIFT_DATE__month">DATA_StructuralCalc!$J$79</definedName>
    <definedName name="cst_shinsei_STRUCTRESULT_NOTIFY_DATE">DATA!$J$1697</definedName>
    <definedName name="cst_shinsei_STRUCTRESULT_NOTIFY_KOUFU_NAME">DATA!$J$1676</definedName>
    <definedName name="cst_shinsei_STRUCTRESULT_NOTIFY_NO">DATA!$J$1698</definedName>
    <definedName name="cst_shinsei_STRUCTRESULT_NOTIFY_RESULT">DATA!$J$1699</definedName>
    <definedName name="cst_shinsei_STRUCTTUIKA_NOTIFT_DATE">DATA_StructuralCalc!$J$86</definedName>
    <definedName name="cst_shinsei_STRUCTTUIKA_NOTIFT_DATE__dsp">DATA_StructuralCalc!$J$87</definedName>
    <definedName name="cst_shinsei_TARGET_KIND">DATA!$J$81</definedName>
    <definedName name="cst_shinsei_TOKKI_JIKOU">DATA!$J$1599</definedName>
    <definedName name="cst_shinsei_TOKKI_JIKOU__dsp">DATA!$J$1600</definedName>
    <definedName name="cst_shinsei_TOKKI_JIKOU__dsp2">DATA!$J$1601</definedName>
    <definedName name="cst_shinsei_UKETUKE_NO">DATA!$J$1561</definedName>
    <definedName name="cst_shinsei_UKETUKE_NO__change_disp">DATA!$J$1563</definedName>
    <definedName name="cst_shinsei_UKETUKE_NO__disp">DATA!$J$1562</definedName>
    <definedName name="cst_shinsei_UKETUKE_NO_serial">dDATA_cst!$I$101</definedName>
    <definedName name="cst_shinsei_UKETUKE_NO_serial_dsp">dDATA_cst!$I$102</definedName>
    <definedName name="cst_shinsei_UKETUKE_NO_sign">dDATA_cst!$I$96</definedName>
    <definedName name="cst_shinsei_UKETUKE_OFFICE_ID__ADDRESS">DATA!$J$30</definedName>
    <definedName name="cst_shinsei_UKETUKE_OFFICE_ID__ADDRESS__1_2">DATA!$J$32</definedName>
    <definedName name="cst_shinsei_UKETUKE_OFFICE_ID__ADDRESS2">DATA!$J$31</definedName>
    <definedName name="cst_shinsei_UKETUKE_OFFICE_ID__FAX">DATA!$J$34</definedName>
    <definedName name="cst_shinsei_UKETUKE_OFFICE_ID__ID">DATA!$J$27</definedName>
    <definedName name="cst_shinsei_UKETUKE_OFFICE_ID__OFFICE_NAME">DATA!$J$28</definedName>
    <definedName name="cst_shinsei_UKETUKE_OFFICE_ID__POST_CODE">DATA!$J$29</definedName>
    <definedName name="cst_shinsei_UKETUKE_OFFICE_ID__TEL">DATA!$J$33</definedName>
    <definedName name="cst_shinsei_UNIT_COUNT">DATA!$J$1383</definedName>
    <definedName name="cst_shinsei_WORK_88">DATA!$J$1416</definedName>
    <definedName name="cst_shinsei_WORK_TYPE">DATA!$J$1435</definedName>
    <definedName name="cst_shinsei_xx_BIKO">DATA!$J$1864</definedName>
    <definedName name="cst_shinsei_xx_CAUSE">DATA!$J$1847</definedName>
    <definedName name="cst_shinsei_xx_NOTIFY_ANSWER_DATE">DATA!$J$1839</definedName>
    <definedName name="cst_shinsei_xx_NOTIFY_CAUSE">DATA!$J$1840</definedName>
    <definedName name="cst_shinsei_xx_NOTIFY_DATE">DATA!$J$1834</definedName>
    <definedName name="cst_shinsei_xx_NOTIFY_DATE__disp">DATA!$J$1669</definedName>
    <definedName name="cst_shinsei_xx_NOTIFY_DOCNO">DATA!$J$1843</definedName>
    <definedName name="cst_shinsei_xx_NOTIFY_KENSA_DATE">DATA!$J$1837</definedName>
    <definedName name="cst_shinsei_xx_NOTIFY_KENSA_DATE__text">DATA!$J$1752</definedName>
    <definedName name="cst_shinsei_xx_NOTIFY_LIMIT_DATE">DATA!$J$1838</definedName>
    <definedName name="cst_shinsei_xx_NOTIFY_NG_JIYU">DATA!$J$1744</definedName>
    <definedName name="cst_shinsei_xx_NOTIFY_NOTE">DATA!$J$1841</definedName>
    <definedName name="cst_shinsei_xx_NOTIFY_SOUFU_SAKI">DATA!$J$1842</definedName>
    <definedName name="cst_shinsei_xx_NOTIFY_TANTOU">DATA!$J$1835</definedName>
    <definedName name="cst_shinsei_xx_NOTIFY_USER">DATA!$J$1836</definedName>
    <definedName name="cst_shinsei_xx_REPORT_DATE">DATA!$J$1846</definedName>
    <definedName name="cst_shinsei_xx_STRUCT_HENKOU_LIMIT_DATE">DATA!$J$1861</definedName>
    <definedName name="cst_shinsei_xx_STRUCT_HENKOU_NOTIFT_DATE">DATA!$J$1860</definedName>
    <definedName name="cst_shinsei_xx_STRUCT_NOTIFT_BIKO">DATA!$J$1854</definedName>
    <definedName name="cst_shinsei_xx_STRUCT_NOTIFT_DATE">DATA!$J$1851</definedName>
    <definedName name="cst_shinsei_xx_STRUCT_NOTIFT_DOCNO">DATA!$J$1856</definedName>
    <definedName name="cst_shinsei_xx_STRUCT_NOTIFT_NO">DATA!$J$1852</definedName>
    <definedName name="cst_shinsei_xx_STRUCT_NOTIFT_TOUTYAKU_MEMO">DATA!$J$1853</definedName>
    <definedName name="cst_shinsei_xx_STRUCT_NOTIFT_TUIKA_DATE">DATA!$J$1855</definedName>
    <definedName name="cst_shinsei_xx_STRUCT_NOTIFT_USE">DATA!$J$1850</definedName>
    <definedName name="cst_shinsei_xx_STRUCT_TUIKA_DOCNO">DATA!$J$1862</definedName>
    <definedName name="cst_shinsei_xx_STRUCT_TUIKA_NOTIFT_DATE">DATA!$J$1859</definedName>
    <definedName name="cst_shinsei_xy_REPORT_DATE">DATA!$J$1729</definedName>
    <definedName name="cst_shinsei_xy_REPORT_DATE__text">DATA!$J$1730</definedName>
    <definedName name="cst_shinseijudgehist_provo_isyou1_TANTO_USER_ID">DATA!$J$64</definedName>
    <definedName name="cst_shinseijudgehist_provo_isyou2_TANTO_USER_ID">DATA!$J$65</definedName>
    <definedName name="cst_STRUCTNOTIFT_ctrl">DATA!$J$1830</definedName>
    <definedName name="cst_STRUCTNOTIFT_NOTIFT_ctrl">DATA!$J$1830</definedName>
    <definedName name="cst_TOKUREI_56">DATA!$J$1291</definedName>
    <definedName name="cyokuzen_shinsei_FIRE_SUBMIT_DATE">DATA!$H$1659</definedName>
    <definedName name="cyokuzen_shinsei_ISSUE_DATE">DATA!$H$1654</definedName>
    <definedName name="cyokuzen_shinsei_ISSUE_KOUFU_NAME">DATA!$H$1656</definedName>
    <definedName name="cyokuzen_shinsei_ISSUE_NO">DATA!$H$1655</definedName>
    <definedName name="cyokuzen_shinsei_KAKUNINZUMI_HOUKOKU_GYOSEI_NO">DATA!$H$1657</definedName>
    <definedName name="disp_CHARGE_DETAIL_ecoteki_fee">dFEE!$G$29</definedName>
    <definedName name="disp_CHARGE_DETAIL_fd_fee">dFEE!$G$69</definedName>
    <definedName name="disp_CHARGE_DETAIL_fukusuutou_fee">dFEE!$G$33</definedName>
    <definedName name="disp_CHARGE_DETAIL_genkaitairyoku_fee">dFEE!$G$49</definedName>
    <definedName name="disp_CHARGE_DETAIL_hinananzen_fee">dFEE!$G$41</definedName>
    <definedName name="disp_CHARGE_DETAIL_kensa_shuchou_fee">dFEE!$G$25</definedName>
    <definedName name="disp_CHARGE_DETAIL_shoukouki_heigan_fee">dFEE!$G$53</definedName>
    <definedName name="disp_CHARGE_DETAIL_shoukouki_kouzou_kentou_fee">dFEE!$G$58</definedName>
    <definedName name="disp_CHARGE_DETAIL_sonotakasan_fee">dFEE!$G$37</definedName>
    <definedName name="disp_CHARGE_DETAIL_taikabouka_fee">dFEE!$G$45</definedName>
    <definedName name="disp_CHARGE_DETAIL_waribiki_fee">dFEE!$G$64</definedName>
    <definedName name="don_BasePoint1_CIAS">dOFFICE_name!$E$6</definedName>
    <definedName name="don_BasePoint2_CIAS">dOFFICE_name!$E$19</definedName>
    <definedName name="don_BasePoint3_CIAS">dOFFICE_name!$E$32</definedName>
    <definedName name="don_BasePoint4_CIAS">dOFFICE_name!$E$45</definedName>
    <definedName name="don_BasePoint5_CIAS">dOFFICE_name!$E$58</definedName>
    <definedName name="don_BasePointX">dOFFICE_name!$F$91</definedName>
    <definedName name="don_OFFICE__code_CIAS">dOFFICE_name!$F$85</definedName>
    <definedName name="don_OFFICE__search_erea_CIAS">dOFFICE_name!$F$79:$F$83</definedName>
    <definedName name="don_OFFICE_ACCOUNT_01__print_time">dOFFICE_name!$H$133</definedName>
    <definedName name="don_OFFICE_ACCOUNT_02__print_time">dOFFICE_name!$H$134</definedName>
    <definedName name="don_OFFICE_ACCOUNT_03__print_time">dOFFICE_name!$H$135</definedName>
    <definedName name="don_OFFICE_ACCOUNT_LIST__print_time">dOFFICE_name!$H$136</definedName>
    <definedName name="don_OFFICE_ACCOUNT_LIST_MES__print_time">dOFFICE_name!$H$137</definedName>
    <definedName name="don_OFFICE_ADDRESS1__charge_base_date">dOFFICE_name!$H$313</definedName>
    <definedName name="don_OFFICE_ADDRESS1__fire_notify_date">dOFFICE_name!$H$235</definedName>
    <definedName name="don_OFFICE_ADDRESS1__fire_submit_date">dOFFICE_name!$H$222</definedName>
    <definedName name="don_OFFICE_ADDRESS1__health_notify_date">dOFFICE_name!$H$248</definedName>
    <definedName name="don_OFFICE_ADDRESS1__hikiuke_date">dOFFICE_name!$H$144</definedName>
    <definedName name="don_OFFICE_ADDRESS1__hikiuke_tuuti_date">dOFFICE_name!$H$183</definedName>
    <definedName name="don_OFFICE_ADDRESS1__income_date">dOFFICE_name!$H$300</definedName>
    <definedName name="don_OFFICE_ADDRESS1__issue_date">dOFFICE_name!$H$157</definedName>
    <definedName name="don_OFFICE_ADDRESS1__notify_date">dOFFICE_name!$H$170</definedName>
    <definedName name="don_OFFICE_ADDRESS1__print_time">dOFFICE_name!$H$104</definedName>
    <definedName name="don_OFFICE_ADDRESS1__provo_date">dOFFICE_name!$H$209</definedName>
    <definedName name="don_OFFICE_ADDRESS1__report_date">dOFFICE_name!$H$196</definedName>
    <definedName name="don_OFFICE_ADDRESS1__str_encyou_tuuti_date">dOFFICE_name!$H$287</definedName>
    <definedName name="don_OFFICE_ADDRESS1__str_irai_date">dOFFICE_name!$H$274</definedName>
    <definedName name="don_OFFICE_ADDRESS1__str_prove_notify_date">dOFFICE_name!$H$261</definedName>
    <definedName name="don_OFFICE_ADDRESS2__charge_base_date">dOFFICE_name!$H$314</definedName>
    <definedName name="don_OFFICE_ADDRESS2__fire_notify_date">dOFFICE_name!$H$236</definedName>
    <definedName name="don_OFFICE_ADDRESS2__fire_submit_date">dOFFICE_name!$H$223</definedName>
    <definedName name="don_OFFICE_ADDRESS2__health_notify_date">dOFFICE_name!$H$249</definedName>
    <definedName name="don_OFFICE_ADDRESS2__hikiuke_date">dOFFICE_name!$H$145</definedName>
    <definedName name="don_OFFICE_ADDRESS2__hikiuke_tuuti_date">dOFFICE_name!$H$184</definedName>
    <definedName name="don_OFFICE_ADDRESS2__income_date">dOFFICE_name!$H$301</definedName>
    <definedName name="don_OFFICE_ADDRESS2__issue_date">dOFFICE_name!$H$158</definedName>
    <definedName name="don_OFFICE_ADDRESS2__notify_date">dOFFICE_name!$H$171</definedName>
    <definedName name="don_OFFICE_ADDRESS2__print_time">dOFFICE_name!$H$105</definedName>
    <definedName name="don_OFFICE_ADDRESS2__provo_date">dOFFICE_name!$H$210</definedName>
    <definedName name="don_OFFICE_ADDRESS2__report_date">dOFFICE_name!$H$197</definedName>
    <definedName name="don_OFFICE_ADDRESS2__str_encyou_tuuti_date">dOFFICE_name!$H$288</definedName>
    <definedName name="don_OFFICE_ADDRESS2__str_irai_date">dOFFICE_name!$H$275</definedName>
    <definedName name="don_OFFICE_ADDRESS2__str_prove_notify_date">dOFFICE_name!$H$262</definedName>
    <definedName name="don_OFFICE_cst_ADDRESS__charge_base_date">dOFFICE_name!$H$318</definedName>
    <definedName name="don_OFFICE_cst_ADDRESS__fire_notify_date">dOFFICE_name!$H$240</definedName>
    <definedName name="don_OFFICE_cst_ADDRESS__fire_submit_date">dOFFICE_name!$H$227</definedName>
    <definedName name="don_OFFICE_cst_ADDRESS__health_notify_date">dOFFICE_name!$H$253</definedName>
    <definedName name="don_OFFICE_cst_ADDRESS__hikiuke_date">dOFFICE_name!$H$149</definedName>
    <definedName name="don_OFFICE_cst_ADDRESS__hikiuke_tuuti_date">dOFFICE_name!$H$188</definedName>
    <definedName name="don_OFFICE_cst_ADDRESS__income_date">dOFFICE_name!$H$305</definedName>
    <definedName name="don_OFFICE_cst_ADDRESS__issue_date">dOFFICE_name!$H$162</definedName>
    <definedName name="don_OFFICE_cst_ADDRESS__notify_date">dOFFICE_name!$H$175</definedName>
    <definedName name="don_OFFICE_cst_ADDRESS__print_time">dOFFICE_name!$H$109</definedName>
    <definedName name="don_OFFICE_cst_ADDRESS__provo_date">dOFFICE_name!$H$214</definedName>
    <definedName name="don_OFFICE_cst_ADDRESS__report_date">dOFFICE_name!$H$201</definedName>
    <definedName name="don_OFFICE_cst_ADDRESS__str_encyou_tuuti_date">dOFFICE_name!$H$292</definedName>
    <definedName name="don_OFFICE_cst_ADDRESS__str_irai_date">dOFFICE_name!$H$279</definedName>
    <definedName name="don_OFFICE_cst_ADDRESS__str_prove_notify_date">dOFFICE_name!$H$266</definedName>
    <definedName name="don_OFFICE_DAIHYOUSYA__charge_base_date">dOFFICE_name!$H$311</definedName>
    <definedName name="don_OFFICE_DAIHYOUSYA__fire_notify_date">dOFFICE_name!$H$233</definedName>
    <definedName name="don_OFFICE_DAIHYOUSYA__fire_submit_date">dOFFICE_name!$H$220</definedName>
    <definedName name="don_OFFICE_DAIHYOUSYA__health_notify_date">dOFFICE_name!$H$246</definedName>
    <definedName name="don_OFFICE_DAIHYOUSYA__hikiuke_date">dOFFICE_name!$H$142</definedName>
    <definedName name="don_OFFICE_DAIHYOUSYA__hikiuke_tuuti_date">dOFFICE_name!$H$181</definedName>
    <definedName name="don_OFFICE_DAIHYOUSYA__income_date">dOFFICE_name!$H$298</definedName>
    <definedName name="don_OFFICE_DAIHYOUSYA__issue_date">dOFFICE_name!$H$155</definedName>
    <definedName name="don_OFFICE_DAIHYOUSYA__notify_date">dOFFICE_name!$H$168</definedName>
    <definedName name="don_OFFICE_DAIHYOUSYA__print_time">dOFFICE_name!$H$102</definedName>
    <definedName name="don_OFFICE_DAIHYOUSYA__provo_date">dOFFICE_name!$H$207</definedName>
    <definedName name="don_OFFICE_DAIHYOUSYA__report_date">dOFFICE_name!$H$194</definedName>
    <definedName name="don_OFFICE_DAIHYOUSYA__str_encyou_tuuti_date">dOFFICE_name!$H$285</definedName>
    <definedName name="don_OFFICE_DAIHYOUSYA__str_irai_date">dOFFICE_name!$H$272</definedName>
    <definedName name="don_OFFICE_DAIHYOUSYA__str_prove_notify_date">dOFFICE_name!$H$259</definedName>
    <definedName name="don_OFFICE_EMAIL__charge_base_date">dOFFICE_name!$H$319</definedName>
    <definedName name="don_OFFICE_EMAIL__fire_notify_date">dOFFICE_name!$H$241</definedName>
    <definedName name="don_OFFICE_EMAIL__fire_submit_date">dOFFICE_name!$H$228</definedName>
    <definedName name="don_OFFICE_EMAIL__health_notify_date">dOFFICE_name!$H$254</definedName>
    <definedName name="don_OFFICE_EMAIL__hikiuke_date">dOFFICE_name!$H$150</definedName>
    <definedName name="don_OFFICE_EMAIL__hikiuke_tuuti_date">dOFFICE_name!$H$189</definedName>
    <definedName name="don_OFFICE_EMAIL__income_date">dOFFICE_name!$H$306</definedName>
    <definedName name="don_OFFICE_EMAIL__issue_date">dOFFICE_name!$H$163</definedName>
    <definedName name="don_OFFICE_EMAIL__notify_date">dOFFICE_name!$H$176</definedName>
    <definedName name="don_OFFICE_EMAIL__print_time">dOFFICE_name!$H$110</definedName>
    <definedName name="don_OFFICE_EMAIL__provo_date">dOFFICE_name!$H$215</definedName>
    <definedName name="don_OFFICE_EMAIL__report_date">dOFFICE_name!$H$202</definedName>
    <definedName name="don_OFFICE_EMAIL__str_encyou_tuuti_date">dOFFICE_name!$H$293</definedName>
    <definedName name="don_OFFICE_EMAIL__str_irai_date">dOFFICE_name!$H$280</definedName>
    <definedName name="don_OFFICE_EMAIL__str_prove_notify_date">dOFFICE_name!$H$267</definedName>
    <definedName name="don_OFFICE_FAX__charge_base_date">dOFFICE_name!$H$316</definedName>
    <definedName name="don_OFFICE_FAX__fire_notify_date">dOFFICE_name!$H$238</definedName>
    <definedName name="don_OFFICE_FAX__fire_submit_date">dOFFICE_name!$H$225</definedName>
    <definedName name="don_OFFICE_FAX__health_notify_date">dOFFICE_name!$H$251</definedName>
    <definedName name="don_OFFICE_FAX__hikiuke_date">dOFFICE_name!$H$147</definedName>
    <definedName name="don_OFFICE_FAX__hikiuke_tuuti_date">dOFFICE_name!$H$186</definedName>
    <definedName name="don_OFFICE_FAX__income_date">dOFFICE_name!$H$303</definedName>
    <definedName name="don_OFFICE_FAX__issue_date">dOFFICE_name!$H$160</definedName>
    <definedName name="don_OFFICE_FAX__notify_date">dOFFICE_name!$H$173</definedName>
    <definedName name="don_OFFICE_FAX__print_time">dOFFICE_name!$H$107</definedName>
    <definedName name="don_OFFICE_FAX__provo_date">dOFFICE_name!$H$212</definedName>
    <definedName name="don_OFFICE_FAX__report_date">dOFFICE_name!$H$199</definedName>
    <definedName name="don_OFFICE_FAX__str_encyou_tuuti_date">dOFFICE_name!$H$290</definedName>
    <definedName name="don_OFFICE_FAX__str_irai_date">dOFFICE_name!$H$277</definedName>
    <definedName name="don_OFFICE_FAX__str_prove_notify_date">dOFFICE_name!$H$264</definedName>
    <definedName name="don_OFFICE_FAX_tokyo_sinsa__print_time">dOFFICE_name!$H$112</definedName>
    <definedName name="don_OFFICE_NAME_CORP_TYPE__charge_base_date">dOFFICE_name!$H$309</definedName>
    <definedName name="don_OFFICE_NAME_CORP_TYPE__fire_notify_date">dOFFICE_name!$H$231</definedName>
    <definedName name="don_OFFICE_NAME_CORP_TYPE__fire_submit_date">dOFFICE_name!$H$218</definedName>
    <definedName name="don_OFFICE_NAME_CORP_TYPE__health_notify_date">dOFFICE_name!$H$244</definedName>
    <definedName name="don_OFFICE_NAME_CORP_TYPE__hikiuke_date">dOFFICE_name!$H$140</definedName>
    <definedName name="don_OFFICE_NAME_CORP_TYPE__hikiuke_tuuti_date">dOFFICE_name!$H$179</definedName>
    <definedName name="don_OFFICE_NAME_CORP_TYPE__income_date">dOFFICE_name!$H$296</definedName>
    <definedName name="don_OFFICE_NAME_CORP_TYPE__issue_date">dOFFICE_name!$H$153</definedName>
    <definedName name="don_OFFICE_NAME_CORP_TYPE__notify_date">dOFFICE_name!$H$166</definedName>
    <definedName name="don_OFFICE_NAME_CORP_TYPE__print_time">dOFFICE_name!$H$100</definedName>
    <definedName name="don_OFFICE_NAME_CORP_TYPE__provo_date">dOFFICE_name!$H$205</definedName>
    <definedName name="don_OFFICE_NAME_CORP_TYPE__report_date">dOFFICE_name!$H$192</definedName>
    <definedName name="don_OFFICE_NAME_CORP_TYPE__str_encyou_tuuti_date">dOFFICE_name!$H$283</definedName>
    <definedName name="don_OFFICE_NAME_CORP_TYPE__str_irai_date">dOFFICE_name!$H$270</definedName>
    <definedName name="don_OFFICE_NAME_CORP_TYPE__str_prove_notify_date">dOFFICE_name!$H$257</definedName>
    <definedName name="don_OFFICE_NAME_kakko__print_time">dOFFICE_name!$H$115</definedName>
    <definedName name="don_OFFICE_OFFICE_CORP_NAME__charge_base_date">dOFFICE_name!$H$310</definedName>
    <definedName name="don_OFFICE_OFFICE_CORP_NAME__fire_notify_date">dOFFICE_name!$H$232</definedName>
    <definedName name="don_OFFICE_OFFICE_CORP_NAME__fire_submit_date">dOFFICE_name!$H$219</definedName>
    <definedName name="don_OFFICE_OFFICE_CORP_NAME__health_notify_date">dOFFICE_name!$H$245</definedName>
    <definedName name="don_OFFICE_OFFICE_CORP_NAME__hikiuke_date">dOFFICE_name!$H$141</definedName>
    <definedName name="don_OFFICE_OFFICE_CORP_NAME__hikiuke_tuuti_date">dOFFICE_name!$H$180</definedName>
    <definedName name="don_OFFICE_OFFICE_CORP_NAME__income_date">dOFFICE_name!$H$297</definedName>
    <definedName name="don_OFFICE_OFFICE_CORP_NAME__issue_date">dOFFICE_name!$H$154</definedName>
    <definedName name="don_OFFICE_OFFICE_CORP_NAME__notify_date">dOFFICE_name!$H$167</definedName>
    <definedName name="don_OFFICE_OFFICE_CORP_NAME__print_time">dOFFICE_name!$H$101</definedName>
    <definedName name="don_OFFICE_OFFICE_CORP_NAME__provo_date">dOFFICE_name!$H$206</definedName>
    <definedName name="don_OFFICE_OFFICE_CORP_NAME__report_date">dOFFICE_name!$H$193</definedName>
    <definedName name="don_OFFICE_OFFICE_CORP_NAME__str_encyou_tuuti_date">dOFFICE_name!$H$284</definedName>
    <definedName name="don_OFFICE_OFFICE_CORP_NAME__str_irai_date">dOFFICE_name!$H$271</definedName>
    <definedName name="don_OFFICE_OFFICE_CORP_NAME__str_prove_notify_date">dOFFICE_name!$H$258</definedName>
    <definedName name="don_OFFICE_POST__charge_base_date">dOFFICE_name!$H$312</definedName>
    <definedName name="don_OFFICE_POST__fire_notify_date">dOFFICE_name!$H$234</definedName>
    <definedName name="don_OFFICE_POST__fire_submit_date">dOFFICE_name!$H$221</definedName>
    <definedName name="don_OFFICE_POST__health_notify_date">dOFFICE_name!$H$247</definedName>
    <definedName name="don_OFFICE_POST__hikiuke_date">dOFFICE_name!$H$143</definedName>
    <definedName name="don_OFFICE_POST__hikiuke_tuuti_date">dOFFICE_name!$H$182</definedName>
    <definedName name="don_OFFICE_POST__income_date">dOFFICE_name!$H$299</definedName>
    <definedName name="don_OFFICE_POST__issue_date">dOFFICE_name!$H$156</definedName>
    <definedName name="don_OFFICE_POST__notify_date">dOFFICE_name!$H$169</definedName>
    <definedName name="don_OFFICE_POST__print_time">dOFFICE_name!$H$103</definedName>
    <definedName name="don_OFFICE_POST__provo_date">dOFFICE_name!$H$208</definedName>
    <definedName name="don_OFFICE_POST__report_date">dOFFICE_name!$H$195</definedName>
    <definedName name="don_OFFICE_POST__str_encyou_tuuti_date">dOFFICE_name!$H$286</definedName>
    <definedName name="don_OFFICE_POST__str_irai_date">dOFFICE_name!$H$273</definedName>
    <definedName name="don_OFFICE_POST__str_prove_notify_date">dOFFICE_name!$H$260</definedName>
    <definedName name="don_OFFICE_TANTOU__charge_base_date">dOFFICE_name!$H$317</definedName>
    <definedName name="don_OFFICE_TANTOU__fire_notify_date">dOFFICE_name!$H$239</definedName>
    <definedName name="don_OFFICE_TANTOU__fire_submit_date">dOFFICE_name!$H$226</definedName>
    <definedName name="don_OFFICE_TANTOU__health_notify_date">dOFFICE_name!$H$252</definedName>
    <definedName name="don_OFFICE_TANTOU__hikiuke_date">dOFFICE_name!$H$148</definedName>
    <definedName name="don_OFFICE_TANTOU__hikiuke_tuuti_date">dOFFICE_name!$H$187</definedName>
    <definedName name="don_OFFICE_TANTOU__income_date">dOFFICE_name!$H$304</definedName>
    <definedName name="don_OFFICE_TANTOU__issue_date">dOFFICE_name!$H$161</definedName>
    <definedName name="don_OFFICE_TANTOU__notify_date">dOFFICE_name!$H$174</definedName>
    <definedName name="don_OFFICE_TANTOU__print_time">dOFFICE_name!$H$108</definedName>
    <definedName name="don_OFFICE_TANTOU__provo_date">dOFFICE_name!$H$213</definedName>
    <definedName name="don_OFFICE_TANTOU__report_date">dOFFICE_name!$H$200</definedName>
    <definedName name="don_OFFICE_TANTOU__str_encyou_tuuti_date">dOFFICE_name!$H$291</definedName>
    <definedName name="don_OFFICE_TANTOU__str_irai_date">dOFFICE_name!$H$278</definedName>
    <definedName name="don_OFFICE_TANTOU__str_prove_notify_date">dOFFICE_name!$H$265</definedName>
    <definedName name="don_OFFICE_TEL__charge_base_date">dOFFICE_name!$H$315</definedName>
    <definedName name="don_OFFICE_TEL__fire_notify_date">dOFFICE_name!$H$237</definedName>
    <definedName name="don_OFFICE_TEL__fire_submit_date">dOFFICE_name!$H$224</definedName>
    <definedName name="don_OFFICE_TEL__health_notify_date">dOFFICE_name!$H$250</definedName>
    <definedName name="don_OFFICE_TEL__hikiuke_date">dOFFICE_name!$H$146</definedName>
    <definedName name="don_OFFICE_TEL__hikiuke_tuuti_date">dOFFICE_name!$H$185</definedName>
    <definedName name="don_OFFICE_TEL__income_date">dOFFICE_name!$H$302</definedName>
    <definedName name="don_OFFICE_TEL__issue_date">dOFFICE_name!$H$159</definedName>
    <definedName name="don_OFFICE_TEL__notify_date">dOFFICE_name!$H$172</definedName>
    <definedName name="don_OFFICE_TEL__print_time">dOFFICE_name!$H$106</definedName>
    <definedName name="don_OFFICE_TEL__provo_date">dOFFICE_name!$H$211</definedName>
    <definedName name="don_OFFICE_TEL__report_date">dOFFICE_name!$H$198</definedName>
    <definedName name="don_OFFICE_TEL__str_encyou_tuuti_date">dOFFICE_name!$H$289</definedName>
    <definedName name="don_OFFICE_TEL__str_irai_date">dOFFICE_name!$H$276</definedName>
    <definedName name="don_OFFICE_TEL__str_prove_notify_date">dOFFICE_name!$H$263</definedName>
    <definedName name="don_OFFICE_TEL_tokyo_sinsa__print_time">dOFFICE_name!$H$111</definedName>
    <definedName name="don_OFFICE_WORD1__print_time">dOFFICE_name!$H$113</definedName>
    <definedName name="don_OFFICE_WORD2__print_time">dOFFICE_name!$H$114</definedName>
    <definedName name="don_SEARCH_DATE__charge_base_date">dOFFICE_name!$F$308</definedName>
    <definedName name="don_SEARCH_DATE__fire_notify_date">dOFFICE_name!$F$230</definedName>
    <definedName name="don_SEARCH_DATE__fire_submit_date">dOFFICE_name!$F$217</definedName>
    <definedName name="don_SEARCH_DATE__health_notify_date">dOFFICE_name!$F$243</definedName>
    <definedName name="don_SEARCH_DATE__hikiuke_date">dOFFICE_name!$F$139</definedName>
    <definedName name="don_SEARCH_DATE__hikiuke_tuuti_date">dOFFICE_name!$F$178</definedName>
    <definedName name="don_SEARCH_DATE__income_date">dOFFICE_name!$F$295</definedName>
    <definedName name="don_SEARCH_DATE__issue_date">dOFFICE_name!$F$152</definedName>
    <definedName name="don_SEARCH_DATE__notify_date">dOFFICE_name!$F$165</definedName>
    <definedName name="don_SEARCH_DATE__print_time">dOFFICE_name!$F$99</definedName>
    <definedName name="don_SEARCH_DATE__provo_date">dOFFICE_name!$F$204</definedName>
    <definedName name="don_SEARCH_DATE__report_date">dOFFICE_name!$F$191</definedName>
    <definedName name="don_SEARCH_DATE__str_encyou_tuuti_date">dOFFICE_name!$F$282</definedName>
    <definedName name="don_SEARCH_DATE__str_irai_date">dOFFICE_name!$F$269</definedName>
    <definedName name="don_SEARCH_DATE__str_prove_notify_date">dOFFICE_name!$F$256</definedName>
    <definedName name="don_SEARCH_RESOLT__charge_base_date">dOFFICE_name!$H$308</definedName>
    <definedName name="don_SEARCH_RESOLT__fire_notify_date">dOFFICE_name!$H$230</definedName>
    <definedName name="don_SEARCH_RESOLT__fire_submit_date">dOFFICE_name!$H$217</definedName>
    <definedName name="don_SEARCH_RESOLT__health_notify_date">dOFFICE_name!$H$243</definedName>
    <definedName name="don_SEARCH_RESOLT__hikiuke_date">dOFFICE_name!$H$139</definedName>
    <definedName name="don_SEARCH_RESOLT__hikiuke_tuuti_date">dOFFICE_name!$H$178</definedName>
    <definedName name="don_SEARCH_RESOLT__income_date">dOFFICE_name!$H$295</definedName>
    <definedName name="don_SEARCH_RESOLT__issue_date">dOFFICE_name!$H$152</definedName>
    <definedName name="don_SEARCH_RESOLT__notify_date">dOFFICE_name!$H$165</definedName>
    <definedName name="don_SEARCH_RESOLT__print_time">dOFFICE_name!$H$99</definedName>
    <definedName name="don_SEARCH_RESOLT__provo_date">dOFFICE_name!$H$204</definedName>
    <definedName name="don_SEARCH_RESOLT__report_date">dOFFICE_name!$H$191</definedName>
    <definedName name="don_SEARCH_RESOLT__str_encyou_tuuti_date">dOFFICE_name!$H$282</definedName>
    <definedName name="don_SEARCH_RESOLT__str_irai_date">dOFFICE_name!$H$269</definedName>
    <definedName name="don_SEARCH_RESOLT__str_prove_notify_date">dOFFICE_name!$H$256</definedName>
    <definedName name="don_SearchErea1_CIAS">dOFFICE_name!$D$7:$D$16</definedName>
    <definedName name="don_SearchErea2_CIAS">dOFFICE_name!$D$20:$D$29</definedName>
    <definedName name="don_SearchErea3_CIAS">dOFFICE_name!$D$33:$D$42</definedName>
    <definedName name="don_SearchErea4_CIAS">dOFFICE_name!$D$46:$D$55</definedName>
    <definedName name="don_SearchErea5_CIAS">dOFFICE_name!$D$59:$D$68</definedName>
    <definedName name="don_SearchEreaX">dOFFICE_name!$F$92</definedName>
    <definedName name="erea_CHARGE_DETAIL">dFEE!$H$5:$H$15</definedName>
    <definedName name="erea_CHARGE_DETAIL_vlookup">dFEE!$H$5:$J$15</definedName>
    <definedName name="erea_check_BUTTON_KIND">dCHECK_SHEET!$P$2:$AH$2</definedName>
    <definedName name="erea_check_INSPECTION_TYPE">dCHECK_SHEET!$P$1:$AH$1</definedName>
    <definedName name="erea_check_TARGET_KIND">dCHECK_SHEET!$P$3:$AH$3</definedName>
    <definedName name="firstconf_shinsei_strtower01_JUDGE">DATA!$H$1685</definedName>
    <definedName name="flat35_ACCEPT_NO">DATA!$H$2291</definedName>
    <definedName name="flat35_DI_ACCEPT_DATE">DATA!$H$2293</definedName>
    <definedName name="flat35_DI_ISSUE_DATE">DATA!$H$2295</definedName>
    <definedName name="flg_NOTIFY_DATE">dDATA_cst!$I$170</definedName>
    <definedName name="flg_NOTIFY_DATE__1506">dDATA_cst!$I$171</definedName>
    <definedName name="hiderows_建築物_確認済証_1506">#REF!</definedName>
    <definedName name="hiderows_建築物_審査報告書_1506">#REF!</definedName>
    <definedName name="hiderowsflag_建築物_確認済証_1506">dDATA_cst!$I$165</definedName>
    <definedName name="hiderowsflag_建築物_審査報告書_1506">dDATA_cst!$I$166</definedName>
    <definedName name="kakaru_shinsei_ACCEPT_DATE">DATA!$H$1625</definedName>
    <definedName name="kakaru_shinsei_FIRE_SUBMIT_DATE">DATA!$H$1634</definedName>
    <definedName name="kakaru_shinsei_HIKIUKE_DATE">DATA!$H$1626</definedName>
    <definedName name="kakaru_shinsei_INSPECTION_TYPE">DATA!$H$1628</definedName>
    <definedName name="kakaru_shinsei_ISSUE_DATE">DATA!$H$1629</definedName>
    <definedName name="kakaru_shinsei_ISSUE_KOUFU_NAME">DATA!$H$1632</definedName>
    <definedName name="kakaru_shinsei_ISSUE_NO">DATA!$H$1631</definedName>
    <definedName name="kakaru_shinsei_UKETUKE_NO">DATA!$H$1627</definedName>
    <definedName name="label_GYOUSEI_NO">DATA!$J$1372</definedName>
    <definedName name="lastinter_shinsei_intermediate_SPECIFIC_KOUTEI">DATA!$H$1483</definedName>
    <definedName name="lastinter_shinsei_ISSUE_DATE">DATA!$H$1485</definedName>
    <definedName name="lastinter_shinsei_ISSUE_NO">DATA!$H$1480</definedName>
    <definedName name="lnk_OFFICE_SELECT">dOFFICE_name!$F$77</definedName>
    <definedName name="output_CHARGE_DETAIL_kakunin_fee">dFEE!$G$90</definedName>
    <definedName name="output_CHARGE_DETAIL_kanryou_fee">dFEE!$G$92</definedName>
    <definedName name="output_CHARGE_DETAIL_shuchou_fee">dFEE!$G$21</definedName>
    <definedName name="owner_count">DATA!$H$683</definedName>
    <definedName name="owner_name1">DATA!$H$238</definedName>
    <definedName name="owner_name2">DATA!$H$239</definedName>
    <definedName name="owner_name3">DATA!$H$240</definedName>
    <definedName name="owner_name4">DATA!$H$241</definedName>
    <definedName name="owner_name5">DATA!$H$242</definedName>
    <definedName name="owner_name6">DATA!$H$243</definedName>
    <definedName name="p2_shinsei_HEN_SUMI_KOUFU_DATE">DATA!$H$1820</definedName>
    <definedName name="p2_shinsei_HEN_SUMI_KOUFU_NAME">DATA!$H$1817</definedName>
    <definedName name="p2_shinsei_HEN_SUMI_NO">DATA!$H$1818</definedName>
    <definedName name="p2_shinsei_ISSUE_DATE">DATA!$H$1812</definedName>
    <definedName name="p2_shinsei_ISSUE_NO">DATA!$H$1810</definedName>
    <definedName name="p2_shinsei_KAKUNINZUMI_KENSAIN">DATA!$H$1809</definedName>
    <definedName name="_xlnm.Print_Area" localSheetId="18">建_請求書_大阪!$A$1:$M$55</definedName>
    <definedName name="prule_cells">dINFOMATION!$A$4:$HH$138</definedName>
    <definedName name="prule_printer">dINFOMATION!$L$2</definedName>
    <definedName name="prule_printer_default">dINFOMATION!$L$5</definedName>
    <definedName name="prule_sheetname">dINFOMATION!$B$2</definedName>
    <definedName name="search_CHARGE_DETAIL_ecoteki">dFEE!$G$27</definedName>
    <definedName name="search_CHARGE_DETAIL_ecoteki_fee">dFEE!$G$28</definedName>
    <definedName name="search_CHARGE_DETAIL_fd">dFEE!$G$67</definedName>
    <definedName name="search_CHARGE_DETAIL_fd_fee">dFEE!$G$68</definedName>
    <definedName name="search_CHARGE_DETAIL_fukusuutou">dFEE!$G$31</definedName>
    <definedName name="search_CHARGE_DETAIL_fukusuutou_fee">dFEE!$G$32</definedName>
    <definedName name="search_CHARGE_DETAIL_genkaitairyoku">dFEE!$G$47</definedName>
    <definedName name="search_CHARGE_DETAIL_genkaitairyoku_fee">dFEE!$G$48</definedName>
    <definedName name="search_CHARGE_DETAIL_hinananzen">dFEE!$G$39</definedName>
    <definedName name="search_CHARGE_DETAIL_hinananzen_fee">dFEE!$G$40</definedName>
    <definedName name="search_CHARGE_DETAIL_kakunin_fee">dFEE!$G$89</definedName>
    <definedName name="search_CHARGE_DETAIL_kanryou_fee">dFEE!$G$91</definedName>
    <definedName name="search_CHARGE_DETAIL_kensa_shuchou">dFEE!$G$23</definedName>
    <definedName name="search_CHARGE_DETAIL_kensa_shuchou_fee">dFEE!$G$24</definedName>
    <definedName name="search_CHARGE_DETAIL_shoukouki_heigan">dFEE!$G$51</definedName>
    <definedName name="search_CHARGE_DETAIL_shoukouki_heigan_fee">dFEE!$G$52</definedName>
    <definedName name="search_CHARGE_DETAIL_shoukouki_kouzou_kentou">dFEE!$G$56</definedName>
    <definedName name="search_CHARGE_DETAIL_shoukouki_kouzou_kentou_fee">dFEE!$G$57</definedName>
    <definedName name="search_CHARGE_DETAIL_shuchou">dFEE!$G$19</definedName>
    <definedName name="search_CHARGE_DETAIL_shuchou_fee">dFEE!$G$20</definedName>
    <definedName name="search_CHARGE_DETAIL_sonotakasan">dFEE!$G$35</definedName>
    <definedName name="search_CHARGE_DETAIL_sonotakasan_fee">dFEE!$G$36</definedName>
    <definedName name="search_CHARGE_DETAIL_taikabouka">dFEE!$G$43</definedName>
    <definedName name="search_CHARGE_DETAIL_taikabouka_fee">dFEE!$G$44</definedName>
    <definedName name="search_CHARGE_DETAIL_waribiki">dFEE!$G$61</definedName>
    <definedName name="search_CHARGE_DETAIL_waribiki_fee">dFEE!$G$62</definedName>
    <definedName name="search_CHARGE_DETAIL_waribiki_fee_plus">dFEE!$G$63</definedName>
    <definedName name="select_KESSAI_text01">DATA!$J$1710</definedName>
    <definedName name="select_KESSAI_text02">DATA!$J$1712</definedName>
    <definedName name="select_KESSAI_text03">DATA!$J$1714</definedName>
    <definedName name="separate01">dFEE!$G$81</definedName>
    <definedName name="separate02">dFEE!$G$82</definedName>
    <definedName name="separate03">dFEE!$G$83</definedName>
    <definedName name="separate04">dFEE!$G$84</definedName>
    <definedName name="separate05">dFEE!$G$85</definedName>
    <definedName name="separate06">dFEE!$G$86</definedName>
    <definedName name="separate27">dFEE!$G$87</definedName>
    <definedName name="set_output_finished">dCalculate!$H$13</definedName>
    <definedName name="set_output_finished__NEXT">dCalculate!$H$14</definedName>
    <definedName name="shinsei_ACCEPT_DATE">DATA!$H$1549</definedName>
    <definedName name="shinsei_ACCEPT_JUDGE_STRUCT_TAIOUDO">DATA_StructuralCalc!$H$9</definedName>
    <definedName name="shinsei_ACCEPT_NOTE">DATA!$H$1381</definedName>
    <definedName name="shinsei_ACCEPT_TOKKI_JIKOU">DATA!$H$1379</definedName>
    <definedName name="shinsei_ANZEN_SHINSA_FLAG">DATA_StructuralCalc!$H$10</definedName>
    <definedName name="shinsei_APPLICANT__address">DATA!$H$287</definedName>
    <definedName name="shinsei_APPLICANT_CORP">DATA!$H$282</definedName>
    <definedName name="shinsei_APPLICANT_NAME">DATA!$H$285</definedName>
    <definedName name="shinsei_APPLICANT_NAME_KANA">DATA!$H$283</definedName>
    <definedName name="shinsei_APPLICANT_POST">DATA!$H$284</definedName>
    <definedName name="shinsei_APPLICANT_TEL">DATA!$H$288</definedName>
    <definedName name="shinsei_APPLICANT_ZIP">DATA!$H$286</definedName>
    <definedName name="shinsei_applicant02__address">DATA!$H$295</definedName>
    <definedName name="shinsei_applicant02_JIMU_NAME">DATA!$H$291</definedName>
    <definedName name="shinsei_applicant02_NAME">DATA!$H$293</definedName>
    <definedName name="shinsei_applicant02_POST">DATA!$H$292</definedName>
    <definedName name="shinsei_applicant02_TEL">DATA!$H$296</definedName>
    <definedName name="shinsei_applicant02_ZIP">DATA!$H$294</definedName>
    <definedName name="shinsei_applicant03__address">DATA!$H$303</definedName>
    <definedName name="shinsei_applicant03_JIMU_NAME">DATA!$H$299</definedName>
    <definedName name="shinsei_applicant03_NAME">DATA!$H$301</definedName>
    <definedName name="shinsei_applicant03_POST">DATA!$H$300</definedName>
    <definedName name="shinsei_applicant03_TEL">DATA!$H$304</definedName>
    <definedName name="shinsei_applicant03_ZIP">DATA!$H$302</definedName>
    <definedName name="shinsei_applicant04__address">DATA!$H$311</definedName>
    <definedName name="shinsei_applicant04_JIMU_NAME">DATA!$H$307</definedName>
    <definedName name="shinsei_applicant04_NAME">DATA!$H$309</definedName>
    <definedName name="shinsei_applicant04_POST">DATA!$H$308</definedName>
    <definedName name="shinsei_applicant04_TEL">DATA!$H$312</definedName>
    <definedName name="shinsei_applicant04_ZIP">DATA!$H$310</definedName>
    <definedName name="shinsei_applicant05__address">DATA!$H$319</definedName>
    <definedName name="shinsei_applicant05_JIMU_NAME">DATA!$H$315</definedName>
    <definedName name="shinsei_applicant05_NAME">DATA!$H$317</definedName>
    <definedName name="shinsei_applicant05_POST">DATA!$H$316</definedName>
    <definedName name="shinsei_applicant05_TEL">DATA!$H$320</definedName>
    <definedName name="shinsei_applicant05_ZIP">DATA!$H$318</definedName>
    <definedName name="shinsei_applicant06__address">DATA!$H$327</definedName>
    <definedName name="shinsei_applicant06_JIMU_NAME">DATA!$H$323</definedName>
    <definedName name="shinsei_applicant06_NAME">DATA!$H$325</definedName>
    <definedName name="shinsei_applicant06_POST">DATA!$H$324</definedName>
    <definedName name="shinsei_applicant06_TEL">DATA!$H$328</definedName>
    <definedName name="shinsei_applicant06_ZIP">DATA!$H$326</definedName>
    <definedName name="shinsei_applicant07__address">DATA!$H$335</definedName>
    <definedName name="shinsei_applicant07_JIMU_NAME">DATA!$H$331</definedName>
    <definedName name="shinsei_applicant07_NAME">DATA!$H$333</definedName>
    <definedName name="shinsei_applicant07_POST">DATA!$H$332</definedName>
    <definedName name="shinsei_applicant07_TEL">DATA!$H$336</definedName>
    <definedName name="shinsei_applicant07_ZIP">DATA!$H$334</definedName>
    <definedName name="shinsei_BILL_NAME">DATA!$H$1271</definedName>
    <definedName name="shinsei_BIRUKAN_HEALTH_CENTER_NAME">DATA!$H$1365</definedName>
    <definedName name="shinsei_BIRUKAN_NOTIFY_DATE">DATA!$H$1364</definedName>
    <definedName name="shinsei_BIRUKAN_NOTIFY_SONOTA">DATA!$H$1366</definedName>
    <definedName name="shinsei_build_address">DATA!$H$1197</definedName>
    <definedName name="shinsei_build_BETU_KIKAN_FLAG">DATA!$H$221</definedName>
    <definedName name="shinsei_build_BILL_SHINSEI_COUNT">DATA!$H$1211</definedName>
    <definedName name="shinsei_build_BILL_SONOTA_COUNT">DATA!$H$1213</definedName>
    <definedName name="shinsei_build_BOUKA_BOUKA">DATA!$H$1229</definedName>
    <definedName name="shinsei_build_BOUKA_JYUN_BOUKA">DATA!$H$1230</definedName>
    <definedName name="shinsei_build_BOUKA_NASI">DATA!$H$1231</definedName>
    <definedName name="shinsei_build_DOURO_SIKITI_HASSO_DATE">DATA!$H$1376</definedName>
    <definedName name="shinsei_build_GENTI_CYOUSA_DATE">DATA!$H$212</definedName>
    <definedName name="shinsei_build_HIKIUKE_MIKOMI_DATE">DATA!$H$218</definedName>
    <definedName name="shinsei_build_ISYOU_SHINSA_COMMENT">DATA!$H$223</definedName>
    <definedName name="shinsei_build_ISYOU_SYUURYOU_DATE">DATA!$H$217</definedName>
    <definedName name="shinsei_build_JYUKYO__address">DATA!$H$1198</definedName>
    <definedName name="shinsei_build_KAISU_TIJYOU_SHINSEI">DATA!$H$1215</definedName>
    <definedName name="shinsei_build_KAISU_TIKA_SHINSEI__zero">DATA!$H$1217</definedName>
    <definedName name="shinsei_build_KARI_UKETUKE_KIBOU_DATE">DATA!$H$214</definedName>
    <definedName name="shinsei_build_KENPEI_RITU">DATA!$H$1209</definedName>
    <definedName name="shinsei_build_KENPEI_RITU_A">DATA!$H$1208</definedName>
    <definedName name="shinsei_build_kouji">DATA!$H$1447</definedName>
    <definedName name="shinsei_build_KOUJI_DAI_MOYOUGAE">DATA!$H$1241</definedName>
    <definedName name="shinsei_build_KOUJI_DAI_SYUUZEN">DATA!$H$1240</definedName>
    <definedName name="shinsei_build_KOUJI_ITEN">DATA!$H$1238</definedName>
    <definedName name="shinsei_build_KOUJI_KAITIKU">DATA!$H$1237</definedName>
    <definedName name="shinsei_build_KOUJI_SINTIKU">DATA!$H$1235</definedName>
    <definedName name="shinsei_build_KOUJI_YOUTOHENKOU">DATA!$H$1239</definedName>
    <definedName name="shinsei_build_KOUJI_ZOUTIKU">DATA!$H$1236</definedName>
    <definedName name="shinsei_build_kouzou">DATA!$H$1267</definedName>
    <definedName name="shinsei_build_KOUZOU_SHINSA_COMMENT">DATA!$H$224</definedName>
    <definedName name="shinsei_build_KOUZOU_SYUURYOU_DATE">DATA!$H$216</definedName>
    <definedName name="shinsei_build_KOUZOU1">DATA!$H$1268</definedName>
    <definedName name="shinsei_build_KOUZOU2">DATA!$H$1269</definedName>
    <definedName name="shinsei_BUILD_NAME">DATA!$H$1275</definedName>
    <definedName name="shinsei_BUILD_NAME_COMP">DATA!$H$1473</definedName>
    <definedName name="shinsei_build_NOBE_MENSEKI_BILL_SHINSEI">DATA!$H$1203</definedName>
    <definedName name="shinsei_build_NOBE_MENSEKI_BILL_SHINSEI_IGAI__zero">DATA!$H$1204</definedName>
    <definedName name="shinsei_build_NOBE_MENSEKI_BILL_SHINSEI_TOTAL">DATA!$H$1206</definedName>
    <definedName name="shinsei_build_p4_TAIKA_KENTIKU">DATA!$H$1309</definedName>
    <definedName name="shinsei_build_p4_TAKASA_KEN_MAX">DATA!$H$1311</definedName>
    <definedName name="shinsei_build_p4_TAKASA_MAX">DATA!$H$1312</definedName>
    <definedName name="shinsei_build_PAGE2_KENTIKUSI_BIKO">DATA!$H$1189</definedName>
    <definedName name="shinsei_build_PAGE3_BIKOU">DATA!$H$1301</definedName>
    <definedName name="shinsei_build_PAGE3_SONOTA">DATA!$H$1300</definedName>
    <definedName name="shinsei_build_SHIKITI_MENSEKI_1_TOTAL">DATA!$H$1200</definedName>
    <definedName name="shinsei_build_SONOTA_KUIKI">DATA!$H$1227</definedName>
    <definedName name="shinsei_build_STAT_HOU6_1">DATA!$H$1378</definedName>
    <definedName name="shinsei_build_STAT_KOUHOU">DATA!$H$1384</definedName>
    <definedName name="shinsei_build_STAT_SEPTICTANK_CAPACITY">DATA!$H$1354</definedName>
    <definedName name="shinsei_build_STAT_SEPTICTANK_SYORI">DATA!$H$1353</definedName>
    <definedName name="shinsei_build_TOKUREI_56_7">DATA!$H$1286</definedName>
    <definedName name="shinsei_build_TOKUREI_56_7_DOURO_KITA">DATA!$H$1290</definedName>
    <definedName name="shinsei_build_TOKUREI_56_7_DOURO_RINTI">DATA!$H$1289</definedName>
    <definedName name="shinsei_build_TOKUREI_56_7_DOURO_TAKASA">DATA!$H$1288</definedName>
    <definedName name="shinsei_build_YOUSEKI_RITU">DATA!$H$1210</definedName>
    <definedName name="shinsei_build_YOUSEKI_RITU_A">DATA!$H$1207</definedName>
    <definedName name="shinsei_build_YOUTO">DATA!$H$1222</definedName>
    <definedName name="shinsei_build_YOUTO_CODE">DATA!$H$1221</definedName>
    <definedName name="shinsei_build_YOUTO_PRINT">DATA!$H$1223</definedName>
    <definedName name="shinsei_build_YOUTO_TIIKI_A">DATA!$H$1226</definedName>
    <definedName name="shinsei_build_ZUMISYOU_KIBOU_DATE">DATA!$H$220</definedName>
    <definedName name="shinsei_BUILDSHINSEI_ISSUE_NO">DATA!$H$1443</definedName>
    <definedName name="shinsei_CHARGE_ID__BASE_DATE">DATA_fee_detail!$G$11</definedName>
    <definedName name="shinsei_CHARGE_ID__BASIC_CHARGE">DATA_fee_detail!$G$43</definedName>
    <definedName name="shinsei_CHARGE_ID__bill__date">DATA_fee_detail!$G$10</definedName>
    <definedName name="shinsei_CHARGE_ID__BILL_TYPE">DATA_fee_detail!$G$9</definedName>
    <definedName name="shinsei_CHARGE_ID__cust__address">DATA_fee_detail!$G$19</definedName>
    <definedName name="shinsei_CHARGE_ID__cust__caption">DATA_fee_detail!$G$20</definedName>
    <definedName name="shinsei_CHARGE_ID__cust__tel">DATA_fee_detail!$G$21</definedName>
    <definedName name="shinsei_CHARGE_ID__cust__zip">DATA_fee_detail!$G$18</definedName>
    <definedName name="shinsei_CHARGE_ID__DENPYOU_NO">DATA_fee_detail!$G$16</definedName>
    <definedName name="shinsei_CHARGE_ID__income01_INCOME_DATE">DATA_fee_detail!$G$114</definedName>
    <definedName name="shinsei_CHARGE_ID__income01_INCOME_MONEY">DATA_fee_detail!$G$117</definedName>
    <definedName name="shinsei_CHARGE_ID__income02_INCOME_DATE">DATA_fee_detail!$G$115</definedName>
    <definedName name="shinsei_CHARGE_ID__income02_INCOME_MONEY">DATA_fee_detail!$G$118</definedName>
    <definedName name="shinsei_CHARGE_ID__income03_INCOME_DATE">DATA_fee_detail!$G$116</definedName>
    <definedName name="shinsei_CHARGE_ID__income03_INCOME_MONEY">DATA_fee_detail!$G$119</definedName>
    <definedName name="shinsei_CHARGE_ID__meisai01_ITEM_NAME">DATA_fee_detail!$G$58</definedName>
    <definedName name="shinsei_CHARGE_ID__meisai01_SURYOU">DATA_fee_detail!$G$59</definedName>
    <definedName name="shinsei_CHARGE_ID__meisai01_SYOUKEI">DATA_fee_detail!$G$61</definedName>
    <definedName name="shinsei_CHARGE_ID__meisai01_TANKA">DATA_fee_detail!$G$60</definedName>
    <definedName name="shinsei_CHARGE_ID__meisai02_ITEM_NAME">DATA_fee_detail!$G$63</definedName>
    <definedName name="shinsei_CHARGE_ID__meisai02_SURYOU">DATA_fee_detail!$G$64</definedName>
    <definedName name="shinsei_CHARGE_ID__meisai02_SYOUKEI">DATA_fee_detail!$G$66</definedName>
    <definedName name="shinsei_CHARGE_ID__meisai02_TANKA">DATA_fee_detail!$G$65</definedName>
    <definedName name="shinsei_CHARGE_ID__meisai03_ITEM_NAME">DATA_fee_detail!$G$68</definedName>
    <definedName name="shinsei_CHARGE_ID__meisai03_SURYOU">DATA_fee_detail!$G$69</definedName>
    <definedName name="shinsei_CHARGE_ID__meisai03_SYOUKEI">DATA_fee_detail!$G$71</definedName>
    <definedName name="shinsei_CHARGE_ID__meisai03_TANKA">DATA_fee_detail!$G$70</definedName>
    <definedName name="shinsei_CHARGE_ID__meisai04_ITEM_NAME">DATA_fee_detail!$G$73</definedName>
    <definedName name="shinsei_CHARGE_ID__meisai04_SURYOU">DATA_fee_detail!$G$74</definedName>
    <definedName name="shinsei_CHARGE_ID__meisai04_SYOUKEI">DATA_fee_detail!$G$76</definedName>
    <definedName name="shinsei_CHARGE_ID__meisai04_TANKA">DATA_fee_detail!$G$75</definedName>
    <definedName name="shinsei_CHARGE_ID__meisai05_ITEM_NAME">DATA_fee_detail!$G$78</definedName>
    <definedName name="shinsei_CHARGE_ID__meisai05_SURYOU">DATA_fee_detail!$G$79</definedName>
    <definedName name="shinsei_CHARGE_ID__meisai05_SYOUKEI">DATA_fee_detail!$G$81</definedName>
    <definedName name="shinsei_CHARGE_ID__meisai05_TANKA">DATA_fee_detail!$G$80</definedName>
    <definedName name="shinsei_CHARGE_ID__meisai06_ITEM_NAME">DATA_fee_detail!$G$83</definedName>
    <definedName name="shinsei_CHARGE_ID__meisai06_SURYOU">DATA_fee_detail!$G$84</definedName>
    <definedName name="shinsei_CHARGE_ID__meisai06_SYOUKEI">DATA_fee_detail!$G$86</definedName>
    <definedName name="shinsei_CHARGE_ID__meisai06_TANKA">DATA_fee_detail!$G$85</definedName>
    <definedName name="shinsei_CHARGE_ID__meisai07_ITEM_NAME">DATA_fee_detail!$G$88</definedName>
    <definedName name="shinsei_CHARGE_ID__meisai07_SURYOU">DATA_fee_detail!$G$89</definedName>
    <definedName name="shinsei_CHARGE_ID__meisai07_SYOUKEI">DATA_fee_detail!$G$91</definedName>
    <definedName name="shinsei_CHARGE_ID__meisai07_TANKA">DATA_fee_detail!$G$90</definedName>
    <definedName name="shinsei_CHARGE_ID__meisai08_ITEM_NAME">DATA_fee_detail!$G$93</definedName>
    <definedName name="shinsei_CHARGE_ID__meisai08_SURYOU">DATA_fee_detail!$G$94</definedName>
    <definedName name="shinsei_CHARGE_ID__meisai08_SYOUKEI">DATA_fee_detail!$G$96</definedName>
    <definedName name="shinsei_CHARGE_ID__meisai08_TANKA">DATA_fee_detail!$G$95</definedName>
    <definedName name="shinsei_CHARGE_ID__meisai09_ITEM_NAME">DATA_fee_detail!$G$98</definedName>
    <definedName name="shinsei_CHARGE_ID__meisai09_SURYOU">DATA_fee_detail!$G$99</definedName>
    <definedName name="shinsei_CHARGE_ID__meisai09_SYOUKEI">DATA_fee_detail!$G$101</definedName>
    <definedName name="shinsei_CHARGE_ID__meisai09_TANKA">DATA_fee_detail!$G$100</definedName>
    <definedName name="shinsei_CHARGE_ID__meisai10_ITEM_NAME">DATA_fee_detail!$G$103</definedName>
    <definedName name="shinsei_CHARGE_ID__meisai10_SURYOU">DATA_fee_detail!$G$104</definedName>
    <definedName name="shinsei_CHARGE_ID__meisai10_SYOUKEI">DATA_fee_detail!$G$106</definedName>
    <definedName name="shinsei_CHARGE_ID__meisai10_TANKA">DATA_fee_detail!$G$105</definedName>
    <definedName name="shinsei_CHARGE_ID__meisai11_ITEM_NAME">DATA_fee_detail!$G$108</definedName>
    <definedName name="shinsei_CHARGE_ID__meisai11_SURYOU">DATA_fee_detail!$G$109</definedName>
    <definedName name="shinsei_CHARGE_ID__meisai11_SYOUKEI">DATA_fee_detail!$G$111</definedName>
    <definedName name="shinsei_CHARGE_ID__meisai11_TANKA">DATA_fee_detail!$G$110</definedName>
    <definedName name="shinsei_CHARGE_ID__NOTE">DATA_fee_detail!$G$22</definedName>
    <definedName name="shinsei_CHARGE_ID__PRICE__tekihan">DATA_fee_detail!$G$35</definedName>
    <definedName name="shinsei_CHARGE_ID__PRICE__tekihannozoku">DATA_fee_detail!$G$34</definedName>
    <definedName name="shinsei_CHARGE_ID__RECEIPT_DATE">DATA_fee_detail!$G$12</definedName>
    <definedName name="shinsei_CHARGE_ID__RECEIPT_PRICE">DATA_fee_detail!$G$24</definedName>
    <definedName name="shinsei_CHARGE_ID__RECEIPT_TO">DATA_fee_detail!$G$14</definedName>
    <definedName name="shinsei_CHARGE_ID__STR_CHARGE">DATA_fee_detail!$G$29</definedName>
    <definedName name="shinsei_CHARGE_ID__STR_CHARGE_WARIMASHI">DATA_fee_detail!$G$30</definedName>
    <definedName name="shinsei_CHARGE_ID__TIIKIWARIMASHI_CHARGE">DATA_fee_detail!$G$56</definedName>
    <definedName name="shinsei_CHARGE_ID__TIIKIWARIMASHI_SURYOU">DATA_fee_detail!$G$54</definedName>
    <definedName name="shinsei_CHARGE_ID__TIIKIWARIMASHI_TANKA">DATA_fee_detail!$G$55</definedName>
    <definedName name="shinsei_CHARGE_ID2__BASE_DATE">DATA_fee_detail!$G$127</definedName>
    <definedName name="shinsei_CHARGE_ID2__BASIC_CHARGE">DATA_fee_detail!$G$147</definedName>
    <definedName name="shinsei_CHARGE_ID2__bill__date">DATA_fee_detail!$G$129</definedName>
    <definedName name="shinsei_CHARGE_ID2__bill__no">DATA_fee_detail!$G$128</definedName>
    <definedName name="shinsei_CHARGE_ID2__CASH_FLAG">DATA_fee_detail!$G$125</definedName>
    <definedName name="shinsei_CHARGE_ID2__DENPYOU_NO">DATA_fee_detail!$G$141</definedName>
    <definedName name="shinsei_CHARGE_ID2__DENPYOU_PRICE">DATA_fee_detail!$G$140</definedName>
    <definedName name="shinsei_CHARGE_ID2__ENABLED">DATA_fee_detail!$G$126</definedName>
    <definedName name="shinsei_CHARGE_ID2__meisai01_ITEM_NAME">DATA_fee_detail!$G$150</definedName>
    <definedName name="shinsei_CHARGE_ID2__meisai01_SYOUKEI">DATA_fee_detail!$G$151</definedName>
    <definedName name="shinsei_CHARGE_ID2__meisai02_ITEM_NAME">DATA_fee_detail!$G$152</definedName>
    <definedName name="shinsei_CHARGE_ID2__meisai02_SYOUKEI">DATA_fee_detail!$G$153</definedName>
    <definedName name="shinsei_CHARGE_ID2__meisai03_ITEM_NAME">DATA_fee_detail!$G$154</definedName>
    <definedName name="shinsei_CHARGE_ID2__meisai03_SYOUKEI">DATA_fee_detail!$G$155</definedName>
    <definedName name="shinsei_CHARGE_ID2__meisai04_ITEM_NAME">DATA_fee_detail!$G$156</definedName>
    <definedName name="shinsei_CHARGE_ID2__meisai04_SYOUKEI">DATA_fee_detail!$G$157</definedName>
    <definedName name="shinsei_CHARGE_ID2__meisai05_ITEM_NAME">DATA_fee_detail!$G$158</definedName>
    <definedName name="shinsei_CHARGE_ID2__meisai05_SYOUKEI">DATA_fee_detail!$G$159</definedName>
    <definedName name="shinsei_CHARGE_ID2__meisai06_ITEM_NAME">DATA_fee_detail!$G$160</definedName>
    <definedName name="shinsei_CHARGE_ID2__meisai06_SYOUKEI">DATA_fee_detail!$G$161</definedName>
    <definedName name="shinsei_CHARGE_ID2__meisai07_ITEM_NAME">DATA_fee_detail!$G$162</definedName>
    <definedName name="shinsei_CHARGE_ID2__meisai07_SYOUKEI">DATA_fee_detail!$G$163</definedName>
    <definedName name="shinsei_CHARGE_ID2__meisai08_ITEM_NAME">DATA_fee_detail!$G$164</definedName>
    <definedName name="shinsei_CHARGE_ID2__meisai08_SYOUKEI">DATA_fee_detail!$G$165</definedName>
    <definedName name="shinsei_CHARGE_ID2__meisai09_ITEM_NAME">DATA_fee_detail!$G$166</definedName>
    <definedName name="shinsei_CHARGE_ID2__meisai09_SYOUKEI">DATA_fee_detail!$G$167</definedName>
    <definedName name="shinsei_CHARGE_ID2__meisai10_ITEM_NAME">DATA_fee_detail!$G$168</definedName>
    <definedName name="shinsei_CHARGE_ID2__meisai10_SYOUKEI">DATA_fee_detail!$G$169</definedName>
    <definedName name="shinsei_CHARGE_ID2__meisai11_ITEM_NAME">DATA_fee_detail!$G$170</definedName>
    <definedName name="shinsei_CHARGE_ID2__meisai11_SYOUKEI">DATA_fee_detail!$G$171</definedName>
    <definedName name="shinsei_CHARGE_ID2__NOTE">DATA_fee_detail!$G$143</definedName>
    <definedName name="shinsei_CHARGE_ID2__RECEIPT_AREA">DATA_fee_detail!$G$135</definedName>
    <definedName name="shinsei_CHARGE_ID2__RECEIPT_DATE">DATA_fee_detail!$G$139</definedName>
    <definedName name="shinsei_CHARGE_ID2__RECEIPT_PRICE">DATA_fee_detail!$G$137</definedName>
    <definedName name="shinsei_CHARGE_ID2__RECEIPT_TO">DATA_fee_detail!$G$138</definedName>
    <definedName name="shinsei_CHARGE_ID2__STR_CHARGE">DATA_fee_detail!$G$174</definedName>
    <definedName name="shinsei_CHARGE_ID2__TIIKIWARIMASHI_CHARGE">DATA_fee_detail!$G$149</definedName>
    <definedName name="shinsei_CHARGE_ID3__BASE_DATE">DATA_fee_detail!$G$182</definedName>
    <definedName name="shinsei_CHARGE_ID3__BASIC_CHARGE">DATA_fee_detail!$G$202</definedName>
    <definedName name="shinsei_CHARGE_ID3__bill__date">DATA_fee_detail!$G$184</definedName>
    <definedName name="shinsei_CHARGE_ID3__bill__no">DATA_fee_detail!$G$183</definedName>
    <definedName name="shinsei_CHARGE_ID3__CASH_FLAG">DATA_fee_detail!$G$180</definedName>
    <definedName name="shinsei_CHARGE_ID3__DENPYOU_NO">DATA_fee_detail!$G$196</definedName>
    <definedName name="shinsei_CHARGE_ID3__DENPYOU_PRICE">DATA_fee_detail!$G$195</definedName>
    <definedName name="shinsei_CHARGE_ID3__meisai01_ITEM_NAME">DATA_fee_detail!$G$205</definedName>
    <definedName name="shinsei_CHARGE_ID3__meisai01_SYOUKEI">DATA_fee_detail!$G$206</definedName>
    <definedName name="shinsei_CHARGE_ID3__meisai02_ITEM_NAME">DATA_fee_detail!$G$207</definedName>
    <definedName name="shinsei_CHARGE_ID3__meisai02_SYOUKEI">DATA_fee_detail!$G$208</definedName>
    <definedName name="shinsei_CHARGE_ID3__meisai03_ITEM_NAME">DATA_fee_detail!$G$209</definedName>
    <definedName name="shinsei_CHARGE_ID3__meisai03_SYOUKEI">DATA_fee_detail!$G$210</definedName>
    <definedName name="shinsei_CHARGE_ID3__meisai04_ITEM_NAME">DATA_fee_detail!$G$211</definedName>
    <definedName name="shinsei_CHARGE_ID3__meisai04_SYOUKEI">DATA_fee_detail!$G$212</definedName>
    <definedName name="shinsei_CHARGE_ID3__meisai05_ITEM_NAME">DATA_fee_detail!$G$213</definedName>
    <definedName name="shinsei_CHARGE_ID3__meisai05_SYOUKEI">DATA_fee_detail!$G$214</definedName>
    <definedName name="shinsei_CHARGE_ID3__meisai06_ITEM_NAME">DATA_fee_detail!$G$215</definedName>
    <definedName name="shinsei_CHARGE_ID3__meisai06_SYOUKEI">DATA_fee_detail!$G$216</definedName>
    <definedName name="shinsei_CHARGE_ID3__meisai07_ITEM_NAME">DATA_fee_detail!$G$217</definedName>
    <definedName name="shinsei_CHARGE_ID3__meisai07_SYOUKEI">DATA_fee_detail!$G$218</definedName>
    <definedName name="shinsei_CHARGE_ID3__meisai08_ITEM_NAME">DATA_fee_detail!$G$219</definedName>
    <definedName name="shinsei_CHARGE_ID3__meisai08_SYOUKEI">DATA_fee_detail!$G$220</definedName>
    <definedName name="shinsei_CHARGE_ID3__meisai09_ITEM_NAME">DATA_fee_detail!$G$221</definedName>
    <definedName name="shinsei_CHARGE_ID3__meisai09_SYOUKEI">DATA_fee_detail!$G$222</definedName>
    <definedName name="shinsei_CHARGE_ID3__meisai10_ITEM_NAME">DATA_fee_detail!$G$223</definedName>
    <definedName name="shinsei_CHARGE_ID3__meisai10_SYOUKEI">DATA_fee_detail!$G$224</definedName>
    <definedName name="shinsei_CHARGE_ID3__meisai11_ITEM_NAME">DATA_fee_detail!$G$225</definedName>
    <definedName name="shinsei_CHARGE_ID3__meisai11_SYOUKEI">DATA_fee_detail!$G$226</definedName>
    <definedName name="shinsei_CHARGE_ID3__NOTE">DATA_fee_detail!$G$198</definedName>
    <definedName name="shinsei_CHARGE_ID3__RECEIPT_AREA">DATA_fee_detail!$G$190</definedName>
    <definedName name="shinsei_CHARGE_ID3__RECEIPT_DATE">DATA_fee_detail!$G$194</definedName>
    <definedName name="shinsei_CHARGE_ID3__RECEIPT_PRICE">DATA_fee_detail!$G$192</definedName>
    <definedName name="shinsei_CHARGE_ID3__RECEIPT_TO">DATA_fee_detail!$G$193</definedName>
    <definedName name="shinsei_CHARGE_ID3__STR_CHARGE">DATA_fee_detail!$G$229</definedName>
    <definedName name="shinsei_CHARGE_ID3__TIIKIWARIMASHI_CHARGE">DATA_fee_detail!$G$204</definedName>
    <definedName name="shinsei_CHARGE_ID3__ZERO_FLAG">DATA_fee_detail!$G$191</definedName>
    <definedName name="shinsei_CITY_ID__city">DATA!$H$119</definedName>
    <definedName name="shinsei_CITY_ID__ken">DATA!$H$118</definedName>
    <definedName name="shinsei_CITY_ID__street">DATA!$H$121</definedName>
    <definedName name="shinsei_CITY_ID__town">DATA!$H$120</definedName>
    <definedName name="shinsei_DAIRI__address">DATA!$H$701</definedName>
    <definedName name="shinsei_DAIRI_FAX">DATA!$H$703</definedName>
    <definedName name="shinsei_DAIRI_JIMU_NAME">DATA!$H$697</definedName>
    <definedName name="shinsei_DAIRI_JIMU_NO">DATA!$H$696</definedName>
    <definedName name="shinsei_DAIRI_JIMU_SIKAKU">DATA!$H$694</definedName>
    <definedName name="shinsei_DAIRI_JIMU_TOUROKU_KIKAN">DATA!$H$695</definedName>
    <definedName name="shinsei_DAIRI_KENSETUSI_NO">DATA!$H$690</definedName>
    <definedName name="shinsei_DAIRI_NAME">DATA!$H$691</definedName>
    <definedName name="shinsei_DAIRI_POST_CODE">DATA!$H$700</definedName>
    <definedName name="shinsei_DAIRI_SIKAKU">DATA!$H$688</definedName>
    <definedName name="shinsei_DAIRI_TEL">DATA!$H$702</definedName>
    <definedName name="shinsei_DAIRI_TOUROKU_KIKAN">DATA!$H$689</definedName>
    <definedName name="shinsei_dairi02__address">DATA!$H$719</definedName>
    <definedName name="shinsei_dairi02_FAX">DATA!$H$721</definedName>
    <definedName name="shinsei_dairi02_JIMU_NAME">DATA!$H$717</definedName>
    <definedName name="shinsei_dairi02_JIMU_NO">DATA!$H$716</definedName>
    <definedName name="shinsei_dairi02_JIMU_SIKAKU">DATA!$H$714</definedName>
    <definedName name="shinsei_dairi02_JIMU_TOUROKU_KIKAN">DATA!$H$715</definedName>
    <definedName name="shinsei_dairi02_KENSETUSI_NO">DATA!$H$711</definedName>
    <definedName name="shinsei_dairi02_NAME">DATA!$H$712</definedName>
    <definedName name="shinsei_dairi02_POST_CODE">DATA!$H$718</definedName>
    <definedName name="shinsei_dairi02_SIKAKU">DATA!$H$709</definedName>
    <definedName name="shinsei_dairi02_TEL">DATA!$H$720</definedName>
    <definedName name="shinsei_dairi02_TOUROKU_KIKAN">DATA!$H$710</definedName>
    <definedName name="shinsei_dairi03__address">DATA!$H$735</definedName>
    <definedName name="shinsei_dairi03_FAX">DATA!$H$737</definedName>
    <definedName name="shinsei_dairi03_JIMU_NAME">DATA!$H$733</definedName>
    <definedName name="shinsei_dairi03_JIMU_NO">DATA!$H$732</definedName>
    <definedName name="shinsei_dairi03_JIMU_SIKAKU">DATA!$H$730</definedName>
    <definedName name="shinsei_dairi03_JIMU_TOUROKU_KIKAN">DATA!$H$731</definedName>
    <definedName name="shinsei_dairi03_KENSETUSI_NO">DATA!$H$727</definedName>
    <definedName name="shinsei_dairi03_NAME">DATA!$H$728</definedName>
    <definedName name="shinsei_dairi03_POST_CODE">DATA!$H$734</definedName>
    <definedName name="shinsei_dairi03_SIKAKU">DATA!$H$725</definedName>
    <definedName name="shinsei_dairi03_TEL">DATA!$H$736</definedName>
    <definedName name="shinsei_dairi03_TOUROKU_KIKAN">DATA!$H$726</definedName>
    <definedName name="shinsei_dairi04__address">DATA!$H$751</definedName>
    <definedName name="shinsei_dairi04_FAX">DATA!$H$753</definedName>
    <definedName name="shinsei_dairi04_JIMU_NAME">DATA!$H$749</definedName>
    <definedName name="shinsei_dairi04_JIMU_NO">DATA!$H$748</definedName>
    <definedName name="shinsei_dairi04_JIMU_SIKAKU">DATA!$H$746</definedName>
    <definedName name="shinsei_dairi04_JIMU_TOUROKU_KIKAN">DATA!$H$747</definedName>
    <definedName name="shinsei_dairi04_KENSETUSI_NO">DATA!$H$743</definedName>
    <definedName name="shinsei_dairi04_NAME">DATA!$H$744</definedName>
    <definedName name="shinsei_dairi04_POST_CODE">DATA!$H$750</definedName>
    <definedName name="shinsei_dairi04_SIKAKU">DATA!$H$741</definedName>
    <definedName name="shinsei_dairi04_TEL">DATA!$H$752</definedName>
    <definedName name="shinsei_dairi04_TOUROKU_KIKAN">DATA!$H$742</definedName>
    <definedName name="shinsei_dairi05__address">DATA!$H$767</definedName>
    <definedName name="shinsei_dairi05_FAX">DATA!$H$769</definedName>
    <definedName name="shinsei_dairi05_JIMU_NAME">DATA!$H$765</definedName>
    <definedName name="shinsei_dairi05_JIMU_NO">DATA!$H$764</definedName>
    <definedName name="shinsei_dairi05_JIMU_SIKAKU">DATA!$H$762</definedName>
    <definedName name="shinsei_dairi05_JIMU_TOUROKU_KIKAN">DATA!$H$763</definedName>
    <definedName name="shinsei_dairi05_KENSETUSI_NO">DATA!$H$759</definedName>
    <definedName name="shinsei_dairi05_NAME">DATA!$H$760</definedName>
    <definedName name="shinsei_dairi05_POST_CODE">DATA!$H$766</definedName>
    <definedName name="shinsei_dairi05_SIKAKU">DATA!$H$757</definedName>
    <definedName name="shinsei_dairi05_TEL">DATA!$H$768</definedName>
    <definedName name="shinsei_dairi05_TOUROKU_KIKAN">DATA!$H$758</definedName>
    <definedName name="shinsei_ev_EV_BILL_NAME">DATA!$H$1398</definedName>
    <definedName name="shinsei_ev_EV_BILL_YOUTO">DATA!$H$1399</definedName>
    <definedName name="shinsei_ev_EV_COUNT">DATA!$H$1408</definedName>
    <definedName name="shinsei_ev_EV_SEKISAI">DATA!$H$1402</definedName>
    <definedName name="shinsei_ev_EV_SONOTA">DATA!$H$1406</definedName>
    <definedName name="shinsei_ev_EV_SPEED">DATA!$H$1405</definedName>
    <definedName name="shinsei_ev_EV_SYUBETU">DATA!$H$1400</definedName>
    <definedName name="shinsei_ev_EV_TEIIN">DATA!$H$1403</definedName>
    <definedName name="shinsei_ev_EV_YOUTO">DATA!$H$1401</definedName>
    <definedName name="shinsei_ev_KOUSAKU_KOUJI_KAITIKU">DATA!$H$1245</definedName>
    <definedName name="shinsei_ev_KOUSAKU_KOUJI_SHINTIKU">DATA!$H$1243</definedName>
    <definedName name="shinsei_ev_KOUSAKU_KOUJI_SONOTA">DATA!$H$1246</definedName>
    <definedName name="shinsei_ev_KOUSAKU_KOUJI_ZOUTIKU">DATA!$H$1244</definedName>
    <definedName name="shinsei_ev_KOUSAKU_KOUZOU">DATA!$H$1427</definedName>
    <definedName name="shinsei_ev_KOUSAKU_SONOTA">DATA!$H$1428</definedName>
    <definedName name="shinsei_ev_KOUSAKU_SYURUI">DATA!$H$1420</definedName>
    <definedName name="shinsei_ev_KOUSAKU_SYURUI_CODE">DATA!$H$1419</definedName>
    <definedName name="shinsei_ev_KOUSAKU_TAKASA">DATA!$H$1421</definedName>
    <definedName name="shinsei_ev_KOUSAKU_TAKASA_BIKO">DATA!$H$1426</definedName>
    <definedName name="shinsei_ev_KOUSAKU_TAKASA_MAX">DATA!$H$1422</definedName>
    <definedName name="shinsei_ev_KOUSAKU882_YOUTO">DATA!$H$1430</definedName>
    <definedName name="shinsei_ev_SETUBI_GAIYOU">DATA!$H$1409</definedName>
    <definedName name="shinsei_ev_TIKUZOUMENSEKI_IGAI">DATA!$H$1433</definedName>
    <definedName name="shinsei_ev_TIKUZOUMENSEKI_SHINSEI">DATA!$H$1431</definedName>
    <definedName name="shinsei_ev_TIKUZOUMENSEKI_TOTAL">DATA!$H$1434</definedName>
    <definedName name="shinsei_EV_TYPE">DATA!$H$1407</definedName>
    <definedName name="shinsei_ev_WORKCOUNT_SHINSEI">DATA!$H$1417</definedName>
    <definedName name="shinsei_FD_FLAG">DATA_fee_detail!$G$41</definedName>
    <definedName name="shinsei_final_KAN_KANRYOU_YOTEI_DATE">DATA!$H$1280</definedName>
    <definedName name="shinsei_final_KOUJI_DAI_MOYOUGAE">DATA!$H$1263</definedName>
    <definedName name="shinsei_final_KOUJI_DAI_SYUUZEN">DATA!$H$1262</definedName>
    <definedName name="shinsei_final_KOUJI_ITEN">DATA!$H$1261</definedName>
    <definedName name="shinsei_final_KOUJI_KAITIKU">DATA!$H$1260</definedName>
    <definedName name="shinsei_final_KOUJI_SETUBISETTI">DATA!$H$1264</definedName>
    <definedName name="shinsei_final_KOUJI_SINTIKU">DATA!$H$1258</definedName>
    <definedName name="shinsei_final_KOUJI_ZOUTIKU">DATA!$H$1259</definedName>
    <definedName name="shinsei_FIRE_AGREE_DATE">DATA!$H$1328</definedName>
    <definedName name="shinsei_FIRE_AGREE_RECEIVE_DATE">DATA!$H$1335</definedName>
    <definedName name="shinsei_FIRE_NOTIFY_DATE">DATA!$H$1331</definedName>
    <definedName name="shinsei_FIRE_NOTIFY_SUBMIT_KIND">DATA!$H$1322</definedName>
    <definedName name="shinsei_FIRE_STATION_DEPART_NAME">DATA!$H$1321</definedName>
    <definedName name="shinsei_FIRE_STATION_NAME">DATA!$H$1320</definedName>
    <definedName name="shinsei_FIRE_SUBMIT_DATE">DATA!$H$1324</definedName>
    <definedName name="shinsei_FLAT35_FLAG">DATA!$H$191</definedName>
    <definedName name="shinsei_FLAT35_FLAG__umu">DATA!$H$192</definedName>
    <definedName name="shinsei_GENKAI_TAIRYOKU_FLAG">DATA_StructuralCalc!$H$16</definedName>
    <definedName name="shinsei_HEALTH_CENTER_DEPART_NAME">DATA!$H$1351</definedName>
    <definedName name="shinsei_HEALTH_CENTER_NAME">DATA!$H$1350</definedName>
    <definedName name="shinsei_HEALTH_NOTIFY_DATE">DATA!$H$1357</definedName>
    <definedName name="shinsei_HEN_SUMI_KOUFU_DATE">DATA!$H$1643</definedName>
    <definedName name="shinsei_HEN_SUMI_KOUFU_NAME">DATA!$H$1649</definedName>
    <definedName name="shinsei_HEN_SUMI_NO">DATA!$H$1645</definedName>
    <definedName name="shinsei_HIKIUKE_DATE">DATA!$H$1551</definedName>
    <definedName name="shinsei_HIKIUKE_KAKU_KOUFU_YOTEI_DATE">DATA!$H$230</definedName>
    <definedName name="shinsei_HIKIUKE_TANTO">DATA!$H$47</definedName>
    <definedName name="shinsei_HIKIUKE_TUUTI_DATE">DATA!$H$1557</definedName>
    <definedName name="shinsei_HIKIUKE_TUUTI_SAKI">DATA!$H$178</definedName>
    <definedName name="shinsei_hosei1_ANSWER_DATE">DATA!$H$2053</definedName>
    <definedName name="shinsei_hosei1_BIKO">DATA!$H$2069</definedName>
    <definedName name="shinsei_hosei1_KENSAIN_USER_ID">DATA!$H$2051</definedName>
    <definedName name="shinsei_hosei1_LIMIT_DATE">DATA!$H$2052</definedName>
    <definedName name="shinsei_hosei1_NOTIFY_DATE">DATA!$H$2049</definedName>
    <definedName name="shinsei_hosei1_NOTIFY_DOCNO">DATA!$H$2050</definedName>
    <definedName name="shinsei_hosei1_NOTIFY_NOTE">DATA!$H$2054</definedName>
    <definedName name="shinsei_hosei1_NOTIFY_SOUFU_SAKI">DATA!$H$2055</definedName>
    <definedName name="shinsei_hosei1_STRUCTNOTIFT_BIKO">DATA!$H$2061</definedName>
    <definedName name="shinsei_hosei1_STRUCTNOTIFT_DOCNO">DATA!$H$2063</definedName>
    <definedName name="shinsei_hosei1_STRUCTNOTIFT_HENKOU_LIMIT_DATE">DATA!$H$2068</definedName>
    <definedName name="shinsei_hosei1_STRUCTNOTIFT_HENKOU_NOTIFT_DATE">DATA!$H$2066</definedName>
    <definedName name="shinsei_hosei1_STRUCTNOTIFT_NOTIFT_DATE">DATA!$H$2058</definedName>
    <definedName name="shinsei_hosei1_STRUCTNOTIFT_NOTIFT_NO">DATA!$H$2059</definedName>
    <definedName name="shinsei_hosei1_STRUCTNOTIFT_TOUTYAKU_MEMO">DATA!$H$2060</definedName>
    <definedName name="shinsei_hosei1_STRUCTNOTIFT_TUIKA_DATE">DATA!$H$2062</definedName>
    <definedName name="shinsei_hosei1_STRUCTNOTIFT_USE">DATA!$H$2057</definedName>
    <definedName name="shinsei_hosei1_STRUCTTUIKA_DOCNO">DATA!$H$2067</definedName>
    <definedName name="shinsei_hosei1_STRUCTTUIKA_NOTIFT_DATE">DATA!$H$2065</definedName>
    <definedName name="shinsei_hosei10_ANSWER_DATE">DATA!$H$2269</definedName>
    <definedName name="shinsei_hosei10_BIKO">DATA!$H$2285</definedName>
    <definedName name="shinsei_hosei10_KENSAIN_USER_ID">DATA!$H$2267</definedName>
    <definedName name="shinsei_hosei10_LIMIT_DATE">DATA!$H$2268</definedName>
    <definedName name="shinsei_hosei10_NOTIFY_DATE">DATA!$H$2265</definedName>
    <definedName name="shinsei_hosei10_NOTIFY_DOCNO">DATA!$H$2266</definedName>
    <definedName name="shinsei_hosei10_NOTIFY_NOTE">DATA!$H$2270</definedName>
    <definedName name="shinsei_hosei10_NOTIFY_SOUFU_SAKI">DATA!$H$2271</definedName>
    <definedName name="shinsei_hosei10_STRUCTNOTIFT_BIKO">DATA!$H$2277</definedName>
    <definedName name="shinsei_hosei10_STRUCTNOTIFT_DOCNO">DATA!$H$2279</definedName>
    <definedName name="shinsei_hosei10_STRUCTNOTIFT_HENKOU_LIMIT_DATE">DATA!$H$2284</definedName>
    <definedName name="shinsei_hosei10_STRUCTNOTIFT_HENKOU_NOTIFT_DATE">DATA!$H$2282</definedName>
    <definedName name="shinsei_hosei10_STRUCTNOTIFT_NOTIFT_DATE">DATA!$H$2274</definedName>
    <definedName name="shinsei_hosei10_STRUCTNOTIFT_NOTIFT_NO">DATA!$H$2275</definedName>
    <definedName name="shinsei_hosei10_STRUCTNOTIFT_TOUTYAKU_MEMO">DATA!$H$2276</definedName>
    <definedName name="shinsei_hosei10_STRUCTNOTIFT_TUIKA_DATE">DATA!$H$2278</definedName>
    <definedName name="shinsei_hosei10_STRUCTNOTIFT_USE">DATA!$H$2273</definedName>
    <definedName name="shinsei_hosei10_STRUCTTUIKA_DOCNO">DATA!$H$2283</definedName>
    <definedName name="shinsei_hosei10_STRUCTTUIKA_NOTIFT_DATE">DATA!$H$2281</definedName>
    <definedName name="shinsei_hosei2_ANSWER_DATE">DATA!$H$2077</definedName>
    <definedName name="shinsei_hosei2_BIKO">DATA!$H$2093</definedName>
    <definedName name="shinsei_hosei2_KENSAIN_USER_ID">DATA!$H$2075</definedName>
    <definedName name="shinsei_hosei2_LIMIT_DATE">DATA!$H$2076</definedName>
    <definedName name="shinsei_hosei2_NOTIFY_DATE">DATA!$H$2073</definedName>
    <definedName name="shinsei_hosei2_NOTIFY_DOCNO">DATA!$H$2074</definedName>
    <definedName name="shinsei_hosei2_NOTIFY_NOTE">DATA!$H$2078</definedName>
    <definedName name="shinsei_hosei2_NOTIFY_SOUFU_SAKI">DATA!$H$2079</definedName>
    <definedName name="shinsei_hosei2_STRUCTNOTIFT_BIKO">DATA!$H$2085</definedName>
    <definedName name="shinsei_hosei2_STRUCTNOTIFT_DOCNO">DATA!$H$2087</definedName>
    <definedName name="shinsei_hosei2_STRUCTNOTIFT_HENKOU_LIMIT_DATE">DATA!$H$2092</definedName>
    <definedName name="shinsei_hosei2_STRUCTNOTIFT_HENKOU_NOTIFT_DATE">DATA!$H$2090</definedName>
    <definedName name="shinsei_hosei2_STRUCTNOTIFT_NOTIFT_DATE">DATA!$H$2082</definedName>
    <definedName name="shinsei_hosei2_STRUCTNOTIFT_NOTIFT_NO">DATA!$H$2083</definedName>
    <definedName name="shinsei_hosei2_STRUCTNOTIFT_TOUTYAKU_MEMO">DATA!$H$2084</definedName>
    <definedName name="shinsei_hosei2_STRUCTNOTIFT_TUIKA_DATE">DATA!$H$2086</definedName>
    <definedName name="shinsei_hosei2_STRUCTNOTIFT_USE">DATA!$H$2081</definedName>
    <definedName name="shinsei_hosei2_STRUCTTUIKA_DOCNO">DATA!$H$2091</definedName>
    <definedName name="shinsei_hosei2_STRUCTTUIKA_NOTIFT_DATE">DATA!$H$2089</definedName>
    <definedName name="shinsei_hosei3_ANSWER_DATE">DATA!$H$2101</definedName>
    <definedName name="shinsei_hosei3_BIKO">DATA!$H$2117</definedName>
    <definedName name="shinsei_hosei3_KENSAIN_USER_ID">DATA!$H$2099</definedName>
    <definedName name="shinsei_hosei3_LIMIT_DATE">DATA!$H$2100</definedName>
    <definedName name="shinsei_hosei3_NOTIFY_DATE">DATA!$H$2097</definedName>
    <definedName name="shinsei_hosei3_NOTIFY_DOCNO">DATA!$H$2098</definedName>
    <definedName name="shinsei_hosei3_NOTIFY_NOTE">DATA!$H$2102</definedName>
    <definedName name="shinsei_hosei3_NOTIFY_SOUFU_SAKI">DATA!$H$2103</definedName>
    <definedName name="shinsei_hosei3_STRUCTNOTIFT_BIKO">DATA!$H$2109</definedName>
    <definedName name="shinsei_hosei3_STRUCTNOTIFT_DOCNO">DATA!$H$2111</definedName>
    <definedName name="shinsei_hosei3_STRUCTNOTIFT_HENKOU_LIMIT_DATE">DATA!$H$2116</definedName>
    <definedName name="shinsei_hosei3_STRUCTNOTIFT_HENKOU_NOTIFT_DATE">DATA!$H$2114</definedName>
    <definedName name="shinsei_hosei3_STRUCTNOTIFT_NOTIFT_DATE">DATA!$H$2106</definedName>
    <definedName name="shinsei_hosei3_STRUCTNOTIFT_NOTIFT_NO">DATA!$H$2107</definedName>
    <definedName name="shinsei_hosei3_STRUCTNOTIFT_TOUTYAKU_MEMO">DATA!$H$2108</definedName>
    <definedName name="shinsei_hosei3_STRUCTNOTIFT_TUIKA_DATE">DATA!$H$2110</definedName>
    <definedName name="shinsei_hosei3_STRUCTNOTIFT_USE">DATA!$H$2105</definedName>
    <definedName name="shinsei_hosei3_STRUCTTUIKA_DOCNO">DATA!$H$2115</definedName>
    <definedName name="shinsei_hosei3_STRUCTTUIKA_NOTIFT_DATE">DATA!$H$2113</definedName>
    <definedName name="shinsei_hosei4_ANSWER_DATE">DATA!$H$2125</definedName>
    <definedName name="shinsei_hosei4_BIKO">DATA!$H$2141</definedName>
    <definedName name="shinsei_hosei4_KENSAIN_USER_ID">DATA!$H$2123</definedName>
    <definedName name="shinsei_hosei4_LIMIT_DATE">DATA!$H$2124</definedName>
    <definedName name="shinsei_hosei4_NOTIFY_DATE">DATA!$H$2121</definedName>
    <definedName name="shinsei_hosei4_NOTIFY_DOCNO">DATA!$H$2122</definedName>
    <definedName name="shinsei_hosei4_NOTIFY_NOTE">DATA!$H$2126</definedName>
    <definedName name="shinsei_hosei4_NOTIFY_SOUFU_SAKI">DATA!$H$2127</definedName>
    <definedName name="shinsei_hosei4_STRUCTNOTIFT_BIKO">DATA!$H$2133</definedName>
    <definedName name="shinsei_hosei4_STRUCTNOTIFT_DOCNO">DATA!$H$2135</definedName>
    <definedName name="shinsei_hosei4_STRUCTNOTIFT_HENKOU_LIMIT_DATE">DATA!$H$2140</definedName>
    <definedName name="shinsei_hosei4_STRUCTNOTIFT_HENKOU_NOTIFT_DATE">DATA!$H$2138</definedName>
    <definedName name="shinsei_hosei4_STRUCTNOTIFT_NOTIFT_DATE">DATA!$H$2130</definedName>
    <definedName name="shinsei_hosei4_STRUCTNOTIFT_NOTIFT_NO">DATA!$H$2131</definedName>
    <definedName name="shinsei_hosei4_STRUCTNOTIFT_TOUTYAKU_MEMO">DATA!$H$2132</definedName>
    <definedName name="shinsei_hosei4_STRUCTNOTIFT_TUIKA_DATE">DATA!$H$2134</definedName>
    <definedName name="shinsei_hosei4_STRUCTNOTIFT_USE">DATA!$H$2129</definedName>
    <definedName name="shinsei_hosei4_STRUCTTUIKA_DOCNO">DATA!$H$2139</definedName>
    <definedName name="shinsei_hosei4_STRUCTTUIKA_NOTIFT_DATE">DATA!$H$2137</definedName>
    <definedName name="shinsei_hosei5_ANSWER_DATE">DATA!$H$2149</definedName>
    <definedName name="shinsei_hosei5_BIKO">DATA!$H$2165</definedName>
    <definedName name="shinsei_hosei5_KENSAIN_USER_ID">DATA!$H$2147</definedName>
    <definedName name="shinsei_hosei5_LIMIT_DATE">DATA!$H$2148</definedName>
    <definedName name="shinsei_hosei5_NOTIFY_DATE">DATA!$H$2145</definedName>
    <definedName name="shinsei_hosei5_NOTIFY_DOCNO">DATA!$H$2146</definedName>
    <definedName name="shinsei_hosei5_NOTIFY_NOTE">DATA!$H$2150</definedName>
    <definedName name="shinsei_hosei5_NOTIFY_SOUFU_SAKI">DATA!$H$2151</definedName>
    <definedName name="shinsei_hosei5_STRUCTNOTIFT_BIKO">DATA!$H$2157</definedName>
    <definedName name="shinsei_hosei5_STRUCTNOTIFT_DOCNO">DATA!$H$2159</definedName>
    <definedName name="shinsei_hosei5_STRUCTNOTIFT_HENKOU_LIMIT_DATE">DATA!$H$2164</definedName>
    <definedName name="shinsei_hosei5_STRUCTNOTIFT_HENKOU_NOTIFT_DATE">DATA!$H$2162</definedName>
    <definedName name="shinsei_hosei5_STRUCTNOTIFT_NOTIFT_DATE">DATA!$H$2154</definedName>
    <definedName name="shinsei_hosei5_STRUCTNOTIFT_NOTIFT_NO">DATA!$H$2155</definedName>
    <definedName name="shinsei_hosei5_STRUCTNOTIFT_TOUTYAKU_MEMO">DATA!$H$2156</definedName>
    <definedName name="shinsei_hosei5_STRUCTNOTIFT_TUIKA_DATE">DATA!$H$2158</definedName>
    <definedName name="shinsei_hosei5_STRUCTNOTIFT_USE">DATA!$H$2153</definedName>
    <definedName name="shinsei_hosei5_STRUCTTUIKA_DOCNO">DATA!$H$2163</definedName>
    <definedName name="shinsei_hosei5_STRUCTTUIKA_NOTIFT_DATE">DATA!$H$2161</definedName>
    <definedName name="shinsei_hosei6_ANSWER_DATE">DATA!$H$2173</definedName>
    <definedName name="shinsei_hosei6_BIKO">DATA!$H$2189</definedName>
    <definedName name="shinsei_hosei6_KENSAIN_USER_ID">DATA!$H$2171</definedName>
    <definedName name="shinsei_hosei6_LIMIT_DATE">DATA!$H$2172</definedName>
    <definedName name="shinsei_hosei6_NOTIFY_DATE">DATA!$H$2169</definedName>
    <definedName name="shinsei_hosei6_NOTIFY_DOCNO">DATA!$H$2170</definedName>
    <definedName name="shinsei_hosei6_NOTIFY_NOTE">DATA!$H$2174</definedName>
    <definedName name="shinsei_hosei6_NOTIFY_SOUFU_SAKI">DATA!$H$2175</definedName>
    <definedName name="shinsei_hosei6_STRUCTNOTIFT_BIKO">DATA!$H$2181</definedName>
    <definedName name="shinsei_hosei6_STRUCTNOTIFT_DOCNO">DATA!$H$2183</definedName>
    <definedName name="shinsei_hosei6_STRUCTNOTIFT_HENKOU_LIMIT_DATE">DATA!$H$2188</definedName>
    <definedName name="shinsei_hosei6_STRUCTNOTIFT_HENKOU_NOTIFT_DATE">DATA!$H$2186</definedName>
    <definedName name="shinsei_hosei6_STRUCTNOTIFT_NOTIFT_DATE">DATA!$H$2178</definedName>
    <definedName name="shinsei_hosei6_STRUCTNOTIFT_NOTIFT_NO">DATA!$H$2179</definedName>
    <definedName name="shinsei_hosei6_STRUCTNOTIFT_TOUTYAKU_MEMO">DATA!$H$2180</definedName>
    <definedName name="shinsei_hosei6_STRUCTNOTIFT_TUIKA_DATE">DATA!$H$2182</definedName>
    <definedName name="shinsei_hosei6_STRUCTNOTIFT_USE">DATA!$H$2177</definedName>
    <definedName name="shinsei_hosei6_STRUCTTUIKA_DOCNO">DATA!$H$2187</definedName>
    <definedName name="shinsei_hosei6_STRUCTTUIKA_NOTIFT_DATE">DATA!$H$2185</definedName>
    <definedName name="shinsei_hosei7_ANSWER_DATE">DATA!$H$2197</definedName>
    <definedName name="shinsei_hosei7_BIKO">DATA!$H$2213</definedName>
    <definedName name="shinsei_hosei7_KENSAIN_USER_ID">DATA!$H$2195</definedName>
    <definedName name="shinsei_hosei7_LIMIT_DATE">DATA!$H$2196</definedName>
    <definedName name="shinsei_hosei7_NOTIFY_DATE">DATA!$H$2193</definedName>
    <definedName name="shinsei_hosei7_NOTIFY_DOCNO">DATA!$H$2194</definedName>
    <definedName name="shinsei_hosei7_NOTIFY_NOTE">DATA!$H$2198</definedName>
    <definedName name="shinsei_hosei7_NOTIFY_SOUFU_SAKI">DATA!$H$2199</definedName>
    <definedName name="shinsei_hosei7_STRUCTNOTIFT_BIKO">DATA!$H$2205</definedName>
    <definedName name="shinsei_hosei7_STRUCTNOTIFT_DOCNO">DATA!$H$2207</definedName>
    <definedName name="shinsei_hosei7_STRUCTNOTIFT_HENKOU_LIMIT_DATE">DATA!$H$2212</definedName>
    <definedName name="shinsei_hosei7_STRUCTNOTIFT_HENKOU_NOTIFT_DATE">DATA!$H$2210</definedName>
    <definedName name="shinsei_hosei7_STRUCTNOTIFT_NOTIFT_DATE">DATA!$H$2202</definedName>
    <definedName name="shinsei_hosei7_STRUCTNOTIFT_NOTIFT_NO">DATA!$H$2203</definedName>
    <definedName name="shinsei_hosei7_STRUCTNOTIFT_TOUTYAKU_MEMO">DATA!$H$2204</definedName>
    <definedName name="shinsei_hosei7_STRUCTNOTIFT_TUIKA_DATE">DATA!$H$2206</definedName>
    <definedName name="shinsei_hosei7_STRUCTNOTIFT_USE">DATA!$H$2201</definedName>
    <definedName name="shinsei_hosei7_STRUCTTUIKA_DOCNO">DATA!$H$2211</definedName>
    <definedName name="shinsei_hosei7_STRUCTTUIKA_NOTIFT_DATE">DATA!$H$2209</definedName>
    <definedName name="shinsei_hosei8_ANSWER_DATE">DATA!$H$2221</definedName>
    <definedName name="shinsei_hosei8_BIKO">DATA!$H$2237</definedName>
    <definedName name="shinsei_hosei8_KENSAIN_USER_ID">DATA!$H$2219</definedName>
    <definedName name="shinsei_hosei8_LIMIT_DATE">DATA!$H$2220</definedName>
    <definedName name="shinsei_hosei8_NOTIFY_DATE">DATA!$H$2217</definedName>
    <definedName name="shinsei_hosei8_NOTIFY_DOCNO">DATA!$H$2218</definedName>
    <definedName name="shinsei_hosei8_NOTIFY_NOTE">DATA!$H$2222</definedName>
    <definedName name="shinsei_hosei8_NOTIFY_SOUFU_SAKI">DATA!$H$2223</definedName>
    <definedName name="shinsei_hosei8_STRUCTNOTIFT_BIKO">DATA!$H$2229</definedName>
    <definedName name="shinsei_hosei8_STRUCTNOTIFT_DOCNO">DATA!$H$2231</definedName>
    <definedName name="shinsei_hosei8_STRUCTNOTIFT_HENKOU_LIMIT_DATE">DATA!$H$2236</definedName>
    <definedName name="shinsei_hosei8_STRUCTNOTIFT_HENKOU_NOTIFT_DATE">DATA!$H$2234</definedName>
    <definedName name="shinsei_hosei8_STRUCTNOTIFT_NOTIFT_DATE">DATA!$H$2226</definedName>
    <definedName name="shinsei_hosei8_STRUCTNOTIFT_NOTIFT_NO">DATA!$H$2227</definedName>
    <definedName name="shinsei_hosei8_STRUCTNOTIFT_TOUTYAKU_MEMO">DATA!$H$2228</definedName>
    <definedName name="shinsei_hosei8_STRUCTNOTIFT_TUIKA_DATE">DATA!$H$2230</definedName>
    <definedName name="shinsei_hosei8_STRUCTNOTIFT_USE">DATA!$H$2225</definedName>
    <definedName name="shinsei_hosei8_STRUCTTUIKA_DOCNO">DATA!$H$2235</definedName>
    <definedName name="shinsei_hosei8_STRUCTTUIKA_NOTIFT_DATE">DATA!$H$2233</definedName>
    <definedName name="shinsei_hosei9_ANSWER_DATE">DATA!$H$2245</definedName>
    <definedName name="shinsei_hosei9_BIKO">DATA!$H$2261</definedName>
    <definedName name="shinsei_hosei9_KENSAIN_USER_ID">DATA!$H$2243</definedName>
    <definedName name="shinsei_hosei9_LIMIT_DATE">DATA!$H$2244</definedName>
    <definedName name="shinsei_hosei9_NOTIFY_DATE">DATA!$H$2241</definedName>
    <definedName name="shinsei_hosei9_NOTIFY_DOCNO">DATA!$H$2242</definedName>
    <definedName name="shinsei_hosei9_NOTIFY_NOTE">DATA!$H$2246</definedName>
    <definedName name="shinsei_hosei9_NOTIFY_SOUFU_SAKI">DATA!$H$2247</definedName>
    <definedName name="shinsei_hosei9_STRUCTNOTIFT_BIKO">DATA!$H$2253</definedName>
    <definedName name="shinsei_hosei9_STRUCTNOTIFT_DOCNO">DATA!$H$2255</definedName>
    <definedName name="shinsei_hosei9_STRUCTNOTIFT_HENKOU_LIMIT_DATE">DATA!$H$2260</definedName>
    <definedName name="shinsei_hosei9_STRUCTNOTIFT_HENKOU_NOTIFT_DATE">DATA!$H$2258</definedName>
    <definedName name="shinsei_hosei9_STRUCTNOTIFT_NOTIFT_DATE">DATA!$H$2250</definedName>
    <definedName name="shinsei_hosei9_STRUCTNOTIFT_NOTIFT_NO">DATA!$H$2251</definedName>
    <definedName name="shinsei_hosei9_STRUCTNOTIFT_TOUTYAKU_MEMO">DATA!$H$2252</definedName>
    <definedName name="shinsei_hosei9_STRUCTNOTIFT_TUIKA_DATE">DATA!$H$2254</definedName>
    <definedName name="shinsei_hosei9_STRUCTNOTIFT_USE">DATA!$H$2249</definedName>
    <definedName name="shinsei_hosei9_STRUCTTUIKA_DOCNO">DATA!$H$2259</definedName>
    <definedName name="shinsei_hosei9_STRUCTTUIKA_NOTIFT_DATE">DATA!$H$2257</definedName>
    <definedName name="shinsei_HOUKOKU_DATE">DATA!$H$1603</definedName>
    <definedName name="shinsei_HYOUKA_FLAG">DATA!$H$195</definedName>
    <definedName name="shinsei_HYOUKA_FLAG__umu">DATA!$H$196</definedName>
    <definedName name="shinsei_IMPOSS_NOTIFY_BIKO">DATA!$H$1876</definedName>
    <definedName name="shinsei_IMPOSS_NOTIFY_CAUSE">DATA!$H$1875</definedName>
    <definedName name="shinsei_IMPOSS_NOTIFY_DATE">DATA!$H$1872</definedName>
    <definedName name="shinsei_IMPOSS_NOTIFY_LIMIT_DATE">DATA!$H$1874</definedName>
    <definedName name="shinsei_IMPOSS_NOTIFY_USER_ID">DATA!$H$1873</definedName>
    <definedName name="shinsei_IMPOSS_REPORT_DATE">DATA!$H$1879</definedName>
    <definedName name="shinsei_IMPOSS1_NOTIFY_ID__STRUCTNOTIFT_NOTIFT_DATE">DATA!$H$1882</definedName>
    <definedName name="shinsei_IMPOSS1_NOTIFY_ID__STRUCTNOTIFT_NOTIFT_NO">DATA!$H$1883</definedName>
    <definedName name="shinsei_IMPOSS1_NOTIFY_ID__STRUCTNOTIFT_TUIKA_DATE">DATA!$H$1884</definedName>
    <definedName name="shinsei_IMPOSS1_NOTIFY_ID__STRUCTTUIKA_NOTIFT_DATE">DATA!$H$1885</definedName>
    <definedName name="shinsei_IMPOSS2_NOTIFY_ID__KENSAIN_USER_ID">DATA!$H$1890</definedName>
    <definedName name="shinsei_IMPOSS2_NOTIFY_ID__LIMIT_DATE">DATA!$H$1891</definedName>
    <definedName name="shinsei_IMPOSS2_NOTIFY_ID__NOTIFY_CAUSE">DATA!$H$1892</definedName>
    <definedName name="shinsei_IMPOSS2_NOTIFY_ID__NOTIFY_DATE">DATA!$H$1889</definedName>
    <definedName name="shinsei_IMPOSS2_NOTIFY_ID__NOTIFY_NOTE">DATA!$H$1893</definedName>
    <definedName name="shinsei_IMPOSS2_NOTIFY_ID__REPORT_DATE">DATA!$H$1896</definedName>
    <definedName name="shinsei_IMPOSS2_NOTIFY_ID__STRUCTNOTIFT_NOTIFT_DATE">DATA!$H$1899</definedName>
    <definedName name="shinsei_IMPOSS2_NOTIFY_ID__STRUCTNOTIFT_NOTIFT_NO">DATA!$H$1900</definedName>
    <definedName name="shinsei_IMPOSS2_NOTIFY_ID__STRUCTNOTIFT_TUIKA_DATE">DATA!$H$1901</definedName>
    <definedName name="shinsei_IMPOSS2_NOTIFY_ID__STRUCTTUIKA_NOTIFT_DATE">DATA!$H$1902</definedName>
    <definedName name="shinsei_IMPOSS3_NOTIFY_ID__KENSAIN_USER_ID">DATA!$H$1907</definedName>
    <definedName name="shinsei_IMPOSS3_NOTIFY_ID__LIMIT_DATE">DATA!$H$1908</definedName>
    <definedName name="shinsei_IMPOSS3_NOTIFY_ID__NOTIFY_CAUSE">DATA!$H$1909</definedName>
    <definedName name="shinsei_IMPOSS3_NOTIFY_ID__NOTIFY_DATE">DATA!$H$1906</definedName>
    <definedName name="shinsei_IMPOSS3_NOTIFY_ID__NOTIFY_NOTE">DATA!$H$1910</definedName>
    <definedName name="shinsei_IMPOSS3_NOTIFY_ID__REPORT_DATE">DATA!$H$1913</definedName>
    <definedName name="shinsei_IMPOSS3_NOTIFY_ID__STRUCTNOTIFT_NOTIFT_DATE">DATA!$H$1916</definedName>
    <definedName name="shinsei_IMPOSS3_NOTIFY_ID__STRUCTNOTIFT_NOTIFT_NO">DATA!$H$1917</definedName>
    <definedName name="shinsei_IMPOSS3_NOTIFY_ID__STRUCTNOTIFT_TUIKA_DATE">DATA!$H$1918</definedName>
    <definedName name="shinsei_IMPOSS3_NOTIFY_ID__STRUCTTUIKA_NOTIFT_DATE">DATA!$H$1919</definedName>
    <definedName name="shinsei_IMPOSS4_NOTIFY_ID__KENSAIN_USER_ID">DATA!$H$1924</definedName>
    <definedName name="shinsei_IMPOSS4_NOTIFY_ID__LIMIT_DATE">DATA!$H$1925</definedName>
    <definedName name="shinsei_IMPOSS4_NOTIFY_ID__NOTIFY_CAUSE">DATA!$H$1926</definedName>
    <definedName name="shinsei_IMPOSS4_NOTIFY_ID__NOTIFY_DATE">DATA!$H$1923</definedName>
    <definedName name="shinsei_IMPOSS4_NOTIFY_ID__NOTIFY_NOTE">DATA!$H$1927</definedName>
    <definedName name="shinsei_IMPOSS4_NOTIFY_ID__REPORT_DATE">DATA!$H$1930</definedName>
    <definedName name="shinsei_IMPOSS4_NOTIFY_ID__STRUCTNOTIFT_NOTIFT_DATE">DATA!$H$1933</definedName>
    <definedName name="shinsei_IMPOSS4_NOTIFY_ID__STRUCTNOTIFT_NOTIFT_NO">DATA!$H$1934</definedName>
    <definedName name="shinsei_IMPOSS4_NOTIFY_ID__STRUCTNOTIFT_TUIKA_DATE">DATA!$H$1935</definedName>
    <definedName name="shinsei_IMPOSS4_NOTIFY_ID__STRUCTTUIKA_NOTIFT_DATE">DATA!$H$1936</definedName>
    <definedName name="shinsei_IMPOSS5_NOTIFY_ID__KENSAIN_USER_ID">DATA!$H$1941</definedName>
    <definedName name="shinsei_IMPOSS5_NOTIFY_ID__LIMIT_DATE">DATA!$H$1942</definedName>
    <definedName name="shinsei_IMPOSS5_NOTIFY_ID__NOTIFY_CAUSE">DATA!$H$1943</definedName>
    <definedName name="shinsei_IMPOSS5_NOTIFY_ID__NOTIFY_DATE">DATA!$H$1940</definedName>
    <definedName name="shinsei_IMPOSS5_NOTIFY_ID__NOTIFY_NOTE">DATA!$H$1944</definedName>
    <definedName name="shinsei_IMPOSS5_NOTIFY_ID__REPORT_DATE">DATA!$H$1947</definedName>
    <definedName name="shinsei_IMPOSS5_NOTIFY_ID__STRUCTNOTIFT_NOTIFT_DATE">DATA!$H$1950</definedName>
    <definedName name="shinsei_IMPOSS5_NOTIFY_ID__STRUCTNOTIFT_NOTIFT_NO">DATA!$H$1951</definedName>
    <definedName name="shinsei_IMPOSS5_NOTIFY_ID__STRUCTNOTIFT_TUIKA_DATE">DATA!$H$1952</definedName>
    <definedName name="shinsei_IMPOSS5_NOTIFY_ID__STRUCTTUIKA_NOTIFT_DATE">DATA!$H$1953</definedName>
    <definedName name="shinsei_IMPOSS6_NOTIFY_ID__KENSAIN_USER_ID">DATA!$H$1958</definedName>
    <definedName name="shinsei_IMPOSS6_NOTIFY_ID__LIMIT_DATE">DATA!$H$1959</definedName>
    <definedName name="shinsei_IMPOSS6_NOTIFY_ID__NOTIFY_CAUSE">DATA!$H$1960</definedName>
    <definedName name="shinsei_IMPOSS6_NOTIFY_ID__NOTIFY_DATE">DATA!$H$1957</definedName>
    <definedName name="shinsei_IMPOSS6_NOTIFY_ID__NOTIFY_NOTE">DATA!$H$1961</definedName>
    <definedName name="shinsei_IMPOSS6_NOTIFY_ID__REPORT_DATE">DATA!$H$1964</definedName>
    <definedName name="shinsei_IMPOSS6_NOTIFY_ID__STRUCTNOTIFT_NOTIFT_DATE">DATA!$H$1967</definedName>
    <definedName name="shinsei_IMPOSS6_NOTIFY_ID__STRUCTNOTIFT_NOTIFT_NO">DATA!$H$1968</definedName>
    <definedName name="shinsei_IMPOSS6_NOTIFY_ID__STRUCTNOTIFT_TUIKA_DATE">DATA!$H$1969</definedName>
    <definedName name="shinsei_IMPOSS6_NOTIFY_ID__STRUCTTUIKA_NOTIFT_DATE">DATA!$H$1970</definedName>
    <definedName name="shinsei_IMPOSSX_NOTIFY_ID__KENSAIN_USER_ID">DATA!$H$1975</definedName>
    <definedName name="shinsei_IMPOSSX_NOTIFY_ID__NOTIFY_CAUSE">DATA!$H$1976</definedName>
    <definedName name="shinsei_IMPOSSX_NOTIFY_ID__NOTIFY_DATE">DATA!$H$1974</definedName>
    <definedName name="shinsei_IMPOSSX_NOTIFY_ID__NOTIFY_NOTE">DATA!$H$1977</definedName>
    <definedName name="shinsei_IMPOSSX_NOTIFY_ID__REPORT_DATE">DATA!$H$1980</definedName>
    <definedName name="shinsei_IMPOSSX_NOTIFY_ID__STRUCTNOTIFT_NOTIFT_DATE">DATA!$H$1983</definedName>
    <definedName name="shinsei_IMPOSSX_NOTIFY_ID__STRUCTNOTIFT_NOTIFT_NO">DATA!$H$1984</definedName>
    <definedName name="shinsei_IMPOSSX_NOTIFY_ID__STRUCTNOTIFT_TUIKA_DATE">DATA!$H$1985</definedName>
    <definedName name="shinsei_IMPOSSX_NOTIFY_ID__STRUCTTUIKA_NOTIFT_DATE">DATA!$H$1986</definedName>
    <definedName name="shinsei_INSPECTION_NO">DATA!$H$89</definedName>
    <definedName name="shinsei_INSPECTION_TYPE">DATA!$H$82</definedName>
    <definedName name="shinsei_INTER_KOUKU">DATA!$H$1464</definedName>
    <definedName name="shinsei_intermediate_BILL_KOUJI_DAI_MOYOUGAE">DATA!$H$1255</definedName>
    <definedName name="shinsei_intermediate_BILL_KOUJI_DAI_SYUUZEN">DATA!$H$1254</definedName>
    <definedName name="shinsei_intermediate_BILL_KOUJI_ITEN">DATA!$H$1253</definedName>
    <definedName name="shinsei_intermediate_BILL_KOUJI_KAITIKU">DATA!$H$1252</definedName>
    <definedName name="shinsei_intermediate_BILL_KOUJI_SETUBISETTI">DATA!$H$1256</definedName>
    <definedName name="shinsei_intermediate_BILL_KOUJI_SINTIKU">DATA!$H$1250</definedName>
    <definedName name="shinsei_intermediate_BILL_KOUJI_ZOUTIKU">DATA!$H$1251</definedName>
    <definedName name="shinsei_intermediate_CYU1_KAISUU">DATA!$H$1455</definedName>
    <definedName name="shinsei_intermediate_CYU1_NITTEI">DATA!$H$1461</definedName>
    <definedName name="shinsei_intermediate_CYU1_YUKA_MENSEKI">DATA!$H$1465</definedName>
    <definedName name="shinsei_intermediate_GOUKAKU_KENSAIN">DATA!$H$1585</definedName>
    <definedName name="shinsei_Intermediate_GOUKAKU_TOKKI_JIKOU">DATA!$H$1597</definedName>
    <definedName name="shinsei_intermediate_HOUKOKU_SAKI">DATA!$H$180</definedName>
    <definedName name="shinsei_intermediate_KENSA_DATE">DATA!$H$1592</definedName>
    <definedName name="shinsei_intermediate_KENSA_KEKKA">DATA!$H$1579</definedName>
    <definedName name="shinsei_intermediate_SPECIFIC_KOUTEI">DATA!$H$1456</definedName>
    <definedName name="shinsei_ISSUE_DATE">DATA!$H$1568</definedName>
    <definedName name="shinsei_ISSUE_KOUFU_NAME">DATA!$H$1575</definedName>
    <definedName name="shinsei_ISSUE_NO">DATA!$H$1572</definedName>
    <definedName name="shinsei_ISSUETAB_MEMO">DATA!$H$1606</definedName>
    <definedName name="shinsei_judgehist_accept_kouzou1_TANTO_USER_ID">DATA_StructuralCalc!$H$20</definedName>
    <definedName name="shinsei_judgehist_accept_kouzou2_TANTO_USER_ID">DATA_StructuralCalc!$H$21</definedName>
    <definedName name="shinsei_KAKU_SUMI_KOUFU_DATE">DATA!$H$1617</definedName>
    <definedName name="shinsei_KAKU_SUMI_KOUFU_NAME">DATA!$H$1622</definedName>
    <definedName name="shinsei_KAKU_SUMI_NO">DATA!$H$1611</definedName>
    <definedName name="shinsei_KAKUNINZUMI_HOUKOKU_GYOSEI_DATE">DATA!$H$1375</definedName>
    <definedName name="shinsei_KAKUNINZUMI_HOUKOKU_GYOSEI_NO">DATA!$H$1371</definedName>
    <definedName name="shinsei_KAKUNINZUMI_HOUKOKU_SAKI">DATA!$H$179</definedName>
    <definedName name="shinsei_KAKUNINZUMI_KENSAIN">DATA!$H$1584</definedName>
    <definedName name="shinsei_KAN_HOUKOKU_KENSA_DATE">DATA!$H$1593</definedName>
    <definedName name="shinsei_KAN_HOUKOKU_SAKI">DATA!$H$181</definedName>
    <definedName name="shinsei_KAN_KENSA_KEKKA">DATA!$H$1580</definedName>
    <definedName name="shinsei_KAN_ZUMI_KENSAIN">DATA!$H$1586</definedName>
    <definedName name="shinsei_KAN_ZUMI_TOKKI_JIKOU">DATA!$H$1598</definedName>
    <definedName name="shinsei_KANRI__address">DATA!$H$966</definedName>
    <definedName name="shinsei_KANRI_JIMU_NAME">DATA!$H$964</definedName>
    <definedName name="shinsei_KANRI_JIMU_NO">DATA!$H$963</definedName>
    <definedName name="shinsei_KANRI_JIMU_SIKAKU">DATA!$H$961</definedName>
    <definedName name="shinsei_KANRI_JIMU_TOUROKU_KIKAN">DATA!$H$962</definedName>
    <definedName name="shinsei_KANRI_KENSETUSI_NO">DATA!$H$958</definedName>
    <definedName name="shinsei_KANRI_NAME">DATA!$H$959</definedName>
    <definedName name="shinsei_KANRI_POST_CODE">DATA!$H$965</definedName>
    <definedName name="shinsei_KANRI_SIKAKU">DATA!$H$956</definedName>
    <definedName name="shinsei_KANRI_TEL">DATA!$H$967</definedName>
    <definedName name="shinsei_KANRI_TOUROKU_KIKAN">DATA!$H$957</definedName>
    <definedName name="shinsei_kanri04__address">DATA!$H$1026</definedName>
    <definedName name="shinsei_kanri04_JIMU_NAME">DATA!$H$1024</definedName>
    <definedName name="shinsei_kanri04_JIMU_NO">DATA!$H$1023</definedName>
    <definedName name="shinsei_kanri04_JIMU_SIKAKU">DATA!$H$1021</definedName>
    <definedName name="shinsei_kanri04_JIMU_TOUROKU_KIKAN">DATA!$H$1022</definedName>
    <definedName name="shinsei_kanri04_KENSETUSI_NO">DATA!$H$1018</definedName>
    <definedName name="shinsei_kanri04_NAME">DATA!$H$1019</definedName>
    <definedName name="shinsei_kanri04_POST_CODE">DATA!$H$1025</definedName>
    <definedName name="shinsei_kanri04_SIKAKU">DATA!$H$1016</definedName>
    <definedName name="shinsei_kanri04_TEL">DATA!$H$1027</definedName>
    <definedName name="shinsei_kanri04_TOUROKU_KIKAN">DATA!$H$1017</definedName>
    <definedName name="shinsei_kanri05__address">DATA!$H$1041</definedName>
    <definedName name="shinsei_kanri05_JIMU_NAME">DATA!$H$1039</definedName>
    <definedName name="shinsei_kanri05_JIMU_NO">DATA!$H$1038</definedName>
    <definedName name="shinsei_kanri05_JIMU_SIKAKU">DATA!$H$1036</definedName>
    <definedName name="shinsei_kanri05_JIMU_TOUROKU_KIKAN">DATA!$H$1037</definedName>
    <definedName name="shinsei_kanri05_KENSETUSI_NO">DATA!$H$1033</definedName>
    <definedName name="shinsei_kanri05_NAME">DATA!$H$1034</definedName>
    <definedName name="shinsei_kanri05_POST_CODE">DATA!$H$1040</definedName>
    <definedName name="shinsei_kanri05_SIKAKU">DATA!$H$1031</definedName>
    <definedName name="shinsei_kanri05_TEL">DATA!$H$1042</definedName>
    <definedName name="shinsei_kanri05_TOUROKU_KIKAN">DATA!$H$1032</definedName>
    <definedName name="shinsei_kanri06__address">DATA!$H$1056</definedName>
    <definedName name="shinsei_kanri06_JIMU_NAME">DATA!$H$1054</definedName>
    <definedName name="shinsei_kanri06_JIMU_NO">DATA!$H$1053</definedName>
    <definedName name="shinsei_kanri06_JIMU_SIKAKU">DATA!$H$1051</definedName>
    <definedName name="shinsei_kanri06_JIMU_TOUROKU_KIKAN">DATA!$H$1052</definedName>
    <definedName name="shinsei_kanri06_KENSETUSI_NO">DATA!$H$1048</definedName>
    <definedName name="shinsei_kanri06_NAME">DATA!$H$1049</definedName>
    <definedName name="shinsei_kanri06_POST_CODE">DATA!$H$1055</definedName>
    <definedName name="shinsei_kanri06_SIKAKU">DATA!$H$1046</definedName>
    <definedName name="shinsei_kanri06_TEL">DATA!$H$1057</definedName>
    <definedName name="shinsei_kanri06_TOUROKU_KIKAN">DATA!$H$1047</definedName>
    <definedName name="shinsei_kanri07__address">DATA!$H$1071</definedName>
    <definedName name="shinsei_kanri07_JIMU_NAME">DATA!$H$1069</definedName>
    <definedName name="shinsei_kanri07_JIMU_NO">DATA!$H$1068</definedName>
    <definedName name="shinsei_kanri07_JIMU_SIKAKU">DATA!$H$1066</definedName>
    <definedName name="shinsei_kanri07_JIMU_TOUROKU_KIKAN">DATA!$H$1067</definedName>
    <definedName name="shinsei_kanri07_KENSETUSI_NO">DATA!$H$1063</definedName>
    <definedName name="shinsei_kanri07_NAME">DATA!$H$1064</definedName>
    <definedName name="shinsei_kanri07_POST_CODE">DATA!$H$1070</definedName>
    <definedName name="shinsei_kanri07_SIKAKU">DATA!$H$1061</definedName>
    <definedName name="shinsei_kanri07_TEL">DATA!$H$1072</definedName>
    <definedName name="shinsei_kanri07_TOUROKU_KIKAN">DATA!$H$1062</definedName>
    <definedName name="shinsei_kanri08__address">DATA!$H$1086</definedName>
    <definedName name="shinsei_kanri08_JIMU_NAME">DATA!$H$1084</definedName>
    <definedName name="shinsei_kanri08_JIMU_NO">DATA!$H$1083</definedName>
    <definedName name="shinsei_kanri08_JIMU_SIKAKU">DATA!$H$1081</definedName>
    <definedName name="shinsei_kanri08_JIMU_TOUROKU_KIKAN">DATA!$H$1082</definedName>
    <definedName name="shinsei_kanri08_KENSETUSI_NO">DATA!$H$1078</definedName>
    <definedName name="shinsei_kanri08_NAME">DATA!$H$1079</definedName>
    <definedName name="shinsei_kanri08_POST_CODE">DATA!$H$1085</definedName>
    <definedName name="shinsei_kanri08_SIKAKU">DATA!$H$1076</definedName>
    <definedName name="shinsei_kanri08_TEL">DATA!$H$1087</definedName>
    <definedName name="shinsei_kanri08_TOUROKU_KIKAN">DATA!$H$1077</definedName>
    <definedName name="shinsei_kanri09__address">DATA!$H$1101</definedName>
    <definedName name="shinsei_kanri09_JIMU_NAME">DATA!$H$1099</definedName>
    <definedName name="shinsei_kanri09_JIMU_NO">DATA!$H$1098</definedName>
    <definedName name="shinsei_kanri09_JIMU_SIKAKU">DATA!$H$1096</definedName>
    <definedName name="shinsei_kanri09_JIMU_TOUROKU_KIKAN">DATA!$H$1097</definedName>
    <definedName name="shinsei_kanri09_KENSETUSI_NO">DATA!$H$1093</definedName>
    <definedName name="shinsei_kanri09_NAME">DATA!$H$1094</definedName>
    <definedName name="shinsei_kanri09_POST_CODE">DATA!$H$1100</definedName>
    <definedName name="shinsei_kanri09_SIKAKU">DATA!$H$1091</definedName>
    <definedName name="shinsei_kanri09_TEL">DATA!$H$1102</definedName>
    <definedName name="shinsei_kanri09_TOUROKU_KIKAN">DATA!$H$1092</definedName>
    <definedName name="shinsei_KANRI1__address">DATA!$H$981</definedName>
    <definedName name="shinsei_KANRI1_JIMU_NAME">DATA!$H$979</definedName>
    <definedName name="shinsei_KANRI1_JIMU_NO">DATA!$H$978</definedName>
    <definedName name="shinsei_KANRI1_JIMU_SIKAKU">DATA!$H$976</definedName>
    <definedName name="shinsei_KANRI1_JIMU_TOUROKU_KIKAN">DATA!$H$977</definedName>
    <definedName name="shinsei_KANRI1_KENSETUSI_NO">DATA!$H$973</definedName>
    <definedName name="shinsei_KANRI1_NAME">DATA!$H$974</definedName>
    <definedName name="shinsei_KANRI1_POST_CODE">DATA!$H$980</definedName>
    <definedName name="shinsei_KANRI1_SIKAKU">DATA!$H$971</definedName>
    <definedName name="shinsei_KANRI1_TEL">DATA!$H$982</definedName>
    <definedName name="shinsei_KANRI1_TOUROKU_KIKAN">DATA!$H$972</definedName>
    <definedName name="shinsei_kanri10__address">DATA!$H$1116</definedName>
    <definedName name="shinsei_kanri10_JIMU_NAME">DATA!$H$1114</definedName>
    <definedName name="shinsei_kanri10_JIMU_NO">DATA!$H$1113</definedName>
    <definedName name="shinsei_kanri10_JIMU_SIKAKU">DATA!$H$1111</definedName>
    <definedName name="shinsei_kanri10_JIMU_TOUROKU_KIKAN">DATA!$H$1112</definedName>
    <definedName name="shinsei_kanri10_KENSETUSI_NO">DATA!$H$1108</definedName>
    <definedName name="shinsei_kanri10_NAME">DATA!$H$1109</definedName>
    <definedName name="shinsei_kanri10_POST_CODE">DATA!$H$1115</definedName>
    <definedName name="shinsei_kanri10_SIKAKU">DATA!$H$1106</definedName>
    <definedName name="shinsei_kanri10_TEL">DATA!$H$1117</definedName>
    <definedName name="shinsei_kanri10_TOUROKU_KIKAN">DATA!$H$1107</definedName>
    <definedName name="shinsei_kanri11__address">DATA!$H$1131</definedName>
    <definedName name="shinsei_kanri11_JIMU_NAME">DATA!$H$1129</definedName>
    <definedName name="shinsei_kanri11_JIMU_NO">DATA!$H$1128</definedName>
    <definedName name="shinsei_kanri11_JIMU_SIKAKU">DATA!$H$1126</definedName>
    <definedName name="shinsei_kanri11_JIMU_TOUROKU_KIKAN">DATA!$H$1127</definedName>
    <definedName name="shinsei_kanri11_KENSETUSI_NO">DATA!$H$1123</definedName>
    <definedName name="shinsei_kanri11_NAME">DATA!$H$1124</definedName>
    <definedName name="shinsei_kanri11_POST_CODE">DATA!$H$1130</definedName>
    <definedName name="shinsei_kanri11_SIKAKU">DATA!$H$1121</definedName>
    <definedName name="shinsei_kanri11_TEL">DATA!$H$1132</definedName>
    <definedName name="shinsei_kanri11_TOUROKU_KIKAN">DATA!$H$1122</definedName>
    <definedName name="shinsei_KANRI2__address">DATA!$H$996</definedName>
    <definedName name="shinsei_KANRI2_JIMU_NAME">DATA!$H$994</definedName>
    <definedName name="shinsei_KANRI2_JIMU_NO">DATA!$H$993</definedName>
    <definedName name="shinsei_KANRI2_JIMU_SIKAKU">DATA!$H$991</definedName>
    <definedName name="shinsei_KANRI2_JIMU_TOUROKU_KIKAN">DATA!$H$992</definedName>
    <definedName name="shinsei_KANRI2_KENSETUSI_NO">DATA!$H$988</definedName>
    <definedName name="shinsei_KANRI2_NAME">DATA!$H$989</definedName>
    <definedName name="shinsei_KANRI2_POST_CODE">DATA!$H$995</definedName>
    <definedName name="shinsei_KANRI2_SIKAKU">DATA!$H$986</definedName>
    <definedName name="shinsei_KANRI2_TEL">DATA!$H$997</definedName>
    <definedName name="shinsei_KANRI2_TOUROKU_KIKAN">DATA!$H$987</definedName>
    <definedName name="shinsei_KANRI3__address">DATA!$H$1011</definedName>
    <definedName name="shinsei_KANRI3_JIMU_NAME">DATA!$H$1009</definedName>
    <definedName name="shinsei_KANRI3_JIMU_NO">DATA!$H$1008</definedName>
    <definedName name="shinsei_KANRI3_JIMU_SIKAKU">DATA!$H$1006</definedName>
    <definedName name="shinsei_KANRI3_JIMU_TOUROKU_KIKAN">DATA!$H$1007</definedName>
    <definedName name="shinsei_KANRI3_KENSETUSI_NO">DATA!$H$1003</definedName>
    <definedName name="shinsei_KANRI3_NAME">DATA!$H$1004</definedName>
    <definedName name="shinsei_KANRI3_POST_CODE">DATA!$H$1010</definedName>
    <definedName name="shinsei_KANRI3_SIKAKU">DATA!$H$1001</definedName>
    <definedName name="shinsei_KANRI3_TEL">DATA!$H$1012</definedName>
    <definedName name="shinsei_KANRI3_TOUROKU_KIKAN">DATA!$H$1002</definedName>
    <definedName name="shinsei_KANRYOU_KEIKA1_GOUKAKU_NO">DATA!$H$1294</definedName>
    <definedName name="shinsei_KANRYOU_KEIKA1_KOUFU_DATE">DATA!$H$1296</definedName>
    <definedName name="shinsei_KANRYOU_KEIKA1_KOUTEI">DATA!$H$1298</definedName>
    <definedName name="shinsei_KASI_FLAG">DATA!$H$193</definedName>
    <definedName name="shinsei_KASI_FLAG__umu">DATA!$H$194</definedName>
    <definedName name="shinsei_KEN_KOUSOUSISIN_FLAG">DATA_StructuralCalc!$H$12</definedName>
    <definedName name="shinsei_KEN_KOUSOUSISIN_GAI_FLAG">DATA_StructuralCalc!$H$13</definedName>
    <definedName name="shinsei_KENSA_NG_CAUSE">DATA!$H$2042</definedName>
    <definedName name="shinsei_KENSA_RESULT">DATA!$H$1578</definedName>
    <definedName name="shinsei_KOKUJI_MENSHIN_FLAG">DATA_StructuralCalc!$H$15</definedName>
    <definedName name="shinsei_kouji">DATA!$H$1224</definedName>
    <definedName name="shinsei_KOUJI_KANRYOU_DATE">DATA!$H$1279</definedName>
    <definedName name="shinsei_KOUJI_YUKA_MENSEKI">DATA!$H$1472</definedName>
    <definedName name="shinsei_KOUZOU_HYOUTEI_FLAG">DATA_StructuralCalc!$H$14</definedName>
    <definedName name="shinsei_KOUZOU_ROUTE2">DATA!$H$1589</definedName>
    <definedName name="shinsei_KOUZOU_ROUTE2_KENSA_USER_ID">DATA!$H$1588</definedName>
    <definedName name="shinsei_kouzoujimu_EMAIL">DATA!$H$210</definedName>
    <definedName name="shinsei_kouzoujimu_FAX">DATA!$H$209</definedName>
    <definedName name="shinsei_kouzoujimu_JIMU_NAME">DATA!$H$206</definedName>
    <definedName name="shinsei_kouzoujimu_NAME">DATA!$H$207</definedName>
    <definedName name="shinsei_kouzoujimu_TEL">DATA!$H$208</definedName>
    <definedName name="shinsei_NG_NOTIFY_BIKO">DATA!$H$1996</definedName>
    <definedName name="shinsei_NG_NOTIFY_CAUSE">DATA!$H$1995</definedName>
    <definedName name="shinsei_NG_NOTIFY_DATE">DATA!$H$1991</definedName>
    <definedName name="shinsei_NG_NOTIFY_KENSA_DATE">DATA!$H$1993</definedName>
    <definedName name="shinsei_NG_NOTIFY_LIMIT_DATE">DATA!$H$1994</definedName>
    <definedName name="shinsei_NG_NOTIFY_USER_ID">DATA!$H$1992</definedName>
    <definedName name="shinsei_NG_REPORT_DATE">DATA!$H$2000</definedName>
    <definedName name="shinsei_NG1_NOTIFY_ID__STRUCTNOTIFT_NOTIFT_DATE">DATA!$H$2003</definedName>
    <definedName name="shinsei_NG1_NOTIFY_ID__STRUCTNOTIFT_NOTIFT_NO">DATA!$H$2004</definedName>
    <definedName name="shinsei_NG1_NOTIFY_ID__STRUCTNOTIFT_TUIKA_DATE">DATA!$H$2005</definedName>
    <definedName name="shinsei_NG1_NOTIFY_ID__STRUCTTUIKA_NOTIFT_DATE">DATA!$H$2006</definedName>
    <definedName name="shinsei_NG2_NOTIFY_ID__KENSA_DATE">DATA!$H$2012</definedName>
    <definedName name="shinsei_NG2_NOTIFY_ID__KENSAIN_USER_ID">DATA!$H$2011</definedName>
    <definedName name="shinsei_NG2_NOTIFY_ID__LIMIT_DATE">DATA!$H$2013</definedName>
    <definedName name="shinsei_NG2_NOTIFY_ID__NOTIFY_CAUSE">DATA!$H$2014</definedName>
    <definedName name="shinsei_NG2_NOTIFY_ID__NOTIFY_DATE">DATA!$H$2010</definedName>
    <definedName name="shinsei_NG2_NOTIFY_ID__NOTIFY_NOTE">DATA!$H$2015</definedName>
    <definedName name="shinsei_NG2_NOTIFY_ID__REPORT_DATE">DATA!$H$2018</definedName>
    <definedName name="shinsei_NG3_NOTIFY_ID__KENSA_DATE">DATA!$H$2024</definedName>
    <definedName name="shinsei_NG3_NOTIFY_ID__KENSAIN_USER_ID">DATA!$H$2023</definedName>
    <definedName name="shinsei_NG3_NOTIFY_ID__LIMIT_DATE">DATA!$H$2025</definedName>
    <definedName name="shinsei_NG3_NOTIFY_ID__NOTIFY_CAUSE">DATA!$H$2026</definedName>
    <definedName name="shinsei_NG3_NOTIFY_ID__NOTIFY_DATE">DATA!$H$2022</definedName>
    <definedName name="shinsei_NG3_NOTIFY_ID__NOTIFY_NOTE">DATA!$H$2027</definedName>
    <definedName name="shinsei_NG3_NOTIFY_ID__REPORT_DATE">DATA!$H$2030</definedName>
    <definedName name="shinsei_NGX_NOTIFY_ID__KENSA_DATE">DATA!$H$2036</definedName>
    <definedName name="shinsei_NGX_NOTIFY_ID__KENSAIN_USER_ID">DATA!$H$2035</definedName>
    <definedName name="shinsei_NGX_NOTIFY_ID__NOTIFY_CAUSE">DATA!$H$2037</definedName>
    <definedName name="shinsei_NGX_NOTIFY_ID__NOTIFY_DATE">DATA!$H$2034</definedName>
    <definedName name="shinsei_NGX_NOTIFY_ID__NOTIFY_NOTE">DATA!$H$2038</definedName>
    <definedName name="shinsei_NGX_NOTIFY_ID__REPORT_DATE">DATA!$H$2041</definedName>
    <definedName name="shinsei_NUSHI__address">DATA!$H$466</definedName>
    <definedName name="shinsei_NUSHI_CORP">DATA!$H$461</definedName>
    <definedName name="shinsei_NUSHI_NAME">DATA!$H$464</definedName>
    <definedName name="shinsei_NUSHI_NAME_KANA">DATA!$H$462</definedName>
    <definedName name="shinsei_NUSHI_POST">DATA!$H$463</definedName>
    <definedName name="shinsei_NUSHI_POST_CODE">DATA!$H$465</definedName>
    <definedName name="shinsei_NUSHI_TEL">DATA!$H$467</definedName>
    <definedName name="shinsei_OTHER_NOTE">DATA!$H$1386</definedName>
    <definedName name="shinsei_owner2__address">DATA!$H$475</definedName>
    <definedName name="shinsei_owner2_CORP">DATA!$H$470</definedName>
    <definedName name="shinsei_owner2_NAME">DATA!$H$473</definedName>
    <definedName name="shinsei_owner2_NAME_KANA">DATA!$H$471</definedName>
    <definedName name="shinsei_owner2_POST">DATA!$H$472</definedName>
    <definedName name="shinsei_owner2_POST_CODE">DATA!$H$474</definedName>
    <definedName name="shinsei_owner2_TEL">DATA!$H$476</definedName>
    <definedName name="shinsei_owner3__address">DATA!$H$484</definedName>
    <definedName name="shinsei_owner3_CORP">DATA!$H$479</definedName>
    <definedName name="shinsei_owner3_NAME">DATA!$H$482</definedName>
    <definedName name="shinsei_owner3_NAME_KANA">DATA!$H$480</definedName>
    <definedName name="shinsei_owner3_POST">DATA!$H$481</definedName>
    <definedName name="shinsei_owner3_POST_CODE">DATA!$H$483</definedName>
    <definedName name="shinsei_owner3_TEL">DATA!$H$485</definedName>
    <definedName name="shinsei_owner4__address">DATA!$H$493</definedName>
    <definedName name="shinsei_owner4_CORP">DATA!$H$488</definedName>
    <definedName name="shinsei_owner4_NAME">DATA!$H$491</definedName>
    <definedName name="shinsei_owner4_NAME_KANA">DATA!$H$489</definedName>
    <definedName name="shinsei_owner4_POST">DATA!$H$490</definedName>
    <definedName name="shinsei_owner4_POST_CODE">DATA!$H$492</definedName>
    <definedName name="shinsei_owner4_TEL">DATA!$H$494</definedName>
    <definedName name="shinsei_owner5__address">DATA!$H$502</definedName>
    <definedName name="shinsei_owner5_CORP">DATA!$H$497</definedName>
    <definedName name="shinsei_owner5_NAME">DATA!$H$500</definedName>
    <definedName name="shinsei_owner5_NAME_KANA">DATA!$H$498</definedName>
    <definedName name="shinsei_owner5_POST">DATA!$H$499</definedName>
    <definedName name="shinsei_owner5_POST_CODE">DATA!$H$501</definedName>
    <definedName name="shinsei_owner5_TEL">DATA!$H$503</definedName>
    <definedName name="shinsei_owner6__address">DATA!$H$511</definedName>
    <definedName name="shinsei_owner6_CORP">DATA!$H$506</definedName>
    <definedName name="shinsei_owner6_NAME">DATA!$H$509</definedName>
    <definedName name="shinsei_owner6_NAME_KANA">DATA!$H$507</definedName>
    <definedName name="shinsei_owner6_POST">DATA!$H$508</definedName>
    <definedName name="shinsei_owner6_POST_CODE">DATA!$H$510</definedName>
    <definedName name="shinsei_owner6_TEL">DATA!$H$512</definedName>
    <definedName name="shinsei_owner7__address">DATA!$H$520</definedName>
    <definedName name="shinsei_owner7_CORP">DATA!$H$515</definedName>
    <definedName name="shinsei_owner7_NAME">DATA!$H$518</definedName>
    <definedName name="shinsei_owner7_NAME_KANA">DATA!$H$516</definedName>
    <definedName name="shinsei_owner7_POST">DATA!$H$517</definedName>
    <definedName name="shinsei_owner7_POST_CODE">DATA!$H$519</definedName>
    <definedName name="shinsei_owner7_TEL">DATA!$H$521</definedName>
    <definedName name="shinsei_owner8__address">DATA!$H$529</definedName>
    <definedName name="shinsei_owner8_CORP">DATA!$H$524</definedName>
    <definedName name="shinsei_owner8_NAME">DATA!$H$527</definedName>
    <definedName name="shinsei_owner8_NAME_KANA">DATA!$H$525</definedName>
    <definedName name="shinsei_owner8_POST">DATA!$H$526</definedName>
    <definedName name="shinsei_owner8_POST_CODE">DATA!$H$528</definedName>
    <definedName name="shinsei_owner8_TEL">DATA!$H$530</definedName>
    <definedName name="shinsei_owner9__address">DATA!$H$538</definedName>
    <definedName name="shinsei_owner9_CORP">DATA!$H$533</definedName>
    <definedName name="shinsei_owner9_NAME">DATA!$H$536</definedName>
    <definedName name="shinsei_owner9_NAME_KANA">DATA!$H$534</definedName>
    <definedName name="shinsei_owner9_POST">DATA!$H$535</definedName>
    <definedName name="shinsei_owner9_POST_CODE">DATA!$H$537</definedName>
    <definedName name="shinsei_owner9_TEL">DATA!$H$539</definedName>
    <definedName name="shinsei_PREF_OFFICE_FLAG">DATA!$H$183</definedName>
    <definedName name="shinsei_PROVO_DATE">DATA!$H$1544</definedName>
    <definedName name="shinsei_PROVO_NO">DATA!$H$1546</definedName>
    <definedName name="shinsei_PROVO_STRUCT_TANTO_USER_ID">DATA!$H$189</definedName>
    <definedName name="shinsei_PROVO_TANTO_USER_ID">DATA!$H$46</definedName>
    <definedName name="shinsei_PURIFIER_TANK_FLAG">DATA!$H$1352</definedName>
    <definedName name="shinsei_REPORT_DEST_DEPART_NAME">DATA!$H$142</definedName>
    <definedName name="shinsei_REPORT_DEST_FAX">DATA!$H$143</definedName>
    <definedName name="shinsei_REPORT_DEST_GYOUSEI_KIND">dDATA_cst!$I$49</definedName>
    <definedName name="shinsei_REPORT_DEST_GYOUSEI_KIND__base">dDATA_cst!$I$45</definedName>
    <definedName name="shinsei_REPORT_DEST_GYOUSEI_KIND__base_point">dDATA_cst!$F$57</definedName>
    <definedName name="shinsei_REPORT_DEST_GYOUSEI_KIND__case1">dDATA_cst!$I$47</definedName>
    <definedName name="shinsei_REPORT_DEST_GYOUSEI_NAME">DATA!$H$146</definedName>
    <definedName name="shinsei_REPORT_DEST_KIND">DATA!$H$1374</definedName>
    <definedName name="shinsei_REPORT_DEST_NAME">DATA!$H$141</definedName>
    <definedName name="shinsei_REPORT_DEST_SYUJI_NAME">DATA!$H$144</definedName>
    <definedName name="shinsei_SEKKEI__address">DATA!$H$785</definedName>
    <definedName name="shinsei_SEKKEI_JIMU_NAME">DATA!$H$783</definedName>
    <definedName name="shinsei_SEKKEI_JIMU_NO">DATA!$H$782</definedName>
    <definedName name="shinsei_SEKKEI_JIMU_SIKAKU">DATA!$H$780</definedName>
    <definedName name="shinsei_SEKKEI_JIMU_TOUROKU_KIKAN">DATA!$H$781</definedName>
    <definedName name="shinsei_SEKKEI_KENSETUSI_NO">DATA!$H$777</definedName>
    <definedName name="shinsei_SEKKEI_NAME">DATA!$H$778</definedName>
    <definedName name="shinsei_SEKKEI_POST_CODE">DATA!$H$784</definedName>
    <definedName name="shinsei_SEKKEI_SIKAKU">DATA!$H$775</definedName>
    <definedName name="shinsei_SEKKEI_TEL">DATA!$H$786</definedName>
    <definedName name="shinsei_SEKKEI_TOUROKU_KIKAN">DATA!$H$776</definedName>
    <definedName name="shinsei_sekkei04__address">DATA!$H$845</definedName>
    <definedName name="shinsei_sekkei04_JIMU_NAME">DATA!$H$843</definedName>
    <definedName name="shinsei_sekkei04_JIMU_NO">DATA!$H$842</definedName>
    <definedName name="shinsei_sekkei04_JIMU_SIKAKU">DATA!$H$840</definedName>
    <definedName name="shinsei_sekkei04_JIMU_TOUROKU_KIKAN">DATA!$H$841</definedName>
    <definedName name="shinsei_sekkei04_KENSETUSI_NO">DATA!$H$837</definedName>
    <definedName name="shinsei_sekkei04_NAME">DATA!$H$838</definedName>
    <definedName name="shinsei_sekkei04_POST_CODE">DATA!$H$844</definedName>
    <definedName name="shinsei_sekkei04_SIKAKU">DATA!$H$835</definedName>
    <definedName name="shinsei_sekkei04_TEL">DATA!$H$846</definedName>
    <definedName name="shinsei_sekkei04_TOUROKU_KIKAN">DATA!$H$836</definedName>
    <definedName name="shinsei_sekkei05__address">DATA!$H$860</definedName>
    <definedName name="shinsei_sekkei05_JIMU_NAME">DATA!$H$858</definedName>
    <definedName name="shinsei_sekkei05_JIMU_NO">DATA!$H$857</definedName>
    <definedName name="shinsei_sekkei05_JIMU_SIKAKU">DATA!$H$855</definedName>
    <definedName name="shinsei_sekkei05_JIMU_TOUROKU_KIKAN">DATA!$H$856</definedName>
    <definedName name="shinsei_sekkei05_KENSETUSI_NO">DATA!$H$852</definedName>
    <definedName name="shinsei_sekkei05_NAME">DATA!$H$853</definedName>
    <definedName name="shinsei_sekkei05_POST_CODE">DATA!$H$859</definedName>
    <definedName name="shinsei_sekkei05_SIKAKU">DATA!$H$850</definedName>
    <definedName name="shinsei_sekkei05_TEL">DATA!$H$861</definedName>
    <definedName name="shinsei_sekkei05_TOUROKU_KIKAN">DATA!$H$851</definedName>
    <definedName name="shinsei_sekkei06__address">DATA!$H$875</definedName>
    <definedName name="shinsei_sekkei06_JIMU_NAME">DATA!$H$873</definedName>
    <definedName name="shinsei_sekkei06_JIMU_NO">DATA!$H$872</definedName>
    <definedName name="shinsei_sekkei06_JIMU_SIKAKU">DATA!$H$870</definedName>
    <definedName name="shinsei_sekkei06_JIMU_TOUROKU_KIKAN">DATA!$H$871</definedName>
    <definedName name="shinsei_sekkei06_KENSETUSI_NO">DATA!$H$867</definedName>
    <definedName name="shinsei_sekkei06_NAME">DATA!$H$868</definedName>
    <definedName name="shinsei_sekkei06_POST_CODE">DATA!$H$874</definedName>
    <definedName name="shinsei_sekkei06_SIKAKU">DATA!$H$865</definedName>
    <definedName name="shinsei_sekkei06_TEL">DATA!$H$876</definedName>
    <definedName name="shinsei_sekkei06_TOUROKU_KIKAN">DATA!$H$866</definedName>
    <definedName name="shinsei_sekkei07__address">DATA!$H$890</definedName>
    <definedName name="shinsei_sekkei07_JIMU_NAME">DATA!$H$888</definedName>
    <definedName name="shinsei_sekkei07_JIMU_NO">DATA!$H$887</definedName>
    <definedName name="shinsei_sekkei07_JIMU_SIKAKU">DATA!$H$885</definedName>
    <definedName name="shinsei_sekkei07_JIMU_TOUROKU_KIKAN">DATA!$H$886</definedName>
    <definedName name="shinsei_sekkei07_KENSETUSI_NO">DATA!$H$882</definedName>
    <definedName name="shinsei_sekkei07_NAME">DATA!$H$883</definedName>
    <definedName name="shinsei_sekkei07_POST_CODE">DATA!$H$889</definedName>
    <definedName name="shinsei_sekkei07_SIKAKU">DATA!$H$880</definedName>
    <definedName name="shinsei_sekkei07_TEL">DATA!$H$891</definedName>
    <definedName name="shinsei_sekkei07_TOUROKU_KIKAN">DATA!$H$881</definedName>
    <definedName name="shinsei_sekkei08__address">DATA!$H$905</definedName>
    <definedName name="shinsei_sekkei08_JIMU_NAME">DATA!$H$903</definedName>
    <definedName name="shinsei_sekkei08_JIMU_NO">DATA!$H$902</definedName>
    <definedName name="shinsei_sekkei08_JIMU_SIKAKU">DATA!$H$900</definedName>
    <definedName name="shinsei_sekkei08_JIMU_TOUROKU_KIKAN">DATA!$H$901</definedName>
    <definedName name="shinsei_sekkei08_KENSETUSI_NO">DATA!$H$897</definedName>
    <definedName name="shinsei_sekkei08_NAME">DATA!$H$898</definedName>
    <definedName name="shinsei_sekkei08_POST_CODE">DATA!$H$904</definedName>
    <definedName name="shinsei_sekkei08_SIKAKU">DATA!$H$895</definedName>
    <definedName name="shinsei_sekkei08_TEL">DATA!$H$906</definedName>
    <definedName name="shinsei_sekkei08_TOUROKU_KIKAN">DATA!$H$896</definedName>
    <definedName name="shinsei_sekkei09__address">DATA!$H$920</definedName>
    <definedName name="shinsei_sekkei09_JIMU_NAME">DATA!$H$918</definedName>
    <definedName name="shinsei_sekkei09_JIMU_NO">DATA!$H$917</definedName>
    <definedName name="shinsei_sekkei09_JIMU_SIKAKU">DATA!$H$915</definedName>
    <definedName name="shinsei_sekkei09_JIMU_TOUROKU_KIKAN">DATA!$H$916</definedName>
    <definedName name="shinsei_sekkei09_KENSETUSI_NO">DATA!$H$912</definedName>
    <definedName name="shinsei_sekkei09_NAME">DATA!$H$913</definedName>
    <definedName name="shinsei_sekkei09_POST_CODE">DATA!$H$919</definedName>
    <definedName name="shinsei_sekkei09_SIKAKU">DATA!$H$910</definedName>
    <definedName name="shinsei_sekkei09_TEL">DATA!$H$921</definedName>
    <definedName name="shinsei_sekkei09_TOUROKU_KIKAN">DATA!$H$911</definedName>
    <definedName name="shinsei_SEKKEI1__address">DATA!$H$800</definedName>
    <definedName name="shinsei_SEKKEI1_JIMU_NAME">DATA!$H$798</definedName>
    <definedName name="shinsei_SEKKEI1_JIMU_NO">DATA!$H$797</definedName>
    <definedName name="shinsei_SEKKEI1_JIMU_SIKAKU">DATA!$H$795</definedName>
    <definedName name="shinsei_SEKKEI1_JIMU_TOUROKU_KIKAN">DATA!$H$796</definedName>
    <definedName name="shinsei_SEKKEI1_KENSETUSI_NO">DATA!$H$792</definedName>
    <definedName name="shinsei_SEKKEI1_NAME">DATA!$H$793</definedName>
    <definedName name="shinsei_SEKKEI1_POST_CODE">DATA!$H$799</definedName>
    <definedName name="shinsei_SEKKEI1_SIKAKU">DATA!$H$790</definedName>
    <definedName name="shinsei_SEKKEI1_TEL">DATA!$H$801</definedName>
    <definedName name="shinsei_SEKKEI1_TOUROKU_KIKAN">DATA!$H$791</definedName>
    <definedName name="shinsei_sekkei10__address">DATA!$H$935</definedName>
    <definedName name="shinsei_sekkei10_JIMU_NAME">DATA!$H$933</definedName>
    <definedName name="shinsei_sekkei10_JIMU_NO">DATA!$H$932</definedName>
    <definedName name="shinsei_sekkei10_JIMU_SIKAKU">DATA!$H$930</definedName>
    <definedName name="shinsei_sekkei10_JIMU_TOUROKU_KIKAN">DATA!$H$931</definedName>
    <definedName name="shinsei_sekkei10_KENSETUSI_NO">DATA!$H$927</definedName>
    <definedName name="shinsei_sekkei10_NAME">DATA!$H$928</definedName>
    <definedName name="shinsei_sekkei10_POST_CODE">DATA!$H$934</definedName>
    <definedName name="shinsei_sekkei10_SIKAKU">DATA!$H$925</definedName>
    <definedName name="shinsei_sekkei10_TEL">DATA!$H$936</definedName>
    <definedName name="shinsei_sekkei10_TOUROKU_KIKAN">DATA!$H$926</definedName>
    <definedName name="shinsei_sekkei11__address">DATA!$H$950</definedName>
    <definedName name="shinsei_sekkei11_JIMU_NAME">DATA!$H$948</definedName>
    <definedName name="shinsei_sekkei11_JIMU_NO">DATA!$H$947</definedName>
    <definedName name="shinsei_sekkei11_JIMU_SIKAKU">DATA!$H$945</definedName>
    <definedName name="shinsei_sekkei11_JIMU_TOUROKU_KIKAN">DATA!$H$946</definedName>
    <definedName name="shinsei_sekkei11_KENSETUSI_NO">DATA!$H$942</definedName>
    <definedName name="shinsei_sekkei11_NAME">DATA!$H$943</definedName>
    <definedName name="shinsei_sekkei11_POST_CODE">DATA!$H$949</definedName>
    <definedName name="shinsei_sekkei11_SIKAKU">DATA!$H$940</definedName>
    <definedName name="shinsei_sekkei11_TEL">DATA!$H$951</definedName>
    <definedName name="shinsei_sekkei11_TOUROKU_KIKAN">DATA!$H$941</definedName>
    <definedName name="shinsei_SEKKEI2__address">DATA!$H$815</definedName>
    <definedName name="shinsei_SEKKEI2_JIMU_NAME">DATA!$H$813</definedName>
    <definedName name="shinsei_SEKKEI2_JIMU_NO">DATA!$H$812</definedName>
    <definedName name="shinsei_SEKKEI2_JIMU_SIKAKU">DATA!$H$810</definedName>
    <definedName name="shinsei_SEKKEI2_JIMU_TOUROKU_KIKAN">DATA!$H$811</definedName>
    <definedName name="shinsei_SEKKEI2_KENSETUSI_NO">DATA!$H$807</definedName>
    <definedName name="shinsei_SEKKEI2_NAME">DATA!$H$808</definedName>
    <definedName name="shinsei_SEKKEI2_POST_CODE">DATA!$H$814</definedName>
    <definedName name="shinsei_SEKKEI2_SIKAKU">DATA!$H$805</definedName>
    <definedName name="shinsei_SEKKEI2_TEL">DATA!$H$816</definedName>
    <definedName name="shinsei_SEKKEI2_TOUROKU_KIKAN">DATA!$H$806</definedName>
    <definedName name="shinsei_SEKKEI3__address">DATA!$H$830</definedName>
    <definedName name="shinsei_SEKKEI3_JIMU_NAME">DATA!$H$828</definedName>
    <definedName name="shinsei_SEKKEI3_JIMU_NO">DATA!$H$827</definedName>
    <definedName name="shinsei_SEKKEI3_JIMU_SIKAKU">DATA!$H$825</definedName>
    <definedName name="shinsei_SEKKEI3_JIMU_TOUROKU_KIKAN">DATA!$H$826</definedName>
    <definedName name="shinsei_SEKKEI3_KENSETUSI_NO">DATA!$H$822</definedName>
    <definedName name="shinsei_SEKKEI3_NAME">DATA!$H$823</definedName>
    <definedName name="shinsei_SEKKEI3_POST_CODE">DATA!$H$829</definedName>
    <definedName name="shinsei_SEKKEI3_SIKAKU">DATA!$H$820</definedName>
    <definedName name="shinsei_SEKKEI3_TEL">DATA!$H$831</definedName>
    <definedName name="shinsei_SEKKEI3_TOUROKU_KIKAN">DATA!$H$821</definedName>
    <definedName name="shinsei_sekkeijimu_EMAIL">DATA!$H$203</definedName>
    <definedName name="shinsei_sekkeijimu_FAX">DATA!$H$202</definedName>
    <definedName name="shinsei_sekkeijimu_JIMU_NAME">DATA!$H$199</definedName>
    <definedName name="shinsei_sekkeijimu_NAME">DATA!$H$200</definedName>
    <definedName name="shinsei_sekkeijimu_TEL">DATA!$H$201</definedName>
    <definedName name="shinsei_SEKOU__address">DATA!$H$1139</definedName>
    <definedName name="shinsei_SEKOU_ADDRESS">DATA!$H$1140</definedName>
    <definedName name="shinsei_SEKOU_JIMU_NAME">DATA!$H$1138</definedName>
    <definedName name="shinsei_SEKOU_JIMU_NO">DATA!$H$1137</definedName>
    <definedName name="shinsei_SEKOU_JIMU_TOUROKU_KIKAN">DATA!$H$1136</definedName>
    <definedName name="shinsei_SEKOU_NAME">DATA!$H$1135</definedName>
    <definedName name="shinsei_SEKOU_TEL">DATA!$H$1141</definedName>
    <definedName name="shinsei_sekou2__address">DATA!$H$1148</definedName>
    <definedName name="shinsei_sekou2_ADDRESS">DATA!$H$1149</definedName>
    <definedName name="shinsei_sekou2_JIMU_NAME">DATA!$H$1147</definedName>
    <definedName name="shinsei_sekou2_JIMU_NO">DATA!$H$1146</definedName>
    <definedName name="shinsei_sekou2_JIMU_TOUROKU_KIKAN">DATA!$H$1145</definedName>
    <definedName name="shinsei_sekou2_NAME">DATA!$H$1144</definedName>
    <definedName name="shinsei_sekou2_TEL">DATA!$H$1150</definedName>
    <definedName name="shinsei_sekou3__address">DATA!$H$1157</definedName>
    <definedName name="shinsei_sekou3_ADDRESS">DATA!$H$1158</definedName>
    <definedName name="shinsei_sekou3_JIMU_NAME">DATA!$H$1156</definedName>
    <definedName name="shinsei_sekou3_JIMU_NO">DATA!$H$1155</definedName>
    <definedName name="shinsei_sekou3_JIMU_TOUROKU_KIKAN">DATA!$H$1154</definedName>
    <definedName name="shinsei_sekou3_NAME">DATA!$H$1153</definedName>
    <definedName name="shinsei_sekou3_TEL">DATA!$H$1159</definedName>
    <definedName name="shinsei_sekou4__address">DATA!$H$1166</definedName>
    <definedName name="shinsei_sekou4_ADDRESS">DATA!$H$1167</definedName>
    <definedName name="shinsei_sekou4_JIMU_NAME">DATA!$H$1165</definedName>
    <definedName name="shinsei_sekou4_JIMU_NO">DATA!$H$1164</definedName>
    <definedName name="shinsei_sekou4_JIMU_TOUROKU_KIKAN">DATA!$H$1163</definedName>
    <definedName name="shinsei_sekou4_NAME">DATA!$H$1162</definedName>
    <definedName name="shinsei_sekou4_TEL">DATA!$H$1168</definedName>
    <definedName name="shinsei_sekou5__address">DATA!$H$1175</definedName>
    <definedName name="shinsei_sekou5_ADDRESS">DATA!$H$1176</definedName>
    <definedName name="shinsei_sekou5_JIMU_NAME">DATA!$H$1174</definedName>
    <definedName name="shinsei_sekou5_JIMU_NO">DATA!$H$1173</definedName>
    <definedName name="shinsei_sekou5_JIMU_TOUROKU_KIKAN">DATA!$H$1172</definedName>
    <definedName name="shinsei_sekou5_NAME">DATA!$H$1171</definedName>
    <definedName name="shinsei_sekou5_TEL">DATA!$H$1177</definedName>
    <definedName name="shinsei_sekou6__address">DATA!$H$1184</definedName>
    <definedName name="shinsei_sekou6_ADDRESS">DATA!$H$1185</definedName>
    <definedName name="shinsei_sekou6_JIMU_NAME">DATA!$H$1183</definedName>
    <definedName name="shinsei_sekou6_JIMU_NO">DATA!$H$1182</definedName>
    <definedName name="shinsei_sekou6_JIMU_TOUROKU_KIKAN">DATA!$H$1181</definedName>
    <definedName name="shinsei_sekou6_NAME">DATA!$H$1180</definedName>
    <definedName name="shinsei_sekou6_TEL">DATA!$H$1186</definedName>
    <definedName name="shinsei_SEPTICTANK_KOUZOU_SYURUI">DATA!$H$1361</definedName>
    <definedName name="shinsei_shinsei__zero">DATA!$H$1217</definedName>
    <definedName name="shinsei_shinsei_COUNT">DATA!$H$1211</definedName>
    <definedName name="shinsei_shinsei_HOU6">DATA!$H$1446</definedName>
    <definedName name="shinsei_shinsei_IGAI__zero">DATA!$H$1204</definedName>
    <definedName name="shinsei_shinsei_ISSUE_DATE">DATA!$H$1445</definedName>
    <definedName name="shinsei_shinsei_ISSUE_NO">DATA!$H$1443</definedName>
    <definedName name="shinsei_shinsei_KIND">DATA_StructuralCalc!$H$17</definedName>
    <definedName name="shinsei_shinsei_TOTAL">DATA!$H$1206</definedName>
    <definedName name="shinsei_shinsei_TOWERS">DATA_StructuralCalc!$H$18</definedName>
    <definedName name="shinsei_STAT_CITY">DATA!$H$109</definedName>
    <definedName name="shinsei_STAT_KEN">DATA!$H$108</definedName>
    <definedName name="shinsei_STR_1ST_USER_ID">DATA!$H$49</definedName>
    <definedName name="shinsei_STR_2ND_USER_ID">DATA!$H$50</definedName>
    <definedName name="shinsei_STR_ACCEPT_DATE">DATA_StructuralCalc!$H$44</definedName>
    <definedName name="shinsei_STR_CALC_BOOK_FLAG">DATA!$H$1390</definedName>
    <definedName name="shinsei_STR_CALC_BOOK_FLAG__umu">DATA!$H$1391</definedName>
    <definedName name="shinsei_STR_EXCEEDED_CAUSE">DATA_StructuralCalc!$H$60</definedName>
    <definedName name="shinsei_STR_EXCEEDED_DATE">DATA!$H$1691</definedName>
    <definedName name="shinsei_STR_EXCEEDED_DAYS">DATA_StructuralCalc!$H$61</definedName>
    <definedName name="shinsei_STR_EXCEEDED_NOTE">DATA_StructuralCalc!$H$63</definedName>
    <definedName name="shinsei_STR_SEKKEI___address">DATA_StructuralCalc!$H$26</definedName>
    <definedName name="shinsei_STR_SEKKEI_EMAIL">DATA_StructuralCalc!$H$27</definedName>
    <definedName name="shinsei_STR_SEKKEI_FAX">DATA_StructuralCalc!$H$29</definedName>
    <definedName name="shinsei_STR_SEKKEI_JIMU_NAME">DATA_StructuralCalc!$H$24</definedName>
    <definedName name="shinsei_STR_SEKKEI_NAME">DATA_StructuralCalc!$H$25</definedName>
    <definedName name="shinsei_STR_SEKKEI_TEL">DATA_StructuralCalc!$H$28</definedName>
    <definedName name="shinsei_STR_SEND_DATE">DATA_StructuralCalc!$H$45</definedName>
    <definedName name="shinsei_STR_SHINSEI_TOWERS">DATA!$H$1680</definedName>
    <definedName name="shinsei_STR_TOTAL_CHARGE">DATA_fee_detail!$G$28</definedName>
    <definedName name="shinsei_STRIRAI_DATE">DATA!$H$1688</definedName>
    <definedName name="shinsei_STRIRAI_DOCNO">DATA_StructuralCalc!$H$48</definedName>
    <definedName name="shinsei_STRIRAI_TEKIHAN_ACCEPT_DATE">DATA_StructuralCalc!$H$50</definedName>
    <definedName name="shinsei_STRIRAI_TEKIHAN_ACCEPT_NO">DATA_StructuralCalc!$H$51</definedName>
    <definedName name="shinsei_STRIRAI_TEKIHAN_LAST_NO">DATA_StructuralCalc!$H$53</definedName>
    <definedName name="shinsei_STRPROVO_IRAIYOTEI_DATE">DATA_StructuralCalc!$H$38</definedName>
    <definedName name="shinsei_STRPROVO_NOTE">DATA_StructuralCalc!$H$43</definedName>
    <definedName name="shinsei_STRPROVO_NOTIFY_DATE">DATA!$H$1687</definedName>
    <definedName name="shinsei_STRPROVO_SEIGEN_BESSI">DATA_StructuralCalc!$H$41</definedName>
    <definedName name="shinsei_STRPROVO_SEIGEN_MITEI">DATA_StructuralCalc!$H$42</definedName>
    <definedName name="shinsei_STRTORISAGE_CAUSE">DATA_StructuralCalc!$H$67</definedName>
    <definedName name="shinsei_STRTORISAGE_TEISYUTU_DATE">DATA!$H$1692</definedName>
    <definedName name="shinsei_strtower01_BUILD_KUBUN">DATA_StructuralCalc!$H$190</definedName>
    <definedName name="shinsei_strtower01_BUILD_KUBUN_TEXT">DATA_StructuralCalc!$H$191</definedName>
    <definedName name="shinsei_strtower01_CHARGE">DATA_StructuralCalc!$H$293</definedName>
    <definedName name="shinsei_strtower01_CHARGE_KEISAN_NOTE">DATA_StructuralCalc!$H$298</definedName>
    <definedName name="shinsei_strtower01_CHARGE_SANTEI_MENSEKI">DATA_StructuralCalc!$H$297</definedName>
    <definedName name="shinsei_strtower01_CHARGE_TOTAL">DATA_StructuralCalc!$H$296</definedName>
    <definedName name="shinsei_strtower01_CHARGE_WARIMASHI">DATA_StructuralCalc!$H$295</definedName>
    <definedName name="shinsei_strtower01_DISK_FLAG">DATA_StructuralCalc!$H$292</definedName>
    <definedName name="shinsei_strtower01_JUDGE">DATA_StructuralCalc!$H$166</definedName>
    <definedName name="shinsei_strtower01_KAISU_TIJYOU">DATA_StructuralCalc!$H$187</definedName>
    <definedName name="shinsei_strtower01_KAISU_TIKA">DATA_StructuralCalc!$H$188</definedName>
    <definedName name="shinsei_strtower01_KAISU_TOUYA">DATA_StructuralCalc!$H$189</definedName>
    <definedName name="shinsei_strtower01_KEISAN_X_ROUTE">DATA_StructuralCalc!$H$300</definedName>
    <definedName name="shinsei_strtower01_KEISAN_Y_ROUTE">DATA_StructuralCalc!$H$301</definedName>
    <definedName name="shinsei_strtower01_KOUJI_TEXT">DATA_StructuralCalc!$H$168</definedName>
    <definedName name="shinsei_strtower01_KOUZOU">DATA_StructuralCalc!$H$173</definedName>
    <definedName name="shinsei_strtower01_KOUZOU_KEISAN">DATA_StructuralCalc!$H$175</definedName>
    <definedName name="shinsei_strtower01_KOUZOU_KEISAN_TEXT">DATA_StructuralCalc!$H$176</definedName>
    <definedName name="shinsei_strtower01_KOUZOU_TEXT">DATA_StructuralCalc!$H$174</definedName>
    <definedName name="shinsei_strtower01_MAX_NOKI_TAKASA">DATA_StructuralCalc!$H$185</definedName>
    <definedName name="shinsei_strtower01_MAX_TAKASA">DATA_StructuralCalc!$H$184</definedName>
    <definedName name="shinsei_strtower01_MENJYO_TEXT">DATA_StructuralCalc!$H$194</definedName>
    <definedName name="shinsei_strtower01_MENSEKI">DATA_StructuralCalc!$H$182</definedName>
    <definedName name="shinsei_strtower01_prgo01_MAKER_NAME">DATA_StructuralCalc!$H$207</definedName>
    <definedName name="shinsei_strtower01_prgo01_NAME">DATA_StructuralCalc!$H$202</definedName>
    <definedName name="shinsei_strtower01_prgo01_NINTEI_DATE">DATA_StructuralCalc!$H$206</definedName>
    <definedName name="shinsei_strtower01_prgo01_NINTEI_NO">DATA_StructuralCalc!$H$205</definedName>
    <definedName name="shinsei_strtower01_prgo01_VER">DATA_StructuralCalc!$H$203</definedName>
    <definedName name="shinsei_strtower01_prgo02_MAKER_NAME">DATA_StructuralCalc!$H$228</definedName>
    <definedName name="shinsei_strtower01_prgo02_NAME">DATA_StructuralCalc!$H$223</definedName>
    <definedName name="shinsei_strtower01_prgo02_NINTEI_DATE">DATA_StructuralCalc!$H$227</definedName>
    <definedName name="shinsei_strtower01_prgo02_NINTEI_NO">DATA_StructuralCalc!$H$226</definedName>
    <definedName name="shinsei_strtower01_prgo02_VER">DATA_StructuralCalc!$H$224</definedName>
    <definedName name="shinsei_strtower01_prgo03_MAKER_NAME">DATA_StructuralCalc!$H$243</definedName>
    <definedName name="shinsei_strtower01_prgo03_NAME">DATA_StructuralCalc!$H$238</definedName>
    <definedName name="shinsei_strtower01_prgo03_NINTEI_DATE">DATA_StructuralCalc!$H$242</definedName>
    <definedName name="shinsei_strtower01_prgo03_NINTEI_NO">DATA_StructuralCalc!$H$241</definedName>
    <definedName name="shinsei_strtower01_prgo03_VER">DATA_StructuralCalc!$H$239</definedName>
    <definedName name="shinsei_strtower01_prgo04_MAKER_NAME">DATA_StructuralCalc!$H$258</definedName>
    <definedName name="shinsei_strtower01_prgo04_NAME">DATA_StructuralCalc!$H$253</definedName>
    <definedName name="shinsei_strtower01_prgo04_NINTEI_DATE">DATA_StructuralCalc!$H$257</definedName>
    <definedName name="shinsei_strtower01_prgo04_NINTEI_NO">DATA_StructuralCalc!$H$256</definedName>
    <definedName name="shinsei_strtower01_prgo04_VER">DATA_StructuralCalc!$H$254</definedName>
    <definedName name="shinsei_strtower01_prgo05_MAKER_NAME">DATA_StructuralCalc!$H$273</definedName>
    <definedName name="shinsei_strtower01_prgo05_NAME">DATA_StructuralCalc!$H$268</definedName>
    <definedName name="shinsei_strtower01_prgo05_NINTEI_DATE">DATA_StructuralCalc!$H$272</definedName>
    <definedName name="shinsei_strtower01_prgo05_NINTEI_NO">DATA_StructuralCalc!$H$271</definedName>
    <definedName name="shinsei_strtower01_prgo05_VER">DATA_StructuralCalc!$H$269</definedName>
    <definedName name="shinsei_strtower01_PROGRAM_KIND">DATA_StructuralCalc!$H$195</definedName>
    <definedName name="shinsei_strtower01_PROGRAM_KIND__hyouka__box">DATA_StructuralCalc!$H$199</definedName>
    <definedName name="shinsei_strtower01_PROGRAM_KIND__nintei__box">DATA_StructuralCalc!$H$198</definedName>
    <definedName name="shinsei_strtower01_PROGRAM_KIND__sonota__box">DATA_StructuralCalc!$H$200</definedName>
    <definedName name="shinsei_strtower01_PROGRAM_KIND_SONOTA">DATA_StructuralCalc!$H$303</definedName>
    <definedName name="shinsei_strtower01_REI80_2_KOKUJI_TEXT">DATA_StructuralCalc!$H$196</definedName>
    <definedName name="shinsei_strtower01_STR_TOWER_NAME">DATA_StructuralCalc!$H$165</definedName>
    <definedName name="shinsei_strtower01_STR_TOWER_NO">DATA_StructuralCalc!$H$162</definedName>
    <definedName name="shinsei_strtower01_STR_TOWER_YOUTO_TEXT">DATA_StructuralCalc!$H$167</definedName>
    <definedName name="shinsei_strtower01_TOWER_NO">DATA_StructuralCalc!$H$161</definedName>
    <definedName name="shinsei_strtower02_BUILD_KUBUN">DATA_StructuralCalc!$H$326</definedName>
    <definedName name="shinsei_strtower02_BUILD_KUBUN_TEXT">DATA_StructuralCalc!$H$327</definedName>
    <definedName name="shinsei_strtower02_CHARGE">DATA_StructuralCalc!$H$428</definedName>
    <definedName name="shinsei_strtower02_CHARGE_KEISAN_NOTE">DATA_StructuralCalc!$H$433</definedName>
    <definedName name="shinsei_strtower02_CHARGE_SANTEI_MENSEKI">DATA_StructuralCalc!$H$432</definedName>
    <definedName name="shinsei_strtower02_CHARGE_TOTAL">DATA_StructuralCalc!$H$431</definedName>
    <definedName name="shinsei_strtower02_CHARGE_WARIMASHI">DATA_StructuralCalc!$H$430</definedName>
    <definedName name="shinsei_strtower02_DISK_FLAG">DATA_StructuralCalc!$H$427</definedName>
    <definedName name="shinsei_strtower02_JUDGE">DATA_StructuralCalc!$H$311</definedName>
    <definedName name="shinsei_strtower02_KAISU_TIJYOU">DATA_StructuralCalc!$H$323</definedName>
    <definedName name="shinsei_strtower02_KAISU_TIKA">DATA_StructuralCalc!$H$324</definedName>
    <definedName name="shinsei_strtower02_KAISU_TOUYA">DATA_StructuralCalc!$H$325</definedName>
    <definedName name="shinsei_strtower02_KEISAN_X_ROUTE">DATA_StructuralCalc!$H$435</definedName>
    <definedName name="shinsei_strtower02_KEISAN_Y_ROUTE">DATA_StructuralCalc!$H$436</definedName>
    <definedName name="shinsei_strtower02_KOUJI_TEXT">DATA_StructuralCalc!$H$313</definedName>
    <definedName name="shinsei_strtower02_KOUZOU">DATA_StructuralCalc!$H$314</definedName>
    <definedName name="shinsei_strtower02_KOUZOU_KEISAN">DATA_StructuralCalc!$H$316</definedName>
    <definedName name="shinsei_strtower02_KOUZOU_KEISAN_TEXT">DATA_StructuralCalc!$H$317</definedName>
    <definedName name="shinsei_strtower02_KOUZOU_TEXT">DATA_StructuralCalc!$H$315</definedName>
    <definedName name="shinsei_strtower02_MAX_NOKI_TAKASA">DATA_StructuralCalc!$H$321</definedName>
    <definedName name="shinsei_strtower02_MAX_TAKASA">DATA_StructuralCalc!$H$320</definedName>
    <definedName name="shinsei_strtower02_MENJYO_TEXT">DATA_StructuralCalc!$H$330</definedName>
    <definedName name="shinsei_strtower02_MENSEKI">DATA_StructuralCalc!$H$318</definedName>
    <definedName name="shinsei_strtower02_prgo01_MAKER_NAME">DATA_StructuralCalc!$H$342</definedName>
    <definedName name="shinsei_strtower02_prgo01_NAME">DATA_StructuralCalc!$H$337</definedName>
    <definedName name="shinsei_strtower02_prgo01_NINTEI_DATE">DATA_StructuralCalc!$H$341</definedName>
    <definedName name="shinsei_strtower02_prgo01_NINTEI_NO">DATA_StructuralCalc!$H$340</definedName>
    <definedName name="shinsei_strtower02_prgo01_VER">DATA_StructuralCalc!$H$338</definedName>
    <definedName name="shinsei_strtower02_prgo02_MAKER_NAME">DATA_StructuralCalc!$H$363</definedName>
    <definedName name="shinsei_strtower02_prgo02_NAME">DATA_StructuralCalc!$H$358</definedName>
    <definedName name="shinsei_strtower02_prgo02_NINTEI_DATE">DATA_StructuralCalc!$H$362</definedName>
    <definedName name="shinsei_strtower02_prgo02_NINTEI_NO">DATA_StructuralCalc!$H$361</definedName>
    <definedName name="shinsei_strtower02_prgo02_VER">DATA_StructuralCalc!$H$359</definedName>
    <definedName name="shinsei_strtower02_prgo03_MAKER_NAME">DATA_StructuralCalc!$H$378</definedName>
    <definedName name="shinsei_strtower02_prgo03_NAME">DATA_StructuralCalc!$H$373</definedName>
    <definedName name="shinsei_strtower02_prgo03_NINTEI_DATE">DATA_StructuralCalc!$H$377</definedName>
    <definedName name="shinsei_strtower02_prgo03_NINTEI_NO">DATA_StructuralCalc!$H$376</definedName>
    <definedName name="shinsei_strtower02_prgo03_VER">DATA_StructuralCalc!$H$374</definedName>
    <definedName name="shinsei_strtower02_prgo04_MAKER_NAME">DATA_StructuralCalc!$H$393</definedName>
    <definedName name="shinsei_strtower02_prgo04_NAME">DATA_StructuralCalc!$H$388</definedName>
    <definedName name="shinsei_strtower02_prgo04_NINTEI_DATE">DATA_StructuralCalc!$H$392</definedName>
    <definedName name="shinsei_strtower02_prgo04_NINTEI_NO">DATA_StructuralCalc!$H$391</definedName>
    <definedName name="shinsei_strtower02_prgo04_VER">DATA_StructuralCalc!$H$389</definedName>
    <definedName name="shinsei_strtower02_prgo05_MAKER_NAME">DATA_StructuralCalc!$H$408</definedName>
    <definedName name="shinsei_strtower02_prgo05_NAME">DATA_StructuralCalc!$H$403</definedName>
    <definedName name="shinsei_strtower02_prgo05_NINTEI_DATE">DATA_StructuralCalc!$H$407</definedName>
    <definedName name="shinsei_strtower02_prgo05_NINTEI_NO">DATA_StructuralCalc!$H$406</definedName>
    <definedName name="shinsei_strtower02_prgo05_VER">DATA_StructuralCalc!$H$404</definedName>
    <definedName name="shinsei_strtower02_PROGRAM_KIND">DATA_StructuralCalc!$H$331</definedName>
    <definedName name="shinsei_strtower02_PROGRAM_KIND__hyouka__box">DATA_StructuralCalc!$H$334</definedName>
    <definedName name="shinsei_strtower02_PROGRAM_KIND__nintei__box">DATA_StructuralCalc!$H$333</definedName>
    <definedName name="shinsei_strtower02_PROGRAM_KIND__sonota__box">DATA_StructuralCalc!$H$335</definedName>
    <definedName name="shinsei_strtower02_PROGRAM_KIND_SONOTA">DATA_StructuralCalc!$H$438</definedName>
    <definedName name="shinsei_strtower02_REI80_2_KOKUJI_TEXT">DATA_StructuralCalc!$H$332</definedName>
    <definedName name="shinsei_strtower02_STR_TOWER_NAME">DATA_StructuralCalc!$H$310</definedName>
    <definedName name="shinsei_strtower02_STR_TOWER_NO">DATA_StructuralCalc!$H$307</definedName>
    <definedName name="shinsei_strtower02_STR_TOWER_YOUTO_TEXT">DATA_StructuralCalc!$H$312</definedName>
    <definedName name="shinsei_strtower02_TOWER_NO">DATA_StructuralCalc!$H$306</definedName>
    <definedName name="shinsei_strtower03_BUILD_KUBUN">DATA_StructuralCalc!$H$461</definedName>
    <definedName name="shinsei_strtower03_BUILD_KUBUN_TEXT">DATA_StructuralCalc!$H$462</definedName>
    <definedName name="shinsei_strtower03_CHARGE">DATA_StructuralCalc!$H$563</definedName>
    <definedName name="shinsei_strtower03_CHARGE_KEISAN_NOTE">DATA_StructuralCalc!$H$568</definedName>
    <definedName name="shinsei_strtower03_CHARGE_SANTEI_MENSEKI">DATA_StructuralCalc!$H$567</definedName>
    <definedName name="shinsei_strtower03_CHARGE_TOTAL">DATA_StructuralCalc!$H$566</definedName>
    <definedName name="shinsei_strtower03_CHARGE_WARIMASHI">DATA_StructuralCalc!$H$565</definedName>
    <definedName name="shinsei_strtower03_DISK_FLAG">DATA_StructuralCalc!$H$562</definedName>
    <definedName name="shinsei_strtower03_JUDGE">DATA_StructuralCalc!$H$446</definedName>
    <definedName name="shinsei_strtower03_KAISU_TIJYOU">DATA_StructuralCalc!$H$458</definedName>
    <definedName name="shinsei_strtower03_KAISU_TIKA">DATA_StructuralCalc!$H$459</definedName>
    <definedName name="shinsei_strtower03_KAISU_TOUYA">DATA_StructuralCalc!$H$460</definedName>
    <definedName name="shinsei_strtower03_KEISAN_X_ROUTE">DATA_StructuralCalc!$H$570</definedName>
    <definedName name="shinsei_strtower03_KEISAN_Y_ROUTE">DATA_StructuralCalc!$H$571</definedName>
    <definedName name="shinsei_strtower03_KOUJI_TEXT">DATA_StructuralCalc!$H$448</definedName>
    <definedName name="shinsei_strtower03_KOUZOU">DATA_StructuralCalc!$H$449</definedName>
    <definedName name="shinsei_strtower03_KOUZOU_KEISAN">DATA_StructuralCalc!$H$451</definedName>
    <definedName name="shinsei_strtower03_KOUZOU_KEISAN_TEXT">DATA_StructuralCalc!$H$452</definedName>
    <definedName name="shinsei_strtower03_KOUZOU_TEXT">DATA_StructuralCalc!$H$450</definedName>
    <definedName name="shinsei_strtower03_MAX_NOKI_TAKASA">DATA_StructuralCalc!$H$456</definedName>
    <definedName name="shinsei_strtower03_MAX_TAKASA">DATA_StructuralCalc!$H$455</definedName>
    <definedName name="shinsei_strtower03_MENJYO_TEXT">DATA_StructuralCalc!$H$465</definedName>
    <definedName name="shinsei_strtower03_MENSEKI">DATA_StructuralCalc!$H$453</definedName>
    <definedName name="shinsei_strtower03_prgo01_MAKER_NAME">DATA_StructuralCalc!$H$477</definedName>
    <definedName name="shinsei_strtower03_prgo01_NAME">DATA_StructuralCalc!$H$472</definedName>
    <definedName name="shinsei_strtower03_prgo01_NINTEI_DATE">DATA_StructuralCalc!$H$476</definedName>
    <definedName name="shinsei_strtower03_prgo01_NINTEI_NO">DATA_StructuralCalc!$H$475</definedName>
    <definedName name="shinsei_strtower03_prgo01_VER">DATA_StructuralCalc!$H$473</definedName>
    <definedName name="shinsei_strtower03_prgo02_MAKER_NAME">DATA_StructuralCalc!$H$498</definedName>
    <definedName name="shinsei_strtower03_prgo02_NAME">DATA_StructuralCalc!$H$493</definedName>
    <definedName name="shinsei_strtower03_prgo02_NINTEI_DATE">DATA_StructuralCalc!$H$497</definedName>
    <definedName name="shinsei_strtower03_prgo02_NINTEI_NO">DATA_StructuralCalc!$H$496</definedName>
    <definedName name="shinsei_strtower03_prgo02_VER">DATA_StructuralCalc!$H$494</definedName>
    <definedName name="shinsei_strtower03_prgo03_MAKER_NAME">DATA_StructuralCalc!$H$513</definedName>
    <definedName name="shinsei_strtower03_prgo03_NAME">DATA_StructuralCalc!$H$508</definedName>
    <definedName name="shinsei_strtower03_prgo03_NINTEI_DATE">DATA_StructuralCalc!$H$512</definedName>
    <definedName name="shinsei_strtower03_prgo03_NINTEI_NO">DATA_StructuralCalc!$H$511</definedName>
    <definedName name="shinsei_strtower03_prgo03_VER">DATA_StructuralCalc!$H$509</definedName>
    <definedName name="shinsei_strtower03_prgo04_MAKER_NAME">DATA_StructuralCalc!$H$528</definedName>
    <definedName name="shinsei_strtower03_prgo04_NAME">DATA_StructuralCalc!$H$523</definedName>
    <definedName name="shinsei_strtower03_prgo04_NINTEI_DATE">DATA_StructuralCalc!$H$527</definedName>
    <definedName name="shinsei_strtower03_prgo04_NINTEI_NO">DATA_StructuralCalc!$H$526</definedName>
    <definedName name="shinsei_strtower03_prgo04_VER">DATA_StructuralCalc!$H$524</definedName>
    <definedName name="shinsei_strtower03_prgo05_MAKER_NAME">DATA_StructuralCalc!$H$543</definedName>
    <definedName name="shinsei_strtower03_prgo05_NAME">DATA_StructuralCalc!$H$538</definedName>
    <definedName name="shinsei_strtower03_prgo05_NINTEI_DATE">DATA_StructuralCalc!$H$542</definedName>
    <definedName name="shinsei_strtower03_prgo05_NINTEI_NO">DATA_StructuralCalc!$H$541</definedName>
    <definedName name="shinsei_strtower03_prgo05_VER">DATA_StructuralCalc!$H$539</definedName>
    <definedName name="shinsei_strtower03_PROGRAM_KIND">DATA_StructuralCalc!$H$466</definedName>
    <definedName name="shinsei_strtower03_PROGRAM_KIND__hyouka__box">DATA_StructuralCalc!$H$469</definedName>
    <definedName name="shinsei_strtower03_PROGRAM_KIND__nintei__box">DATA_StructuralCalc!$H$468</definedName>
    <definedName name="shinsei_strtower03_PROGRAM_KIND__sonota__box">DATA_StructuralCalc!$H$470</definedName>
    <definedName name="shinsei_strtower03_PROGRAM_KIND_SONOTA">DATA_StructuralCalc!$H$573</definedName>
    <definedName name="shinsei_strtower03_REI80_2_KOKUJI_TEXT">DATA_StructuralCalc!$H$467</definedName>
    <definedName name="shinsei_strtower03_STR_TOWER_NAME">DATA_StructuralCalc!$H$445</definedName>
    <definedName name="shinsei_strtower03_STR_TOWER_NO">DATA_StructuralCalc!$H$442</definedName>
    <definedName name="shinsei_strtower03_STR_TOWER_YOUTO_TEXT">DATA_StructuralCalc!$H$447</definedName>
    <definedName name="shinsei_strtower03_TOWER_NO">DATA_StructuralCalc!$H$441</definedName>
    <definedName name="shinsei_strtower04_BUILD_KUBUN">DATA_StructuralCalc!$H$596</definedName>
    <definedName name="shinsei_strtower04_BUILD_KUBUN_TEXT">DATA_StructuralCalc!$H$597</definedName>
    <definedName name="shinsei_strtower04_CHARGE">DATA_StructuralCalc!$H$698</definedName>
    <definedName name="shinsei_strtower04_CHARGE_KEISAN_NOTE">DATA_StructuralCalc!$H$703</definedName>
    <definedName name="shinsei_strtower04_CHARGE_SANTEI_MENSEKI">DATA_StructuralCalc!$H$702</definedName>
    <definedName name="shinsei_strtower04_CHARGE_TOTAL">DATA_StructuralCalc!$H$701</definedName>
    <definedName name="shinsei_strtower04_CHARGE_WARIMASHI">DATA_StructuralCalc!$H$700</definedName>
    <definedName name="shinsei_strtower04_DISK_FLAG">DATA_StructuralCalc!$H$697</definedName>
    <definedName name="shinsei_strtower04_JUDGE">DATA_StructuralCalc!$H$581</definedName>
    <definedName name="shinsei_strtower04_KAISU_TIJYOU">DATA_StructuralCalc!$H$593</definedName>
    <definedName name="shinsei_strtower04_KAISU_TIKA">DATA_StructuralCalc!$H$594</definedName>
    <definedName name="shinsei_strtower04_KAISU_TOUYA">DATA_StructuralCalc!$H$595</definedName>
    <definedName name="shinsei_strtower04_KEISAN_X_ROUTE">DATA_StructuralCalc!$H$705</definedName>
    <definedName name="shinsei_strtower04_KEISAN_Y_ROUTE">DATA_StructuralCalc!$H$706</definedName>
    <definedName name="shinsei_strtower04_KOUJI_TEXT">DATA_StructuralCalc!$H$583</definedName>
    <definedName name="shinsei_strtower04_KOUZOU">DATA_StructuralCalc!$H$584</definedName>
    <definedName name="shinsei_strtower04_KOUZOU_KEISAN">DATA_StructuralCalc!$H$586</definedName>
    <definedName name="shinsei_strtower04_KOUZOU_KEISAN_TEXT">DATA_StructuralCalc!$H$587</definedName>
    <definedName name="shinsei_strtower04_KOUZOU_TEXT">DATA_StructuralCalc!$H$585</definedName>
    <definedName name="shinsei_strtower04_MAX_NOKI_TAKASA">DATA_StructuralCalc!$H$591</definedName>
    <definedName name="shinsei_strtower04_MAX_TAKASA">DATA_StructuralCalc!$H$590</definedName>
    <definedName name="shinsei_strtower04_MENJYO_TEXT">DATA_StructuralCalc!$H$600</definedName>
    <definedName name="shinsei_strtower04_MENSEKI">DATA_StructuralCalc!$H$588</definedName>
    <definedName name="shinsei_strtower04_prgo01_MAKER_NAME">DATA_StructuralCalc!$H$612</definedName>
    <definedName name="shinsei_strtower04_prgo01_NAME">DATA_StructuralCalc!$H$607</definedName>
    <definedName name="shinsei_strtower04_prgo01_NINTEI_DATE">DATA_StructuralCalc!$H$611</definedName>
    <definedName name="shinsei_strtower04_prgo01_NINTEI_NO">DATA_StructuralCalc!$H$610</definedName>
    <definedName name="shinsei_strtower04_prgo01_VER">DATA_StructuralCalc!$H$608</definedName>
    <definedName name="shinsei_strtower04_prgo02_MAKER_NAME">DATA_StructuralCalc!$H$633</definedName>
    <definedName name="shinsei_strtower04_prgo02_NAME">DATA_StructuralCalc!$H$628</definedName>
    <definedName name="shinsei_strtower04_prgo02_NINTEI_DATE">DATA_StructuralCalc!$H$632</definedName>
    <definedName name="shinsei_strtower04_prgo02_NINTEI_NO">DATA_StructuralCalc!$H$631</definedName>
    <definedName name="shinsei_strtower04_prgo02_VER">DATA_StructuralCalc!$H$629</definedName>
    <definedName name="shinsei_strtower04_prgo03_MAKER_NAME">DATA_StructuralCalc!$H$648</definedName>
    <definedName name="shinsei_strtower04_prgo03_NAME">DATA_StructuralCalc!$H$643</definedName>
    <definedName name="shinsei_strtower04_prgo03_NINTEI_DATE">DATA_StructuralCalc!$H$647</definedName>
    <definedName name="shinsei_strtower04_prgo03_NINTEI_NO">DATA_StructuralCalc!$H$646</definedName>
    <definedName name="shinsei_strtower04_prgo03_VER">DATA_StructuralCalc!$H$644</definedName>
    <definedName name="shinsei_strtower04_prgo04_MAKER_NAME">DATA_StructuralCalc!$H$663</definedName>
    <definedName name="shinsei_strtower04_prgo04_NAME">DATA_StructuralCalc!$H$658</definedName>
    <definedName name="shinsei_strtower04_prgo04_NINTEI_DATE">DATA_StructuralCalc!$H$662</definedName>
    <definedName name="shinsei_strtower04_prgo04_NINTEI_NO">DATA_StructuralCalc!$H$661</definedName>
    <definedName name="shinsei_strtower04_prgo04_VER">DATA_StructuralCalc!$H$659</definedName>
    <definedName name="shinsei_strtower04_prgo05_MAKER_NAME">DATA_StructuralCalc!$H$678</definedName>
    <definedName name="shinsei_strtower04_prgo05_NAME">DATA_StructuralCalc!$H$673</definedName>
    <definedName name="shinsei_strtower04_prgo05_NINTEI_DATE">DATA_StructuralCalc!$H$677</definedName>
    <definedName name="shinsei_strtower04_prgo05_NINTEI_NO">DATA_StructuralCalc!$H$676</definedName>
    <definedName name="shinsei_strtower04_prgo05_VER">DATA_StructuralCalc!$H$674</definedName>
    <definedName name="shinsei_strtower04_PROGRAM_KIND">DATA_StructuralCalc!$H$601</definedName>
    <definedName name="shinsei_strtower04_PROGRAM_KIND__hyouka__box">DATA_StructuralCalc!$H$604</definedName>
    <definedName name="shinsei_strtower04_PROGRAM_KIND__nintei__box">DATA_StructuralCalc!$H$603</definedName>
    <definedName name="shinsei_strtower04_PROGRAM_KIND__sonota__box">DATA_StructuralCalc!$H$605</definedName>
    <definedName name="shinsei_strtower04_PROGRAM_KIND_SONOTA">DATA_StructuralCalc!$H$708</definedName>
    <definedName name="shinsei_strtower04_REI80_2_KOKUJI_TEXT">DATA_StructuralCalc!$H$602</definedName>
    <definedName name="shinsei_strtower04_STR_TOWER_NAME">DATA_StructuralCalc!$H$580</definedName>
    <definedName name="shinsei_strtower04_STR_TOWER_NO">DATA_StructuralCalc!$H$577</definedName>
    <definedName name="shinsei_strtower04_STR_TOWER_YOUTO_TEXT">DATA_StructuralCalc!$H$582</definedName>
    <definedName name="shinsei_strtower04_TOWER_NO">DATA_StructuralCalc!$H$576</definedName>
    <definedName name="shinsei_strtower05_BUILD_KUBUN">DATA_StructuralCalc!$H$731</definedName>
    <definedName name="shinsei_strtower05_BUILD_KUBUN_TEXT">DATA_StructuralCalc!$H$732</definedName>
    <definedName name="shinsei_strtower05_CHARGE">DATA_StructuralCalc!$H$833</definedName>
    <definedName name="shinsei_strtower05_CHARGE_KEISAN_NOTE">DATA_StructuralCalc!$H$838</definedName>
    <definedName name="shinsei_strtower05_CHARGE_SANTEI_MENSEKI">DATA_StructuralCalc!$H$837</definedName>
    <definedName name="shinsei_strtower05_CHARGE_TOTAL">DATA_StructuralCalc!$H$836</definedName>
    <definedName name="shinsei_strtower05_CHARGE_WARIMASHI">DATA_StructuralCalc!$H$835</definedName>
    <definedName name="shinsei_strtower05_DISK_FLAG">DATA_StructuralCalc!$H$832</definedName>
    <definedName name="shinsei_strtower05_JUDGE">DATA_StructuralCalc!$H$716</definedName>
    <definedName name="shinsei_strtower05_KAISU_TIJYOU">DATA_StructuralCalc!$H$728</definedName>
    <definedName name="shinsei_strtower05_KAISU_TIKA">DATA_StructuralCalc!$H$729</definedName>
    <definedName name="shinsei_strtower05_KAISU_TOUYA">DATA_StructuralCalc!$H$730</definedName>
    <definedName name="shinsei_strtower05_KEISAN_X_ROUTE">DATA_StructuralCalc!$H$840</definedName>
    <definedName name="shinsei_strtower05_KEISAN_Y_ROUTE">DATA_StructuralCalc!$H$841</definedName>
    <definedName name="shinsei_strtower05_KOUJI_TEXT">DATA_StructuralCalc!$H$718</definedName>
    <definedName name="shinsei_strtower05_KOUZOU">DATA_StructuralCalc!$H$719</definedName>
    <definedName name="shinsei_strtower05_KOUZOU_KEISAN">DATA_StructuralCalc!$H$721</definedName>
    <definedName name="shinsei_strtower05_KOUZOU_KEISAN_TEXT">DATA_StructuralCalc!$H$722</definedName>
    <definedName name="shinsei_strtower05_KOUZOU_TEXT">DATA_StructuralCalc!$H$720</definedName>
    <definedName name="shinsei_strtower05_MAX_NOKI_TAKASA">DATA_StructuralCalc!$H$726</definedName>
    <definedName name="shinsei_strtower05_MAX_TAKASA">DATA_StructuralCalc!$H$725</definedName>
    <definedName name="shinsei_strtower05_MENJYO_TEXT">DATA_StructuralCalc!$H$735</definedName>
    <definedName name="shinsei_strtower05_MENSEKI">DATA_StructuralCalc!$H$723</definedName>
    <definedName name="shinsei_strtower05_prgo01_MAKER_NAME">DATA_StructuralCalc!$H$747</definedName>
    <definedName name="shinsei_strtower05_prgo01_NAME">DATA_StructuralCalc!$H$742</definedName>
    <definedName name="shinsei_strtower05_prgo01_NINTEI_DATE">DATA_StructuralCalc!$H$746</definedName>
    <definedName name="shinsei_strtower05_prgo01_NINTEI_NO">DATA_StructuralCalc!$H$745</definedName>
    <definedName name="shinsei_strtower05_prgo01_VER">DATA_StructuralCalc!$H$743</definedName>
    <definedName name="shinsei_strtower05_prgo02_MAKER_NAME">DATA_StructuralCalc!$H$768</definedName>
    <definedName name="shinsei_strtower05_prgo02_NAME">DATA_StructuralCalc!$H$763</definedName>
    <definedName name="shinsei_strtower05_prgo02_NINTEI_DATE">DATA_StructuralCalc!$H$767</definedName>
    <definedName name="shinsei_strtower05_prgo02_NINTEI_NO">DATA_StructuralCalc!$H$766</definedName>
    <definedName name="shinsei_strtower05_prgo02_VER">DATA_StructuralCalc!$H$764</definedName>
    <definedName name="shinsei_strtower05_prgo03_MAKER_NAME">DATA_StructuralCalc!$H$783</definedName>
    <definedName name="shinsei_strtower05_prgo03_NAME">DATA_StructuralCalc!$H$778</definedName>
    <definedName name="shinsei_strtower05_prgo03_NINTEI_DATE">DATA_StructuralCalc!$H$782</definedName>
    <definedName name="shinsei_strtower05_prgo03_NINTEI_NO">DATA_StructuralCalc!$H$781</definedName>
    <definedName name="shinsei_strtower05_prgo03_VER">DATA_StructuralCalc!$H$779</definedName>
    <definedName name="shinsei_strtower05_prgo04_MAKER_NAME">DATA_StructuralCalc!$H$798</definedName>
    <definedName name="shinsei_strtower05_prgo04_NAME">DATA_StructuralCalc!$H$793</definedName>
    <definedName name="shinsei_strtower05_prgo04_NINTEI_DATE">DATA_StructuralCalc!$H$797</definedName>
    <definedName name="shinsei_strtower05_prgo04_NINTEI_NO">DATA_StructuralCalc!$H$796</definedName>
    <definedName name="shinsei_strtower05_prgo04_VER">DATA_StructuralCalc!$H$794</definedName>
    <definedName name="shinsei_strtower05_prgo05_MAKER_NAME">DATA_StructuralCalc!$H$813</definedName>
    <definedName name="shinsei_strtower05_prgo05_NAME">DATA_StructuralCalc!$H$808</definedName>
    <definedName name="shinsei_strtower05_prgo05_NINTEI_DATE">DATA_StructuralCalc!$H$812</definedName>
    <definedName name="shinsei_strtower05_prgo05_NINTEI_NO">DATA_StructuralCalc!$H$811</definedName>
    <definedName name="shinsei_strtower05_prgo05_VER">DATA_StructuralCalc!$H$809</definedName>
    <definedName name="shinsei_strtower05_PROGRAM_KIND">DATA_StructuralCalc!$H$736</definedName>
    <definedName name="shinsei_strtower05_PROGRAM_KIND__hyouka__box">DATA_StructuralCalc!$H$739</definedName>
    <definedName name="shinsei_strtower05_PROGRAM_KIND__nintei__box">DATA_StructuralCalc!$H$738</definedName>
    <definedName name="shinsei_strtower05_PROGRAM_KIND__sonota__box">DATA_StructuralCalc!$H$740</definedName>
    <definedName name="shinsei_strtower05_PROGRAM_KIND_SONOTA">DATA_StructuralCalc!$H$843</definedName>
    <definedName name="shinsei_strtower05_REI80_2_KOKUJI_TEXT">DATA_StructuralCalc!$H$737</definedName>
    <definedName name="shinsei_strtower05_STR_TOWER_NAME">DATA_StructuralCalc!$H$715</definedName>
    <definedName name="shinsei_strtower05_STR_TOWER_NO">DATA_StructuralCalc!$H$712</definedName>
    <definedName name="shinsei_strtower05_STR_TOWER_YOUTO_TEXT">DATA_StructuralCalc!$H$717</definedName>
    <definedName name="shinsei_strtower05_TOWER_NO">DATA_StructuralCalc!$H$711</definedName>
    <definedName name="shinsei_STRUCTRESULT_NOTIFY_BIKO">DATA!$H$1700</definedName>
    <definedName name="shinsei_STRUCTRESULT_NOTIFY_DATE">DATA!$H$1697</definedName>
    <definedName name="shinsei_STRUCTRESULT_NOTIFY_KOUFU_NAME">DATA!$H$1676</definedName>
    <definedName name="shinsei_STRUCTRESULT_NOTIFY_NO">DATA!$H$1698</definedName>
    <definedName name="shinsei_STRUCTRESULT_NOTIFY_RESULT">DATA!$H$1699</definedName>
    <definedName name="shinsei_TAISHIN_SHINDAN_FLAG">DATA_StructuralCalc!$H$11</definedName>
    <definedName name="shinsei_TARGET_KIND">DATA!$H$81</definedName>
    <definedName name="shinsei_TEKIHAN_KIKAN_CODE">DATA!$H$1677</definedName>
    <definedName name="shinsei_UKETUKE_NO">DATA!$H$1561</definedName>
    <definedName name="shinsei_UKETUKE_OFFICE_ID__ACCOUNT_NO">DATA!$H$39</definedName>
    <definedName name="shinsei_UKETUKE_OFFICE_ID__ACCOUNT_TYPE">DATA!$H$38</definedName>
    <definedName name="shinsei_UKETUKE_OFFICE_ID__ADDRESS">DATA!$H$30</definedName>
    <definedName name="shinsei_UKETUKE_OFFICE_ID__ADDRESS2">DATA!$H$31</definedName>
    <definedName name="shinsei_UKETUKE_OFFICE_ID__BANK_BRANCH_NAME">DATA!$H$37</definedName>
    <definedName name="shinsei_UKETUKE_OFFICE_ID__BANK_NAME">DATA!$H$36</definedName>
    <definedName name="shinsei_UKETUKE_OFFICE_ID__COMPANY_NAME">DATA!$H$26</definedName>
    <definedName name="shinsei_UKETUKE_OFFICE_ID__FAX">DATA!$H$34</definedName>
    <definedName name="shinsei_UKETUKE_OFFICE_ID__ID">DATA!$H$27</definedName>
    <definedName name="shinsei_UKETUKE_OFFICE_ID__OFFICE_NAME">DATA!$H$28</definedName>
    <definedName name="shinsei_UKETUKE_OFFICE_ID__POST_CODE">DATA!$H$29</definedName>
    <definedName name="shinsei_UKETUKE_OFFICE_ID__TEL">DATA!$H$33</definedName>
    <definedName name="shinsei_UNIT_COUNT">DATA!$H$1383</definedName>
    <definedName name="shinsei_WORK_88">DATA!$H$1416</definedName>
    <definedName name="shinsei_WORK_TYPE">DATA!$H$1435</definedName>
    <definedName name="shinseijudgehist_accept_isyou1_BEGIN_DATE">DATA!$H$53</definedName>
    <definedName name="shinseijudgehist_accept_isyou1_END_DATE">DATA!$H$54</definedName>
    <definedName name="shinseijudgehist_accept_isyou1_TANTO_USER_ID">DATA!$H$52</definedName>
    <definedName name="shinseijudgehist_accept_isyou2_TANTO_USER_ID">DATA!$H$55</definedName>
    <definedName name="shinseijudgehist_accept_isyou3_TANTO_USER_ID">DATA!$H$56</definedName>
    <definedName name="shinseijudgehist_accept_kouzou1_TANTO_USER_ID">DATA!$H$57</definedName>
    <definedName name="shinseijudgehist_accept_kouzou2_TANTO_USER_ID">DATA!$H$58</definedName>
    <definedName name="shinseijudgehist_accept_kouzou3_TANTO_USER_ID">DATA!$H$59</definedName>
    <definedName name="shinseijudgehist_accept_setubi1_TANTO_USER_ID">DATA!$H$60</definedName>
    <definedName name="shinseijudgehist_accept_setubi2_TANTO_USER_ID">DATA!$H$61</definedName>
    <definedName name="shinseijudgehist_accept_setubi3_TANTO_USER_ID">DATA!$H$62</definedName>
    <definedName name="shinseijudgehist_provo_isyou1_TANTO_USER_ID">DATA!$H$64</definedName>
    <definedName name="shinseijudgehist_provo_isyou2_TANTO_USER_ID">DATA!$H$65</definedName>
    <definedName name="shinseijudgehist_provo_kouzou1_TANTO_USER_ID">DATA!$H$66</definedName>
    <definedName name="suit_OFFICE_DAIHYOUSYA__notify_date">dDATA_cst!$I$8</definedName>
    <definedName name="suit_OFFICE_OFFICE_CORP_NAME__notify_date">dDATA_cst!$I$7</definedName>
  </definedNames>
  <calcPr calcId="191029"/>
</workbook>
</file>

<file path=xl/calcChain.xml><?xml version="1.0" encoding="utf-8"?>
<calcChain xmlns="http://schemas.openxmlformats.org/spreadsheetml/2006/main">
  <c r="J1555" i="3" l="1"/>
  <c r="F85" i="11"/>
  <c r="G85" i="11" l="1"/>
  <c r="Y21" i="11" l="1"/>
  <c r="Y22" i="11"/>
  <c r="Y23" i="11"/>
  <c r="Y24" i="11"/>
  <c r="Y25" i="11"/>
  <c r="J1554" i="3"/>
  <c r="J97" i="3"/>
  <c r="L97" i="3"/>
  <c r="K145" i="7"/>
  <c r="K144" i="7"/>
  <c r="K143" i="7"/>
  <c r="K142" i="7"/>
  <c r="J1494" i="3"/>
  <c r="L1494" i="3"/>
  <c r="J1495" i="3"/>
  <c r="J1619" i="3" s="1"/>
  <c r="J1325" i="3"/>
  <c r="J1498" i="3"/>
  <c r="J1563" i="3"/>
  <c r="J1662" i="3"/>
  <c r="J1661" i="3"/>
  <c r="J1660" i="3"/>
  <c r="AG81" i="122"/>
  <c r="AF81" i="122"/>
  <c r="AE81" i="122"/>
  <c r="AD81" i="122"/>
  <c r="AC81" i="122"/>
  <c r="AB81" i="122"/>
  <c r="Y81" i="122"/>
  <c r="V81" i="122"/>
  <c r="U81" i="122"/>
  <c r="T81" i="122"/>
  <c r="S81" i="122"/>
  <c r="R81" i="122"/>
  <c r="Q81" i="122"/>
  <c r="P81" i="122"/>
  <c r="AG80" i="122"/>
  <c r="AF80" i="122"/>
  <c r="AE80" i="122"/>
  <c r="AD80" i="122"/>
  <c r="AC80" i="122"/>
  <c r="AB80" i="122"/>
  <c r="Y80" i="122"/>
  <c r="V80" i="122"/>
  <c r="U80" i="122"/>
  <c r="T80" i="122"/>
  <c r="S80" i="122"/>
  <c r="R80" i="122"/>
  <c r="Q80" i="122"/>
  <c r="P80" i="122"/>
  <c r="AG79" i="122"/>
  <c r="AF79" i="122"/>
  <c r="AE79" i="122"/>
  <c r="AD79" i="122"/>
  <c r="AC79" i="122"/>
  <c r="AB79" i="122"/>
  <c r="Y79" i="122"/>
  <c r="V79" i="122"/>
  <c r="U79" i="122"/>
  <c r="T79" i="122"/>
  <c r="S79" i="122"/>
  <c r="R79" i="122"/>
  <c r="Q79" i="122"/>
  <c r="P79" i="122"/>
  <c r="AG78" i="122"/>
  <c r="AF78" i="122"/>
  <c r="AE78" i="122"/>
  <c r="AD78" i="122"/>
  <c r="AC78" i="122"/>
  <c r="AB78" i="122"/>
  <c r="Y78" i="122"/>
  <c r="V78" i="122"/>
  <c r="U78" i="122"/>
  <c r="T78" i="122"/>
  <c r="S78" i="122"/>
  <c r="R78" i="122"/>
  <c r="Q78" i="122"/>
  <c r="P78" i="122"/>
  <c r="AG77" i="122"/>
  <c r="AF77" i="122"/>
  <c r="AE77" i="122"/>
  <c r="AD77" i="122"/>
  <c r="AC77" i="122"/>
  <c r="AB77" i="122"/>
  <c r="Y77" i="122"/>
  <c r="V77" i="122"/>
  <c r="U77" i="122"/>
  <c r="T77" i="122"/>
  <c r="S77" i="122"/>
  <c r="R77" i="122"/>
  <c r="Q77" i="122"/>
  <c r="AG76" i="122"/>
  <c r="AF76" i="122"/>
  <c r="AE76" i="122"/>
  <c r="AD76" i="122"/>
  <c r="AC76" i="122"/>
  <c r="AB76" i="122"/>
  <c r="Y76" i="122"/>
  <c r="V76" i="122"/>
  <c r="U76" i="122"/>
  <c r="T76" i="122"/>
  <c r="R76" i="122"/>
  <c r="Q76" i="122"/>
  <c r="P76" i="122"/>
  <c r="AG75" i="122"/>
  <c r="AF75" i="122"/>
  <c r="AE75" i="122"/>
  <c r="AD75" i="122"/>
  <c r="AC75" i="122"/>
  <c r="AB75" i="122"/>
  <c r="Y75" i="122"/>
  <c r="V75" i="122"/>
  <c r="R75" i="122"/>
  <c r="Q75" i="122"/>
  <c r="P75" i="122"/>
  <c r="AG74" i="122"/>
  <c r="AF74" i="122"/>
  <c r="AE74" i="122"/>
  <c r="AD74" i="122"/>
  <c r="AC74" i="122"/>
  <c r="AB74" i="122"/>
  <c r="Y74" i="122"/>
  <c r="V74" i="122"/>
  <c r="R74" i="122"/>
  <c r="Q74" i="122"/>
  <c r="P74" i="122"/>
  <c r="AG73" i="122"/>
  <c r="AF73" i="122"/>
  <c r="AE73" i="122"/>
  <c r="AD73" i="122"/>
  <c r="AC73" i="122"/>
  <c r="AB73" i="122"/>
  <c r="Y73" i="122"/>
  <c r="V73" i="122"/>
  <c r="R73" i="122"/>
  <c r="Q73" i="122"/>
  <c r="P73" i="122"/>
  <c r="AG72" i="122"/>
  <c r="AF72" i="122"/>
  <c r="AD72" i="122"/>
  <c r="AC72" i="122"/>
  <c r="AB72" i="122"/>
  <c r="Y72" i="122"/>
  <c r="V72" i="122"/>
  <c r="U72" i="122"/>
  <c r="T72" i="122"/>
  <c r="S72" i="122"/>
  <c r="R72" i="122"/>
  <c r="Q72" i="122"/>
  <c r="P72" i="122"/>
  <c r="AG71" i="122"/>
  <c r="AF71" i="122"/>
  <c r="AE71" i="122"/>
  <c r="AD71" i="122"/>
  <c r="AC71" i="122"/>
  <c r="AB71" i="122"/>
  <c r="V71" i="122"/>
  <c r="U71" i="122"/>
  <c r="T71" i="122"/>
  <c r="S71" i="122"/>
  <c r="R71" i="122"/>
  <c r="Q71" i="122"/>
  <c r="P71" i="122"/>
  <c r="AD70" i="122"/>
  <c r="AC70" i="122"/>
  <c r="AB70" i="122"/>
  <c r="V70" i="122"/>
  <c r="U70" i="122"/>
  <c r="T70" i="122"/>
  <c r="S70" i="122"/>
  <c r="R70" i="122"/>
  <c r="Q70" i="122"/>
  <c r="P70" i="122"/>
  <c r="AG69" i="122"/>
  <c r="AF69" i="122"/>
  <c r="AE69" i="122"/>
  <c r="AD69" i="122"/>
  <c r="AC69" i="122"/>
  <c r="AB69" i="122"/>
  <c r="V69" i="122"/>
  <c r="U69" i="122"/>
  <c r="T69" i="122"/>
  <c r="S69" i="122"/>
  <c r="R69" i="122"/>
  <c r="Q69" i="122"/>
  <c r="P69" i="122"/>
  <c r="AG68" i="122"/>
  <c r="AF68" i="122"/>
  <c r="AE68" i="122"/>
  <c r="AD68" i="122"/>
  <c r="AC68" i="122"/>
  <c r="AB68" i="122"/>
  <c r="V68" i="122"/>
  <c r="U68" i="122"/>
  <c r="T68" i="122"/>
  <c r="S68" i="122"/>
  <c r="R68" i="122"/>
  <c r="Q68" i="122"/>
  <c r="P68" i="122"/>
  <c r="AG67" i="122"/>
  <c r="AF67" i="122"/>
  <c r="AE67" i="122"/>
  <c r="Y67" i="122"/>
  <c r="U67" i="122"/>
  <c r="T67" i="122"/>
  <c r="S67" i="122"/>
  <c r="R67" i="122"/>
  <c r="Q67" i="122"/>
  <c r="P67" i="122"/>
  <c r="AG66" i="122"/>
  <c r="AF66" i="122"/>
  <c r="AE66" i="122"/>
  <c r="Y66" i="122"/>
  <c r="U66" i="122"/>
  <c r="T66" i="122"/>
  <c r="S66" i="122"/>
  <c r="R66" i="122"/>
  <c r="Q66" i="122"/>
  <c r="P66" i="122"/>
  <c r="AG65" i="122"/>
  <c r="AF65" i="122"/>
  <c r="AE65" i="122"/>
  <c r="AD65" i="122"/>
  <c r="AC65" i="122"/>
  <c r="AB65" i="122"/>
  <c r="V65" i="122"/>
  <c r="U65" i="122"/>
  <c r="T65" i="122"/>
  <c r="S65" i="122"/>
  <c r="R65" i="122"/>
  <c r="Q65" i="122"/>
  <c r="P65" i="122"/>
  <c r="AG64" i="122"/>
  <c r="AF64" i="122"/>
  <c r="AE64" i="122"/>
  <c r="AD64" i="122"/>
  <c r="AC64" i="122"/>
  <c r="Y64" i="122"/>
  <c r="V64" i="122"/>
  <c r="U64" i="122"/>
  <c r="T64" i="122"/>
  <c r="S64" i="122"/>
  <c r="R64" i="122"/>
  <c r="Q64" i="122"/>
  <c r="P64" i="122"/>
  <c r="AG63" i="122"/>
  <c r="AF63" i="122"/>
  <c r="AD63" i="122"/>
  <c r="AC63" i="122"/>
  <c r="AB63" i="122"/>
  <c r="V63" i="122"/>
  <c r="U63" i="122"/>
  <c r="T63" i="122"/>
  <c r="S63" i="122"/>
  <c r="R63" i="122"/>
  <c r="Q63" i="122"/>
  <c r="P63" i="122"/>
  <c r="AG62" i="122"/>
  <c r="AF62" i="122"/>
  <c r="AE62" i="122"/>
  <c r="AD62" i="122"/>
  <c r="AC62" i="122"/>
  <c r="AB62" i="122"/>
  <c r="Y62" i="122"/>
  <c r="U62" i="122"/>
  <c r="T62" i="122"/>
  <c r="S62" i="122"/>
  <c r="R62" i="122"/>
  <c r="Q62" i="122"/>
  <c r="P62" i="122"/>
  <c r="AG61" i="122"/>
  <c r="AF61" i="122"/>
  <c r="AE61" i="122"/>
  <c r="AD61" i="122"/>
  <c r="AC61" i="122"/>
  <c r="AB61" i="122"/>
  <c r="U61" i="122"/>
  <c r="T61" i="122"/>
  <c r="S61" i="122"/>
  <c r="R61" i="122"/>
  <c r="Q61" i="122"/>
  <c r="P61" i="122"/>
  <c r="AG60" i="122"/>
  <c r="AF60" i="122"/>
  <c r="AE60" i="122"/>
  <c r="AD60" i="122"/>
  <c r="AC60" i="122"/>
  <c r="AB60" i="122"/>
  <c r="U60" i="122"/>
  <c r="T60" i="122"/>
  <c r="S60" i="122"/>
  <c r="R60" i="122"/>
  <c r="Q60" i="122"/>
  <c r="P60" i="122"/>
  <c r="AG59" i="122"/>
  <c r="AF59" i="122"/>
  <c r="AE59" i="122"/>
  <c r="AD59" i="122"/>
  <c r="AC59" i="122"/>
  <c r="AB59" i="122"/>
  <c r="U59" i="122"/>
  <c r="T59" i="122"/>
  <c r="S59" i="122"/>
  <c r="R59" i="122"/>
  <c r="Q59" i="122"/>
  <c r="P59" i="122"/>
  <c r="AG58" i="122"/>
  <c r="AF58" i="122"/>
  <c r="AE58" i="122"/>
  <c r="AD58" i="122"/>
  <c r="AC58" i="122"/>
  <c r="AB58" i="122"/>
  <c r="U58" i="122"/>
  <c r="T58" i="122"/>
  <c r="S58" i="122"/>
  <c r="R58" i="122"/>
  <c r="Q58" i="122"/>
  <c r="P58" i="122"/>
  <c r="AG57" i="122"/>
  <c r="AF57" i="122"/>
  <c r="AE57" i="122"/>
  <c r="AD57" i="122"/>
  <c r="AC57" i="122"/>
  <c r="AB57" i="122"/>
  <c r="Y57" i="122"/>
  <c r="V57" i="122"/>
  <c r="U57" i="122"/>
  <c r="T57" i="122"/>
  <c r="S57" i="122"/>
  <c r="R57" i="122"/>
  <c r="Q57" i="122"/>
  <c r="P57" i="122"/>
  <c r="AG56" i="122"/>
  <c r="AF56" i="122"/>
  <c r="AE56" i="122"/>
  <c r="AD56" i="122"/>
  <c r="AC56" i="122"/>
  <c r="AB56" i="122"/>
  <c r="Y56" i="122"/>
  <c r="V56" i="122"/>
  <c r="U56" i="122"/>
  <c r="T56" i="122"/>
  <c r="S56" i="122"/>
  <c r="R56" i="122"/>
  <c r="Q56" i="122"/>
  <c r="P56" i="122"/>
  <c r="AG55" i="122"/>
  <c r="AF55" i="122"/>
  <c r="AE55" i="122"/>
  <c r="AD55" i="122"/>
  <c r="AC55" i="122"/>
  <c r="AB55" i="122"/>
  <c r="Y55" i="122"/>
  <c r="V55" i="122"/>
  <c r="U55" i="122"/>
  <c r="T55" i="122"/>
  <c r="S55" i="122"/>
  <c r="R55" i="122"/>
  <c r="Q55" i="122"/>
  <c r="P55" i="122"/>
  <c r="AG54" i="122"/>
  <c r="AF54" i="122"/>
  <c r="AE54" i="122"/>
  <c r="AD54" i="122"/>
  <c r="AC54" i="122"/>
  <c r="AB54" i="122"/>
  <c r="Y54" i="122"/>
  <c r="V54" i="122"/>
  <c r="U54" i="122"/>
  <c r="T54" i="122"/>
  <c r="S54" i="122"/>
  <c r="R54" i="122"/>
  <c r="Q54" i="122"/>
  <c r="P54" i="122"/>
  <c r="AF53" i="122"/>
  <c r="AE53" i="122"/>
  <c r="AC53" i="122"/>
  <c r="AB53" i="122"/>
  <c r="Y53" i="122"/>
  <c r="V53" i="122"/>
  <c r="T53" i="122"/>
  <c r="S53" i="122"/>
  <c r="Q53" i="122"/>
  <c r="P53" i="122"/>
  <c r="AG52" i="122"/>
  <c r="AF52" i="122"/>
  <c r="AE52" i="122"/>
  <c r="AD52" i="122"/>
  <c r="AC52" i="122"/>
  <c r="AB52" i="122"/>
  <c r="Y52" i="122"/>
  <c r="V52" i="122"/>
  <c r="U52" i="122"/>
  <c r="S52" i="122"/>
  <c r="R52" i="122"/>
  <c r="Q52" i="122"/>
  <c r="AG51" i="122"/>
  <c r="AF51" i="122"/>
  <c r="AE51" i="122"/>
  <c r="AD51" i="122"/>
  <c r="AC51" i="122"/>
  <c r="AB51" i="122"/>
  <c r="Y51" i="122"/>
  <c r="V51" i="122"/>
  <c r="U51" i="122"/>
  <c r="T51" i="122"/>
  <c r="S51" i="122"/>
  <c r="R51" i="122"/>
  <c r="Q51" i="122"/>
  <c r="P51" i="122"/>
  <c r="AG50" i="122"/>
  <c r="AF50" i="122"/>
  <c r="AE50" i="122"/>
  <c r="AD50" i="122"/>
  <c r="AC50" i="122"/>
  <c r="AB50" i="122"/>
  <c r="Y50" i="122"/>
  <c r="V50" i="122"/>
  <c r="U50" i="122"/>
  <c r="T50" i="122"/>
  <c r="S50" i="122"/>
  <c r="R50" i="122"/>
  <c r="Q50" i="122"/>
  <c r="P50" i="122"/>
  <c r="AG49" i="122"/>
  <c r="AF49" i="122"/>
  <c r="AE49" i="122"/>
  <c r="AD49" i="122"/>
  <c r="AC49" i="122"/>
  <c r="AB49" i="122"/>
  <c r="Y49" i="122"/>
  <c r="V49" i="122"/>
  <c r="U49" i="122"/>
  <c r="T49" i="122"/>
  <c r="S49" i="122"/>
  <c r="R49" i="122"/>
  <c r="Q49" i="122"/>
  <c r="P49" i="122"/>
  <c r="AG48" i="122"/>
  <c r="AF48" i="122"/>
  <c r="AE48" i="122"/>
  <c r="AD48" i="122"/>
  <c r="AC48" i="122"/>
  <c r="AB48" i="122"/>
  <c r="Y48" i="122"/>
  <c r="V48" i="122"/>
  <c r="U48" i="122"/>
  <c r="T48" i="122"/>
  <c r="S48" i="122"/>
  <c r="R48" i="122"/>
  <c r="Q48" i="122"/>
  <c r="P48" i="122"/>
  <c r="AG47" i="122"/>
  <c r="AF47" i="122"/>
  <c r="AE47" i="122"/>
  <c r="AD47" i="122"/>
  <c r="AC47" i="122"/>
  <c r="AB47" i="122"/>
  <c r="Y47" i="122"/>
  <c r="V47" i="122"/>
  <c r="U47" i="122"/>
  <c r="T47" i="122"/>
  <c r="S47" i="122"/>
  <c r="R47" i="122"/>
  <c r="Q47" i="122"/>
  <c r="P47" i="122"/>
  <c r="AG46" i="122"/>
  <c r="AE46" i="122"/>
  <c r="AD46" i="122"/>
  <c r="AB46" i="122"/>
  <c r="Y46" i="122"/>
  <c r="V46" i="122"/>
  <c r="U46" i="122"/>
  <c r="S46" i="122"/>
  <c r="R46" i="122"/>
  <c r="P46" i="122"/>
  <c r="AG45" i="122"/>
  <c r="AF45" i="122"/>
  <c r="AD45" i="122"/>
  <c r="AC45" i="122"/>
  <c r="AB45" i="122"/>
  <c r="V45" i="122"/>
  <c r="U45" i="122"/>
  <c r="T45" i="122"/>
  <c r="R45" i="122"/>
  <c r="Q45" i="122"/>
  <c r="P45" i="122"/>
  <c r="AG44" i="122"/>
  <c r="AF44" i="122"/>
  <c r="AE44" i="122"/>
  <c r="AD44" i="122"/>
  <c r="AC44" i="122"/>
  <c r="AB44" i="122"/>
  <c r="Y44" i="122"/>
  <c r="V44" i="122"/>
  <c r="U44" i="122"/>
  <c r="R44" i="122"/>
  <c r="Q44" i="122"/>
  <c r="P44" i="122"/>
  <c r="AG43" i="122"/>
  <c r="AF43" i="122"/>
  <c r="AE43" i="122"/>
  <c r="AD43" i="122"/>
  <c r="AC43" i="122"/>
  <c r="AB43" i="122"/>
  <c r="Y43" i="122"/>
  <c r="V43" i="122"/>
  <c r="U43" i="122"/>
  <c r="T43" i="122"/>
  <c r="S43" i="122"/>
  <c r="R43" i="122"/>
  <c r="Q43" i="122"/>
  <c r="AG42" i="122"/>
  <c r="AF42" i="122"/>
  <c r="AE42" i="122"/>
  <c r="AD42" i="122"/>
  <c r="AC42" i="122"/>
  <c r="AB42" i="122"/>
  <c r="Y42" i="122"/>
  <c r="V42" i="122"/>
  <c r="U42" i="122"/>
  <c r="T42" i="122"/>
  <c r="S42" i="122"/>
  <c r="R42" i="122"/>
  <c r="Q42" i="122"/>
  <c r="AG41" i="122"/>
  <c r="AF41" i="122"/>
  <c r="AE41" i="122"/>
  <c r="AD41" i="122"/>
  <c r="AC41" i="122"/>
  <c r="AB41" i="122"/>
  <c r="Y41" i="122"/>
  <c r="V41" i="122"/>
  <c r="U41" i="122"/>
  <c r="T41" i="122"/>
  <c r="S41" i="122"/>
  <c r="R41" i="122"/>
  <c r="Q41" i="122"/>
  <c r="P41" i="122"/>
  <c r="AG40" i="122"/>
  <c r="AF40" i="122"/>
  <c r="AE40" i="122"/>
  <c r="AD40" i="122"/>
  <c r="AC40" i="122"/>
  <c r="AB40" i="122"/>
  <c r="Y40" i="122"/>
  <c r="V40" i="122"/>
  <c r="U40" i="122"/>
  <c r="T40" i="122"/>
  <c r="S40" i="122"/>
  <c r="R40" i="122"/>
  <c r="Q40" i="122"/>
  <c r="P40" i="122"/>
  <c r="AG39" i="122"/>
  <c r="AF39" i="122"/>
  <c r="AE39" i="122"/>
  <c r="AD39" i="122"/>
  <c r="AC39" i="122"/>
  <c r="AB39" i="122"/>
  <c r="Y39" i="122"/>
  <c r="V39" i="122"/>
  <c r="U39" i="122"/>
  <c r="T39" i="122"/>
  <c r="S39" i="122"/>
  <c r="R39" i="122"/>
  <c r="Q39" i="122"/>
  <c r="AG38" i="122"/>
  <c r="AF38" i="122"/>
  <c r="AE38" i="122"/>
  <c r="AD38" i="122"/>
  <c r="AC38" i="122"/>
  <c r="AB38" i="122"/>
  <c r="Y38" i="122"/>
  <c r="V38" i="122"/>
  <c r="U38" i="122"/>
  <c r="T38" i="122"/>
  <c r="S38" i="122"/>
  <c r="R38" i="122"/>
  <c r="Q38" i="122"/>
  <c r="P38" i="122"/>
  <c r="AG37" i="122"/>
  <c r="AF37" i="122"/>
  <c r="AE37" i="122"/>
  <c r="AD37" i="122"/>
  <c r="AC37" i="122"/>
  <c r="AB37" i="122"/>
  <c r="Y37" i="122"/>
  <c r="V37" i="122"/>
  <c r="U37" i="122"/>
  <c r="T37" i="122"/>
  <c r="R37" i="122"/>
  <c r="Q37" i="122"/>
  <c r="P37" i="122"/>
  <c r="AG36" i="122"/>
  <c r="AF36" i="122"/>
  <c r="AE36" i="122"/>
  <c r="AD36" i="122"/>
  <c r="AC36" i="122"/>
  <c r="AB36" i="122"/>
  <c r="Y36" i="122"/>
  <c r="V36" i="122"/>
  <c r="U36" i="122"/>
  <c r="T36" i="122"/>
  <c r="R36" i="122"/>
  <c r="Q36" i="122"/>
  <c r="P36" i="122"/>
  <c r="AG35" i="122"/>
  <c r="AF35" i="122"/>
  <c r="AE35" i="122"/>
  <c r="AD35" i="122"/>
  <c r="AC35" i="122"/>
  <c r="AB35" i="122"/>
  <c r="Y35" i="122"/>
  <c r="V35" i="122"/>
  <c r="U35" i="122"/>
  <c r="T35" i="122"/>
  <c r="R35" i="122"/>
  <c r="Q35" i="122"/>
  <c r="P35" i="122"/>
  <c r="AG34" i="122"/>
  <c r="AF34" i="122"/>
  <c r="AE34" i="122"/>
  <c r="AD34" i="122"/>
  <c r="AC34" i="122"/>
  <c r="AB34" i="122"/>
  <c r="Y34" i="122"/>
  <c r="V34" i="122"/>
  <c r="U34" i="122"/>
  <c r="T34" i="122"/>
  <c r="R34" i="122"/>
  <c r="Q34" i="122"/>
  <c r="P34" i="122"/>
  <c r="AG33" i="122"/>
  <c r="AF33" i="122"/>
  <c r="AE33" i="122"/>
  <c r="AD33" i="122"/>
  <c r="AC33" i="122"/>
  <c r="AB33" i="122"/>
  <c r="Y33" i="122"/>
  <c r="V33" i="122"/>
  <c r="U33" i="122"/>
  <c r="T33" i="122"/>
  <c r="R33" i="122"/>
  <c r="Q33" i="122"/>
  <c r="P33" i="122"/>
  <c r="AG32" i="122"/>
  <c r="AF32" i="122"/>
  <c r="AE32" i="122"/>
  <c r="AD32" i="122"/>
  <c r="AC32" i="122"/>
  <c r="AB32" i="122"/>
  <c r="Y32" i="122"/>
  <c r="V32" i="122"/>
  <c r="U32" i="122"/>
  <c r="T32" i="122"/>
  <c r="R32" i="122"/>
  <c r="Q32" i="122"/>
  <c r="P32" i="122"/>
  <c r="AG31" i="122"/>
  <c r="AF31" i="122"/>
  <c r="AE31" i="122"/>
  <c r="AD31" i="122"/>
  <c r="AC31" i="122"/>
  <c r="AB31" i="122"/>
  <c r="Y31" i="122"/>
  <c r="V31" i="122"/>
  <c r="U31" i="122"/>
  <c r="T31" i="122"/>
  <c r="R31" i="122"/>
  <c r="Q31" i="122"/>
  <c r="P31" i="122"/>
  <c r="AG30" i="122"/>
  <c r="AF30" i="122"/>
  <c r="AE30" i="122"/>
  <c r="AD30" i="122"/>
  <c r="AC30" i="122"/>
  <c r="AB30" i="122"/>
  <c r="Y30" i="122"/>
  <c r="V30" i="122"/>
  <c r="U30" i="122"/>
  <c r="T30" i="122"/>
  <c r="R30" i="122"/>
  <c r="Q30" i="122"/>
  <c r="P30" i="122"/>
  <c r="AG29" i="122"/>
  <c r="AF29" i="122"/>
  <c r="AD29" i="122"/>
  <c r="AC29" i="122"/>
  <c r="AB29" i="122"/>
  <c r="V29" i="122"/>
  <c r="U29" i="122"/>
  <c r="T29" i="122"/>
  <c r="R29" i="122"/>
  <c r="Q29" i="122"/>
  <c r="P29" i="122"/>
  <c r="AG28" i="122"/>
  <c r="AF28" i="122"/>
  <c r="AD28" i="122"/>
  <c r="AC28" i="122"/>
  <c r="AB28" i="122"/>
  <c r="V28" i="122"/>
  <c r="U28" i="122"/>
  <c r="T28" i="122"/>
  <c r="R28" i="122"/>
  <c r="Q28" i="122"/>
  <c r="P28" i="122"/>
  <c r="AG27" i="122"/>
  <c r="AF27" i="122"/>
  <c r="AD27" i="122"/>
  <c r="AC27" i="122"/>
  <c r="AB27" i="122"/>
  <c r="V27" i="122"/>
  <c r="U27" i="122"/>
  <c r="T27" i="122"/>
  <c r="R27" i="122"/>
  <c r="Q27" i="122"/>
  <c r="P27" i="122"/>
  <c r="AG26" i="122"/>
  <c r="AF26" i="122"/>
  <c r="AD26" i="122"/>
  <c r="AC26" i="122"/>
  <c r="U26" i="122"/>
  <c r="T26" i="122"/>
  <c r="R26" i="122"/>
  <c r="Q26" i="122"/>
  <c r="AG25" i="122"/>
  <c r="AF25" i="122"/>
  <c r="AD25" i="122"/>
  <c r="AC25" i="122"/>
  <c r="U25" i="122"/>
  <c r="T25" i="122"/>
  <c r="R25" i="122"/>
  <c r="Q25" i="122"/>
  <c r="AD22" i="122"/>
  <c r="AC22" i="122"/>
  <c r="AB22" i="122"/>
  <c r="Y22" i="122"/>
  <c r="V22" i="122"/>
  <c r="U22" i="122"/>
  <c r="T22" i="122"/>
  <c r="S22" i="122"/>
  <c r="R22" i="122"/>
  <c r="Q22" i="122"/>
  <c r="P22" i="122"/>
  <c r="AG21" i="122"/>
  <c r="AF21" i="122"/>
  <c r="AE21" i="122"/>
  <c r="AD21" i="122"/>
  <c r="AC21" i="122"/>
  <c r="AB21" i="122"/>
  <c r="V21" i="122"/>
  <c r="U21" i="122"/>
  <c r="T21" i="122"/>
  <c r="S21" i="122"/>
  <c r="R21" i="122"/>
  <c r="Q21" i="122"/>
  <c r="P21" i="122"/>
  <c r="AD20" i="122"/>
  <c r="AC20" i="122"/>
  <c r="AB20" i="122"/>
  <c r="V20" i="122"/>
  <c r="R20" i="122"/>
  <c r="Q20" i="122"/>
  <c r="P20" i="122"/>
  <c r="AD19" i="122"/>
  <c r="AC19" i="122"/>
  <c r="AB19" i="122"/>
  <c r="V19" i="122"/>
  <c r="U19" i="122"/>
  <c r="T19" i="122"/>
  <c r="S19" i="122"/>
  <c r="R19" i="122"/>
  <c r="Q19" i="122"/>
  <c r="P19" i="122"/>
  <c r="AG17" i="122"/>
  <c r="AF17" i="122"/>
  <c r="AE17" i="122"/>
  <c r="AD17" i="122"/>
  <c r="AC17" i="122"/>
  <c r="AB17" i="122"/>
  <c r="Y17" i="122"/>
  <c r="V17" i="122"/>
  <c r="U17" i="122"/>
  <c r="T17" i="122"/>
  <c r="S17" i="122"/>
  <c r="R17" i="122"/>
  <c r="Q17" i="122"/>
  <c r="P17" i="122"/>
  <c r="AG16" i="122"/>
  <c r="AF16" i="122"/>
  <c r="AE16" i="122"/>
  <c r="Y16" i="122"/>
  <c r="U16" i="122"/>
  <c r="T16" i="122"/>
  <c r="S16" i="122"/>
  <c r="AG15" i="122"/>
  <c r="AF15" i="122"/>
  <c r="AE15" i="122"/>
  <c r="Y15" i="122"/>
  <c r="U15" i="122"/>
  <c r="T15" i="122"/>
  <c r="S15" i="122"/>
  <c r="AG14" i="122"/>
  <c r="AF14" i="122"/>
  <c r="AE14" i="122"/>
  <c r="AD14" i="122"/>
  <c r="AC14" i="122"/>
  <c r="AB14" i="122"/>
  <c r="Y14" i="122"/>
  <c r="V14" i="122"/>
  <c r="U14" i="122"/>
  <c r="T14" i="122"/>
  <c r="R14" i="122"/>
  <c r="Q14" i="122"/>
  <c r="P14" i="122"/>
  <c r="AG13" i="122"/>
  <c r="AF13" i="122"/>
  <c r="AE13" i="122"/>
  <c r="AD13" i="122"/>
  <c r="AC13" i="122"/>
  <c r="AB13" i="122"/>
  <c r="Y13" i="122"/>
  <c r="V13" i="122"/>
  <c r="U13" i="122"/>
  <c r="T13" i="122"/>
  <c r="R13" i="122"/>
  <c r="Q13" i="122"/>
  <c r="P13" i="122"/>
  <c r="AD12" i="122"/>
  <c r="AC12" i="122"/>
  <c r="AB12" i="122"/>
  <c r="V12" i="122"/>
  <c r="R12" i="122"/>
  <c r="Q12" i="122"/>
  <c r="P12" i="122"/>
  <c r="AD11" i="122"/>
  <c r="AC11" i="122"/>
  <c r="AB11" i="122"/>
  <c r="V11" i="122"/>
  <c r="R11" i="122"/>
  <c r="Q11" i="122"/>
  <c r="P11" i="122"/>
  <c r="AD10" i="122"/>
  <c r="AC10" i="122"/>
  <c r="AB10" i="122"/>
  <c r="V10" i="122"/>
  <c r="R10" i="122"/>
  <c r="Q10" i="122"/>
  <c r="P10" i="122"/>
  <c r="AD9" i="122"/>
  <c r="AC9" i="122"/>
  <c r="AB9" i="122"/>
  <c r="V9" i="122"/>
  <c r="R9" i="122"/>
  <c r="Q9" i="122"/>
  <c r="P9" i="122"/>
  <c r="AG8" i="122"/>
  <c r="AF8" i="122"/>
  <c r="AE8" i="122"/>
  <c r="Y8" i="122"/>
  <c r="U8" i="122"/>
  <c r="T8" i="122"/>
  <c r="S8" i="122"/>
  <c r="AG7" i="122"/>
  <c r="AF7" i="122"/>
  <c r="AD7" i="122"/>
  <c r="AC7" i="122"/>
  <c r="U7" i="122"/>
  <c r="T7" i="122"/>
  <c r="R7" i="122"/>
  <c r="Q7" i="122"/>
  <c r="AG6" i="122"/>
  <c r="AF6" i="122"/>
  <c r="AD6" i="122"/>
  <c r="AC6" i="122"/>
  <c r="U6" i="122"/>
  <c r="T6" i="122"/>
  <c r="R6" i="122"/>
  <c r="Q6" i="122"/>
  <c r="P52" i="122"/>
  <c r="N77" i="122"/>
  <c r="P77" i="122" s="1"/>
  <c r="I238" i="7"/>
  <c r="J1637" i="3"/>
  <c r="J1636" i="3"/>
  <c r="J1635" i="3"/>
  <c r="I247" i="7"/>
  <c r="J234" i="7"/>
  <c r="J1800" i="3"/>
  <c r="J2296" i="3"/>
  <c r="J2294" i="3"/>
  <c r="I239" i="4"/>
  <c r="J231" i="3"/>
  <c r="A87" i="10"/>
  <c r="A92" i="10" s="1"/>
  <c r="A97" i="10" s="1"/>
  <c r="A102" i="10" s="1"/>
  <c r="A107" i="10" s="1"/>
  <c r="A112" i="10" s="1"/>
  <c r="A117" i="10" s="1"/>
  <c r="A123" i="10" s="1"/>
  <c r="A130" i="10" s="1"/>
  <c r="A135" i="10" s="1"/>
  <c r="A140" i="10" s="1"/>
  <c r="A146" i="10" s="1"/>
  <c r="A153" i="10" s="1"/>
  <c r="A158" i="10" s="1"/>
  <c r="A164" i="10" s="1"/>
  <c r="A169" i="10" s="1"/>
  <c r="A174" i="10" s="1"/>
  <c r="A179" i="10" s="1"/>
  <c r="A184" i="10" s="1"/>
  <c r="A189" i="10" s="1"/>
  <c r="A194" i="10" s="1"/>
  <c r="A199" i="10" s="1"/>
  <c r="A204" i="10" s="1"/>
  <c r="A209" i="10" s="1"/>
  <c r="A214" i="10" s="1"/>
  <c r="A219" i="10" s="1"/>
  <c r="A224" i="10" s="1"/>
  <c r="A229" i="10" s="1"/>
  <c r="A234" i="10" s="1"/>
  <c r="A240" i="10" s="1"/>
  <c r="A245" i="10" s="1"/>
  <c r="A250" i="10" s="1"/>
  <c r="A255" i="10" s="1"/>
  <c r="A260" i="10" s="1"/>
  <c r="A265" i="10" s="1"/>
  <c r="A271" i="10" s="1"/>
  <c r="A276" i="10" s="1"/>
  <c r="A281" i="10" s="1"/>
  <c r="A286" i="10" s="1"/>
  <c r="A291" i="10" s="1"/>
  <c r="A296" i="10" s="1"/>
  <c r="A301" i="10" s="1"/>
  <c r="A306" i="10" s="1"/>
  <c r="J130" i="3"/>
  <c r="J1290" i="3"/>
  <c r="J1289" i="3"/>
  <c r="J1288" i="3"/>
  <c r="J588" i="3"/>
  <c r="J587" i="3"/>
  <c r="J586" i="3"/>
  <c r="J585" i="3"/>
  <c r="J584" i="3"/>
  <c r="J583" i="3"/>
  <c r="J582" i="3"/>
  <c r="J581" i="3"/>
  <c r="J580" i="3"/>
  <c r="J564" i="3"/>
  <c r="J563" i="3"/>
  <c r="J562" i="3"/>
  <c r="J561" i="3"/>
  <c r="J560" i="3"/>
  <c r="J559" i="3"/>
  <c r="J558" i="3"/>
  <c r="J557" i="3"/>
  <c r="J556" i="3"/>
  <c r="I44" i="4"/>
  <c r="J87" i="3"/>
  <c r="I210" i="7"/>
  <c r="J1405" i="3"/>
  <c r="I70" i="4"/>
  <c r="J1714" i="3"/>
  <c r="J1248" i="3"/>
  <c r="J1246" i="3"/>
  <c r="J1644" i="3"/>
  <c r="J1647" i="3"/>
  <c r="J1648" i="3" s="1"/>
  <c r="J1646" i="3" s="1"/>
  <c r="J1612" i="3"/>
  <c r="J1613" i="3" s="1"/>
  <c r="J1614" i="3" s="1"/>
  <c r="I166" i="7"/>
  <c r="I165" i="7"/>
  <c r="J1588" i="3"/>
  <c r="N76" i="122"/>
  <c r="S76" i="122" s="1"/>
  <c r="J1338" i="3"/>
  <c r="J1388" i="3"/>
  <c r="N75" i="122"/>
  <c r="U75" i="122" s="1"/>
  <c r="N74" i="122"/>
  <c r="U74" i="122" s="1"/>
  <c r="A75" i="122"/>
  <c r="A74" i="122"/>
  <c r="N73" i="122"/>
  <c r="T73" i="122" s="1"/>
  <c r="A78" i="122"/>
  <c r="A77" i="122"/>
  <c r="A76" i="122"/>
  <c r="J1483" i="3"/>
  <c r="I25" i="4"/>
  <c r="J379" i="3"/>
  <c r="J378" i="3"/>
  <c r="J377" i="3"/>
  <c r="J376" i="3"/>
  <c r="J375" i="3"/>
  <c r="J374" i="3"/>
  <c r="J373" i="3"/>
  <c r="J428" i="3" s="1"/>
  <c r="J369" i="3"/>
  <c r="J368" i="3"/>
  <c r="J367" i="3"/>
  <c r="J366" i="3"/>
  <c r="J365" i="3"/>
  <c r="J364" i="3"/>
  <c r="J363" i="3"/>
  <c r="J359" i="3"/>
  <c r="J358" i="3"/>
  <c r="J357" i="3"/>
  <c r="J356" i="3"/>
  <c r="J355" i="3"/>
  <c r="J354" i="3"/>
  <c r="J353" i="3"/>
  <c r="J410" i="3" s="1"/>
  <c r="J349" i="3"/>
  <c r="J348" i="3"/>
  <c r="J347" i="3"/>
  <c r="J346" i="3"/>
  <c r="J345" i="3"/>
  <c r="J291" i="3"/>
  <c r="J292" i="3"/>
  <c r="J293" i="3"/>
  <c r="J294" i="3"/>
  <c r="J295" i="3"/>
  <c r="J296" i="3"/>
  <c r="J299" i="3"/>
  <c r="J300" i="3"/>
  <c r="J301" i="3"/>
  <c r="J302" i="3"/>
  <c r="J303" i="3"/>
  <c r="J304" i="3"/>
  <c r="J307" i="3"/>
  <c r="J308" i="3"/>
  <c r="J309" i="3"/>
  <c r="J310" i="3"/>
  <c r="J311" i="3"/>
  <c r="J312" i="3"/>
  <c r="J315" i="3"/>
  <c r="J316" i="3"/>
  <c r="J317" i="3"/>
  <c r="J318" i="3"/>
  <c r="J319" i="3"/>
  <c r="J320" i="3"/>
  <c r="J323" i="3"/>
  <c r="J324" i="3"/>
  <c r="J325" i="3"/>
  <c r="J326" i="3"/>
  <c r="J327" i="3"/>
  <c r="J328" i="3"/>
  <c r="J331" i="3"/>
  <c r="J332" i="3"/>
  <c r="J333" i="3"/>
  <c r="J334" i="3"/>
  <c r="J335" i="3"/>
  <c r="J336" i="3"/>
  <c r="J344" i="3"/>
  <c r="N44" i="122"/>
  <c r="S44" i="122" s="1"/>
  <c r="N43" i="122"/>
  <c r="P43" i="122" s="1"/>
  <c r="A44" i="122"/>
  <c r="A43" i="122"/>
  <c r="J1712" i="3"/>
  <c r="J1710" i="3"/>
  <c r="J545" i="3"/>
  <c r="J544" i="3"/>
  <c r="J614" i="3" s="1"/>
  <c r="J576" i="3"/>
  <c r="J575" i="3"/>
  <c r="J574" i="3"/>
  <c r="J573" i="3"/>
  <c r="J572" i="3"/>
  <c r="J571" i="3"/>
  <c r="J570" i="3"/>
  <c r="J569" i="3"/>
  <c r="J568" i="3"/>
  <c r="J552" i="3"/>
  <c r="J551" i="3"/>
  <c r="J550" i="3"/>
  <c r="J549" i="3"/>
  <c r="J548" i="3"/>
  <c r="J547" i="3"/>
  <c r="J546" i="3"/>
  <c r="J343" i="3"/>
  <c r="J401" i="3" s="1"/>
  <c r="J1335" i="3"/>
  <c r="K1273" i="3"/>
  <c r="J1275" i="3"/>
  <c r="J145" i="3"/>
  <c r="J699" i="3"/>
  <c r="N6" i="122"/>
  <c r="N13" i="122"/>
  <c r="S13" i="122" s="1"/>
  <c r="N14" i="122"/>
  <c r="S14" i="122" s="1"/>
  <c r="J1620" i="3"/>
  <c r="I35" i="4"/>
  <c r="I34" i="4"/>
  <c r="I31" i="4"/>
  <c r="J1365" i="3"/>
  <c r="J1364" i="3"/>
  <c r="J1366" i="3"/>
  <c r="N16" i="122"/>
  <c r="AC16" i="122" s="1"/>
  <c r="N72" i="122"/>
  <c r="AE72" i="122" s="1"/>
  <c r="A79" i="122"/>
  <c r="A73" i="122"/>
  <c r="A16" i="122"/>
  <c r="A72" i="122"/>
  <c r="N71" i="122"/>
  <c r="Y71" i="122" s="1"/>
  <c r="N70" i="122"/>
  <c r="AE70" i="122" s="1"/>
  <c r="N22" i="122"/>
  <c r="N21" i="122"/>
  <c r="Y21" i="122" s="1"/>
  <c r="N69" i="122"/>
  <c r="Y69" i="122" s="1"/>
  <c r="N68" i="122"/>
  <c r="Y68" i="122" s="1"/>
  <c r="N67" i="122"/>
  <c r="AB67" i="122" s="1"/>
  <c r="N66" i="122"/>
  <c r="AD66" i="122" s="1"/>
  <c r="N65" i="122"/>
  <c r="Y65" i="122" s="1"/>
  <c r="N52" i="122"/>
  <c r="T52" i="122" s="1"/>
  <c r="A81" i="122"/>
  <c r="A80" i="122"/>
  <c r="A71" i="122"/>
  <c r="A70" i="122"/>
  <c r="A22" i="122"/>
  <c r="A21" i="122"/>
  <c r="A69" i="122"/>
  <c r="A68" i="122"/>
  <c r="A67" i="122"/>
  <c r="A66" i="122"/>
  <c r="A65" i="122"/>
  <c r="A19" i="122"/>
  <c r="J1384" i="3"/>
  <c r="O14" i="122" s="1"/>
  <c r="J1383" i="3"/>
  <c r="O13" i="122" s="1"/>
  <c r="A52" i="122"/>
  <c r="A14" i="122"/>
  <c r="A13" i="122"/>
  <c r="J147" i="3"/>
  <c r="J1372" i="3"/>
  <c r="J2018" i="3"/>
  <c r="J2015" i="3"/>
  <c r="J2014" i="3"/>
  <c r="J2013" i="3"/>
  <c r="J2012" i="3"/>
  <c r="J2011" i="3"/>
  <c r="J2010" i="3"/>
  <c r="J1902" i="3"/>
  <c r="J1901" i="3"/>
  <c r="J1900" i="3"/>
  <c r="J1899" i="3"/>
  <c r="J1896" i="3"/>
  <c r="J1893" i="3"/>
  <c r="J1892" i="3"/>
  <c r="J1891" i="3"/>
  <c r="J1890" i="3"/>
  <c r="J1889" i="3"/>
  <c r="J1821" i="3"/>
  <c r="J1820" i="3"/>
  <c r="J1819" i="3"/>
  <c r="J1818" i="3"/>
  <c r="J1817" i="3"/>
  <c r="J1812" i="3"/>
  <c r="J1811" i="3"/>
  <c r="J1810" i="3"/>
  <c r="J1824" i="3" s="1"/>
  <c r="J1809" i="3"/>
  <c r="J1792" i="3"/>
  <c r="J1430" i="3"/>
  <c r="J1404" i="3"/>
  <c r="J1269" i="3"/>
  <c r="J1267" i="3"/>
  <c r="J1150" i="3"/>
  <c r="J1149" i="3"/>
  <c r="J1148" i="3"/>
  <c r="J1147" i="3"/>
  <c r="J1146" i="3"/>
  <c r="J1145" i="3"/>
  <c r="J1144" i="3"/>
  <c r="J997" i="3"/>
  <c r="J996" i="3"/>
  <c r="J995" i="3"/>
  <c r="J994" i="3"/>
  <c r="J993" i="3"/>
  <c r="J992" i="3"/>
  <c r="J991" i="3"/>
  <c r="J989" i="3"/>
  <c r="J988" i="3"/>
  <c r="J987" i="3"/>
  <c r="J986" i="3"/>
  <c r="J816" i="3"/>
  <c r="J815" i="3"/>
  <c r="J814" i="3"/>
  <c r="J813" i="3"/>
  <c r="J812" i="3"/>
  <c r="J811" i="3"/>
  <c r="J810" i="3"/>
  <c r="J808" i="3"/>
  <c r="J807" i="3"/>
  <c r="J806" i="3"/>
  <c r="J805" i="3"/>
  <c r="J721" i="3"/>
  <c r="J720" i="3"/>
  <c r="J719" i="3"/>
  <c r="J718" i="3"/>
  <c r="J717" i="3"/>
  <c r="J716" i="3"/>
  <c r="J715" i="3"/>
  <c r="J714" i="3"/>
  <c r="J712" i="3"/>
  <c r="J711" i="3"/>
  <c r="J710" i="3"/>
  <c r="J709" i="3"/>
  <c r="J476" i="3"/>
  <c r="J475" i="3"/>
  <c r="J474" i="3"/>
  <c r="J473" i="3"/>
  <c r="J472" i="3"/>
  <c r="J471" i="3"/>
  <c r="J470" i="3"/>
  <c r="J254" i="3"/>
  <c r="J253" i="3"/>
  <c r="J252" i="3"/>
  <c r="J251" i="3"/>
  <c r="J168" i="3"/>
  <c r="I62" i="7" s="1"/>
  <c r="J167" i="3"/>
  <c r="I61" i="7" s="1"/>
  <c r="J166" i="3"/>
  <c r="I60" i="7" s="1"/>
  <c r="J165" i="3"/>
  <c r="I59" i="7" s="1"/>
  <c r="J164" i="3"/>
  <c r="I58" i="7" s="1"/>
  <c r="J65" i="3"/>
  <c r="J61" i="3"/>
  <c r="J58" i="3"/>
  <c r="J55" i="3"/>
  <c r="J50" i="3"/>
  <c r="J32" i="3"/>
  <c r="J31" i="3"/>
  <c r="J274" i="3"/>
  <c r="J272" i="3"/>
  <c r="J269" i="3"/>
  <c r="J267" i="3"/>
  <c r="J264" i="3"/>
  <c r="J262" i="3"/>
  <c r="J259" i="3"/>
  <c r="J256" i="3"/>
  <c r="J249" i="3"/>
  <c r="J246" i="3"/>
  <c r="J1547" i="3"/>
  <c r="I150" i="7"/>
  <c r="J698" i="3"/>
  <c r="J692" i="3"/>
  <c r="J28" i="3"/>
  <c r="J1481" i="3"/>
  <c r="J1485" i="3"/>
  <c r="J1480" i="3"/>
  <c r="N4" i="122"/>
  <c r="AG4" i="122" s="1"/>
  <c r="A38" i="122"/>
  <c r="A37" i="122"/>
  <c r="A36" i="122"/>
  <c r="A35" i="122"/>
  <c r="A34" i="122"/>
  <c r="A33" i="122"/>
  <c r="A32" i="122"/>
  <c r="A31" i="122"/>
  <c r="A30" i="122"/>
  <c r="A41" i="122"/>
  <c r="A17" i="122"/>
  <c r="A15" i="122"/>
  <c r="A40" i="122"/>
  <c r="A12" i="122"/>
  <c r="A45" i="122"/>
  <c r="A6" i="122"/>
  <c r="A63" i="122"/>
  <c r="A64" i="122"/>
  <c r="A62" i="122"/>
  <c r="A61" i="122"/>
  <c r="A60" i="122"/>
  <c r="A59" i="122"/>
  <c r="A58" i="122"/>
  <c r="A57" i="122"/>
  <c r="A56" i="122"/>
  <c r="A55" i="122"/>
  <c r="A54" i="122"/>
  <c r="A51" i="122"/>
  <c r="A50" i="122"/>
  <c r="A49" i="122"/>
  <c r="A48" i="122"/>
  <c r="A47" i="122"/>
  <c r="A20" i="122"/>
  <c r="A11" i="122"/>
  <c r="A10" i="122"/>
  <c r="A9" i="122"/>
  <c r="A53" i="122"/>
  <c r="A46" i="122"/>
  <c r="A42" i="122"/>
  <c r="A39" i="122"/>
  <c r="A28" i="122"/>
  <c r="A27" i="122"/>
  <c r="A29" i="122"/>
  <c r="A7" i="122"/>
  <c r="A26" i="122"/>
  <c r="A25" i="122"/>
  <c r="A24" i="122"/>
  <c r="A23" i="122"/>
  <c r="A18" i="122"/>
  <c r="A8" i="122"/>
  <c r="A5" i="122"/>
  <c r="A4" i="122"/>
  <c r="N58" i="122"/>
  <c r="Y58" i="122" s="1"/>
  <c r="N61" i="122"/>
  <c r="Y61" i="122" s="1"/>
  <c r="N10" i="122"/>
  <c r="AG10" i="122" s="1"/>
  <c r="N9" i="122"/>
  <c r="T9" i="122" s="1"/>
  <c r="J1322" i="3"/>
  <c r="O42" i="122" s="1"/>
  <c r="N5" i="122"/>
  <c r="AG5" i="122" s="1"/>
  <c r="N42" i="122"/>
  <c r="P42" i="122" s="1"/>
  <c r="N41" i="122"/>
  <c r="N15" i="122"/>
  <c r="V15" i="122" s="1"/>
  <c r="N12" i="122"/>
  <c r="AG12" i="122" s="1"/>
  <c r="N17" i="122"/>
  <c r="N45" i="122"/>
  <c r="Y45" i="122" s="1"/>
  <c r="J86" i="3"/>
  <c r="AJ1" i="122" s="1"/>
  <c r="I137" i="7"/>
  <c r="I133" i="7"/>
  <c r="H13" i="120"/>
  <c r="H1690" i="3"/>
  <c r="H1689" i="3"/>
  <c r="H1683" i="3"/>
  <c r="J34" i="3"/>
  <c r="J33" i="3"/>
  <c r="J30" i="3"/>
  <c r="J29" i="3"/>
  <c r="J129" i="3"/>
  <c r="J1326" i="3"/>
  <c r="J1795" i="3"/>
  <c r="J1287" i="3"/>
  <c r="J1549" i="3"/>
  <c r="J27" i="3"/>
  <c r="J21" i="3"/>
  <c r="J96" i="3"/>
  <c r="F308" i="11"/>
  <c r="F282" i="11"/>
  <c r="F269" i="11"/>
  <c r="F256" i="11"/>
  <c r="F243" i="11"/>
  <c r="F230" i="11"/>
  <c r="F217" i="11"/>
  <c r="F204" i="11"/>
  <c r="F178" i="11"/>
  <c r="F152" i="11"/>
  <c r="F139" i="11"/>
  <c r="F99" i="11"/>
  <c r="H97" i="11"/>
  <c r="Y68" i="11"/>
  <c r="Y67" i="11"/>
  <c r="Y66" i="11"/>
  <c r="Y65" i="11"/>
  <c r="Y64" i="11"/>
  <c r="Y63" i="11"/>
  <c r="Y62" i="11"/>
  <c r="Y55" i="11"/>
  <c r="Y54" i="11"/>
  <c r="Y53" i="11"/>
  <c r="Y52" i="11"/>
  <c r="Y51" i="11"/>
  <c r="Y50" i="11"/>
  <c r="Y49" i="11"/>
  <c r="Y48" i="11"/>
  <c r="Y34" i="11"/>
  <c r="Y33" i="11"/>
  <c r="Y42" i="11"/>
  <c r="Y41" i="11"/>
  <c r="Y40" i="11"/>
  <c r="Y39" i="11"/>
  <c r="Y38" i="11"/>
  <c r="Y37" i="11"/>
  <c r="Y36" i="11"/>
  <c r="Y35" i="11"/>
  <c r="Y29" i="11"/>
  <c r="Y28" i="11"/>
  <c r="Y27" i="11"/>
  <c r="Y26" i="11"/>
  <c r="Y20" i="11"/>
  <c r="Y16" i="11"/>
  <c r="Y15" i="11"/>
  <c r="Y14" i="11"/>
  <c r="Y13" i="11"/>
  <c r="Y12" i="11"/>
  <c r="Y11" i="11"/>
  <c r="Y10" i="11"/>
  <c r="Y9" i="11"/>
  <c r="Y8" i="11"/>
  <c r="Y7" i="11"/>
  <c r="A86" i="10"/>
  <c r="G40" i="10"/>
  <c r="G32" i="10"/>
  <c r="G24" i="10"/>
  <c r="G16" i="10"/>
  <c r="G13" i="10"/>
  <c r="G60" i="10" s="1"/>
  <c r="G12" i="10"/>
  <c r="E5" i="10"/>
  <c r="C85" i="9"/>
  <c r="C84" i="9"/>
  <c r="C83" i="9"/>
  <c r="C82" i="9"/>
  <c r="C81" i="9"/>
  <c r="C80" i="9"/>
  <c r="C79" i="9"/>
  <c r="C78" i="9"/>
  <c r="C77" i="9"/>
  <c r="C76" i="9"/>
  <c r="C75" i="9"/>
  <c r="A73" i="9"/>
  <c r="C24" i="9"/>
  <c r="C54" i="9" s="1"/>
  <c r="C56" i="9" s="1"/>
  <c r="I111" i="7"/>
  <c r="I35" i="7"/>
  <c r="I34" i="7"/>
  <c r="C29" i="9" s="1"/>
  <c r="I18" i="7"/>
  <c r="J4043" i="6"/>
  <c r="J4041" i="6"/>
  <c r="J4042" i="6"/>
  <c r="J4040" i="6"/>
  <c r="J4039" i="6"/>
  <c r="J4038" i="6"/>
  <c r="J4037" i="6"/>
  <c r="J4036" i="6"/>
  <c r="J4035" i="6"/>
  <c r="J4034" i="6"/>
  <c r="J4033" i="6"/>
  <c r="J4016" i="6"/>
  <c r="J4015" i="6"/>
  <c r="J4013" i="6"/>
  <c r="J4011" i="6"/>
  <c r="J4021" i="6"/>
  <c r="J4001" i="6"/>
  <c r="J4000" i="6"/>
  <c r="J3998" i="6"/>
  <c r="J3996" i="6"/>
  <c r="J4007" i="6"/>
  <c r="J3986" i="6"/>
  <c r="J3985" i="6"/>
  <c r="J3983" i="6"/>
  <c r="J3981" i="6"/>
  <c r="J3992" i="6"/>
  <c r="J3971" i="6"/>
  <c r="J4025" i="6"/>
  <c r="J3970" i="6"/>
  <c r="J3968" i="6"/>
  <c r="J3966" i="6"/>
  <c r="J3976" i="6"/>
  <c r="J3956" i="6"/>
  <c r="J3955" i="6"/>
  <c r="J3953" i="6"/>
  <c r="J3952" i="6"/>
  <c r="J3951" i="6"/>
  <c r="J3958" i="6"/>
  <c r="J3945" i="6"/>
  <c r="J3944" i="6"/>
  <c r="J3943" i="6"/>
  <c r="J3942" i="6"/>
  <c r="J3941" i="6"/>
  <c r="J3940" i="6"/>
  <c r="J3939" i="6"/>
  <c r="J3938" i="6"/>
  <c r="J3937" i="6"/>
  <c r="J3936" i="6"/>
  <c r="J3935" i="6"/>
  <c r="J3933" i="6"/>
  <c r="J3932" i="6"/>
  <c r="J3931" i="6"/>
  <c r="J3930" i="6"/>
  <c r="J3929" i="6"/>
  <c r="J3928" i="6"/>
  <c r="J3927" i="6"/>
  <c r="J3926" i="6"/>
  <c r="J3925" i="6"/>
  <c r="J3924" i="6"/>
  <c r="J3923" i="6"/>
  <c r="J3922" i="6"/>
  <c r="J3919" i="6"/>
  <c r="J3918" i="6"/>
  <c r="J3920" i="6"/>
  <c r="J3915" i="6"/>
  <c r="J3913" i="6"/>
  <c r="J3912" i="6"/>
  <c r="J3911" i="6"/>
  <c r="J3910" i="6"/>
  <c r="J3909" i="6"/>
  <c r="J3908" i="6"/>
  <c r="J3907" i="6"/>
  <c r="J3906" i="6"/>
  <c r="J3905" i="6"/>
  <c r="J3888" i="6"/>
  <c r="J3887" i="6"/>
  <c r="J3885" i="6"/>
  <c r="J3883" i="6"/>
  <c r="J3890" i="6"/>
  <c r="J3873" i="6"/>
  <c r="J3872" i="6"/>
  <c r="J3870" i="6"/>
  <c r="J3868" i="6"/>
  <c r="J3879" i="6"/>
  <c r="J3858" i="6"/>
  <c r="J3857" i="6"/>
  <c r="J3855" i="6"/>
  <c r="J3901" i="6"/>
  <c r="J3853" i="6"/>
  <c r="J3864" i="6"/>
  <c r="J3843" i="6"/>
  <c r="J3842" i="6"/>
  <c r="J3840" i="6"/>
  <c r="J3838" i="6"/>
  <c r="J3845" i="6"/>
  <c r="J3828" i="6"/>
  <c r="J3827" i="6"/>
  <c r="J3825" i="6"/>
  <c r="J3824" i="6"/>
  <c r="J3823" i="6"/>
  <c r="J3831" i="6"/>
  <c r="J3817" i="6"/>
  <c r="J3816" i="6"/>
  <c r="J3815" i="6"/>
  <c r="J3814" i="6"/>
  <c r="J3813" i="6"/>
  <c r="J3812" i="6"/>
  <c r="J3811" i="6"/>
  <c r="J3810" i="6"/>
  <c r="J3809" i="6"/>
  <c r="J3808" i="6"/>
  <c r="J3807" i="6"/>
  <c r="J3805" i="6"/>
  <c r="J3804" i="6"/>
  <c r="J3803" i="6"/>
  <c r="J3802" i="6"/>
  <c r="J3801" i="6"/>
  <c r="J3800" i="6"/>
  <c r="J3799" i="6"/>
  <c r="J3798" i="6"/>
  <c r="J3797" i="6"/>
  <c r="J3796" i="6"/>
  <c r="J3795" i="6"/>
  <c r="J3794" i="6"/>
  <c r="J3791" i="6"/>
  <c r="J3790" i="6"/>
  <c r="J3787" i="6"/>
  <c r="J3785" i="6"/>
  <c r="J3784" i="6"/>
  <c r="J3783" i="6"/>
  <c r="J3782" i="6"/>
  <c r="J3781" i="6"/>
  <c r="J3780" i="6"/>
  <c r="J3779" i="6"/>
  <c r="J3778" i="6"/>
  <c r="J3777" i="6"/>
  <c r="J3760" i="6"/>
  <c r="J3759" i="6"/>
  <c r="J3757" i="6"/>
  <c r="J3755" i="6"/>
  <c r="J3763" i="6"/>
  <c r="J3745" i="6"/>
  <c r="J3744" i="6"/>
  <c r="J3742" i="6"/>
  <c r="J3740" i="6"/>
  <c r="J3751" i="6"/>
  <c r="J3730" i="6"/>
  <c r="J3729" i="6"/>
  <c r="J3727" i="6"/>
  <c r="J3725" i="6"/>
  <c r="J3732" i="6"/>
  <c r="J3715" i="6"/>
  <c r="J3714" i="6"/>
  <c r="J3712" i="6"/>
  <c r="J3710" i="6"/>
  <c r="J3717" i="6"/>
  <c r="J3700" i="6"/>
  <c r="J3699" i="6"/>
  <c r="J3697" i="6"/>
  <c r="J3773" i="6"/>
  <c r="J3696" i="6"/>
  <c r="J3695" i="6"/>
  <c r="J3702" i="6"/>
  <c r="J3689" i="6"/>
  <c r="J3688" i="6"/>
  <c r="J3687" i="6"/>
  <c r="J3686" i="6"/>
  <c r="J3685" i="6"/>
  <c r="J3684" i="6"/>
  <c r="J3683" i="6"/>
  <c r="J3682" i="6"/>
  <c r="J3681" i="6"/>
  <c r="J3680" i="6"/>
  <c r="J3679" i="6"/>
  <c r="J3677" i="6"/>
  <c r="J3676" i="6"/>
  <c r="J3675" i="6"/>
  <c r="J3674" i="6"/>
  <c r="J3673" i="6"/>
  <c r="J3672" i="6"/>
  <c r="J3671" i="6"/>
  <c r="J3670" i="6"/>
  <c r="J3669" i="6"/>
  <c r="J3668" i="6"/>
  <c r="J3667" i="6"/>
  <c r="J3666" i="6"/>
  <c r="J3663" i="6"/>
  <c r="J3662" i="6"/>
  <c r="J3659" i="6"/>
  <c r="J3657" i="6"/>
  <c r="J3656" i="6"/>
  <c r="J3655" i="6"/>
  <c r="J3654" i="6"/>
  <c r="J3653" i="6"/>
  <c r="J3652" i="6"/>
  <c r="J3651" i="6"/>
  <c r="J3650" i="6"/>
  <c r="J3649" i="6"/>
  <c r="J3632" i="6"/>
  <c r="J3631" i="6"/>
  <c r="J3629" i="6"/>
  <c r="J3627" i="6"/>
  <c r="J3638" i="6"/>
  <c r="J3617" i="6"/>
  <c r="J3616" i="6"/>
  <c r="J3614" i="6"/>
  <c r="J3612" i="6"/>
  <c r="J3619" i="6"/>
  <c r="J3602" i="6"/>
  <c r="J3601" i="6"/>
  <c r="J3599" i="6"/>
  <c r="J3597" i="6"/>
  <c r="J3608" i="6"/>
  <c r="J3587" i="6"/>
  <c r="J3586" i="6"/>
  <c r="J3584" i="6"/>
  <c r="J3583" i="6"/>
  <c r="J3582" i="6"/>
  <c r="J3592" i="6"/>
  <c r="J3572" i="6"/>
  <c r="J3571" i="6"/>
  <c r="J3569" i="6"/>
  <c r="J3568" i="6"/>
  <c r="J3567" i="6"/>
  <c r="J3578" i="6"/>
  <c r="J3561" i="6"/>
  <c r="J3560" i="6"/>
  <c r="J3559" i="6"/>
  <c r="J3558" i="6"/>
  <c r="J3557" i="6"/>
  <c r="J3556" i="6"/>
  <c r="J3555" i="6"/>
  <c r="J3554" i="6"/>
  <c r="J3553" i="6"/>
  <c r="J3552" i="6"/>
  <c r="J3551" i="6"/>
  <c r="J3549" i="6"/>
  <c r="J3548" i="6"/>
  <c r="J3547" i="6"/>
  <c r="J3546" i="6"/>
  <c r="J3545" i="6"/>
  <c r="J3544" i="6"/>
  <c r="J3543" i="6"/>
  <c r="J3542" i="6"/>
  <c r="J3541" i="6"/>
  <c r="J3540" i="6"/>
  <c r="J3539" i="6"/>
  <c r="J3538" i="6"/>
  <c r="J3535" i="6"/>
  <c r="J3536" i="6"/>
  <c r="J3534" i="6"/>
  <c r="J3531" i="6"/>
  <c r="J3529" i="6"/>
  <c r="J3528" i="6"/>
  <c r="J3530" i="6"/>
  <c r="J3527" i="6"/>
  <c r="J3526" i="6"/>
  <c r="J3525" i="6"/>
  <c r="J3524" i="6"/>
  <c r="J3523" i="6"/>
  <c r="J3522" i="6"/>
  <c r="J3521" i="6"/>
  <c r="J3504" i="6"/>
  <c r="J3503" i="6"/>
  <c r="J3501" i="6"/>
  <c r="J3499" i="6"/>
  <c r="J3506" i="6"/>
  <c r="J3489" i="6"/>
  <c r="J3488" i="6"/>
  <c r="J3486" i="6"/>
  <c r="J3484" i="6"/>
  <c r="J3495" i="6"/>
  <c r="J3474" i="6"/>
  <c r="J3473" i="6"/>
  <c r="J3471" i="6"/>
  <c r="J3469" i="6"/>
  <c r="J3476" i="6"/>
  <c r="J3459" i="6"/>
  <c r="J3458" i="6"/>
  <c r="J3512" i="6"/>
  <c r="J3456" i="6"/>
  <c r="J3455" i="6"/>
  <c r="J3454" i="6"/>
  <c r="J3465" i="6"/>
  <c r="J3444" i="6"/>
  <c r="J3513" i="6"/>
  <c r="J3443" i="6"/>
  <c r="J3441" i="6"/>
  <c r="J3517" i="6"/>
  <c r="J3440" i="6"/>
  <c r="J3439" i="6"/>
  <c r="J3447" i="6"/>
  <c r="J3433" i="6"/>
  <c r="J3432" i="6"/>
  <c r="J3431" i="6"/>
  <c r="J3430" i="6"/>
  <c r="J3429" i="6"/>
  <c r="J3428" i="6"/>
  <c r="J3427" i="6"/>
  <c r="J3426" i="6"/>
  <c r="J3425" i="6"/>
  <c r="J3424" i="6"/>
  <c r="J3423" i="6"/>
  <c r="J3421" i="6"/>
  <c r="J3420" i="6"/>
  <c r="J3419" i="6"/>
  <c r="J3418" i="6"/>
  <c r="J3417" i="6"/>
  <c r="J3416" i="6"/>
  <c r="J3415" i="6"/>
  <c r="J3414" i="6"/>
  <c r="J3413" i="6"/>
  <c r="J3412" i="6"/>
  <c r="J3411" i="6"/>
  <c r="J3410" i="6"/>
  <c r="J3407" i="6"/>
  <c r="J3406" i="6"/>
  <c r="J3403" i="6"/>
  <c r="J3401" i="6"/>
  <c r="J3400" i="6"/>
  <c r="J3399" i="6"/>
  <c r="J3398" i="6"/>
  <c r="J3397" i="6"/>
  <c r="J3396" i="6"/>
  <c r="J3395" i="6"/>
  <c r="J3394" i="6"/>
  <c r="J3393" i="6"/>
  <c r="J3376" i="6"/>
  <c r="J3375" i="6"/>
  <c r="J3373" i="6"/>
  <c r="J3371" i="6"/>
  <c r="J3378" i="6"/>
  <c r="J3361" i="6"/>
  <c r="J3360" i="6"/>
  <c r="J3358" i="6"/>
  <c r="J3356" i="6"/>
  <c r="J3367" i="6"/>
  <c r="J3346" i="6"/>
  <c r="J3345" i="6"/>
  <c r="J3343" i="6"/>
  <c r="J3341" i="6"/>
  <c r="J3349" i="6"/>
  <c r="J3331" i="6"/>
  <c r="J3330" i="6"/>
  <c r="J3329" i="6"/>
  <c r="J3328" i="6"/>
  <c r="J3327" i="6"/>
  <c r="J3326" i="6"/>
  <c r="J3334" i="6"/>
  <c r="J3316" i="6"/>
  <c r="J3315" i="6"/>
  <c r="J3313" i="6"/>
  <c r="J3312" i="6"/>
  <c r="J3311" i="6"/>
  <c r="J3322" i="6"/>
  <c r="J3305" i="6"/>
  <c r="J3304" i="6"/>
  <c r="J3303" i="6"/>
  <c r="J3302" i="6"/>
  <c r="J3301" i="6"/>
  <c r="J3300" i="6"/>
  <c r="J3299" i="6"/>
  <c r="J3298" i="6"/>
  <c r="J3297" i="6"/>
  <c r="J3296" i="6"/>
  <c r="J3295" i="6"/>
  <c r="J3293" i="6"/>
  <c r="J3292" i="6"/>
  <c r="J3291" i="6"/>
  <c r="J3290" i="6"/>
  <c r="J3289" i="6"/>
  <c r="J3288" i="6"/>
  <c r="J3287" i="6"/>
  <c r="J3286" i="6"/>
  <c r="J3285" i="6"/>
  <c r="J3284" i="6"/>
  <c r="J3283" i="6"/>
  <c r="J3282" i="6"/>
  <c r="J3279" i="6"/>
  <c r="J3278" i="6"/>
  <c r="J3280" i="6"/>
  <c r="J3275" i="6"/>
  <c r="J3273" i="6"/>
  <c r="J3272" i="6"/>
  <c r="J3271" i="6"/>
  <c r="J3270" i="6"/>
  <c r="J3269" i="6"/>
  <c r="J3268" i="6"/>
  <c r="J3267" i="6"/>
  <c r="J3266" i="6"/>
  <c r="J3265" i="6"/>
  <c r="J3248" i="6"/>
  <c r="J3247" i="6"/>
  <c r="J3245" i="6"/>
  <c r="J3243" i="6"/>
  <c r="J3250" i="6"/>
  <c r="J3233" i="6"/>
  <c r="J3232" i="6"/>
  <c r="J3231" i="6"/>
  <c r="J3230" i="6"/>
  <c r="J3228" i="6"/>
  <c r="J3236" i="6"/>
  <c r="J3218" i="6"/>
  <c r="J3257" i="6"/>
  <c r="J3217" i="6"/>
  <c r="J3215" i="6"/>
  <c r="J3261" i="6"/>
  <c r="J3213" i="6"/>
  <c r="J3223" i="6"/>
  <c r="J3203" i="6"/>
  <c r="J3202" i="6"/>
  <c r="J3200" i="6"/>
  <c r="J3199" i="6"/>
  <c r="J3198" i="6"/>
  <c r="J3206" i="6"/>
  <c r="J3188" i="6"/>
  <c r="J3187" i="6"/>
  <c r="J3256" i="6"/>
  <c r="J3185" i="6"/>
  <c r="J3184" i="6"/>
  <c r="J3183" i="6"/>
  <c r="J3193" i="6"/>
  <c r="J3177" i="6"/>
  <c r="J3176" i="6"/>
  <c r="J3175" i="6"/>
  <c r="J3174" i="6"/>
  <c r="J3173" i="6"/>
  <c r="J3172" i="6"/>
  <c r="J3171" i="6"/>
  <c r="J3170" i="6"/>
  <c r="J3169" i="6"/>
  <c r="J3168" i="6"/>
  <c r="J3167" i="6"/>
  <c r="J3165" i="6"/>
  <c r="J3164" i="6"/>
  <c r="J3163" i="6"/>
  <c r="J3162" i="6"/>
  <c r="J3161" i="6"/>
  <c r="J3160" i="6"/>
  <c r="J3159" i="6"/>
  <c r="J3158" i="6"/>
  <c r="J3157" i="6"/>
  <c r="J3156" i="6"/>
  <c r="J3155" i="6"/>
  <c r="J3154" i="6"/>
  <c r="J3151" i="6"/>
  <c r="J3152" i="6"/>
  <c r="J3150" i="6"/>
  <c r="J3147" i="6"/>
  <c r="J3145" i="6"/>
  <c r="J3144" i="6"/>
  <c r="J3146" i="6"/>
  <c r="J3143" i="6"/>
  <c r="J3142" i="6"/>
  <c r="J3141" i="6"/>
  <c r="J3140" i="6"/>
  <c r="J3139" i="6"/>
  <c r="J3138" i="6"/>
  <c r="J3137" i="6"/>
  <c r="J3120" i="6"/>
  <c r="J3119" i="6"/>
  <c r="J3117" i="6"/>
  <c r="J3115" i="6"/>
  <c r="J3123" i="6"/>
  <c r="J3105" i="6"/>
  <c r="J3104" i="6"/>
  <c r="J3102" i="6"/>
  <c r="J3100" i="6"/>
  <c r="J3110" i="6"/>
  <c r="J3090" i="6"/>
  <c r="J3089" i="6"/>
  <c r="J3087" i="6"/>
  <c r="J3085" i="6"/>
  <c r="J3092" i="6"/>
  <c r="J3075" i="6"/>
  <c r="J3074" i="6"/>
  <c r="J3072" i="6"/>
  <c r="J3071" i="6"/>
  <c r="J3070" i="6"/>
  <c r="J3081" i="6"/>
  <c r="J3060" i="6"/>
  <c r="J3059" i="6"/>
  <c r="J3057" i="6"/>
  <c r="J3056" i="6"/>
  <c r="J3055" i="6"/>
  <c r="J3063" i="6"/>
  <c r="J3049" i="6"/>
  <c r="J3048" i="6"/>
  <c r="J3047" i="6"/>
  <c r="J3046" i="6"/>
  <c r="J3045" i="6"/>
  <c r="J3044" i="6"/>
  <c r="J3043" i="6"/>
  <c r="J3042" i="6"/>
  <c r="J3041" i="6"/>
  <c r="J3040" i="6"/>
  <c r="J3039" i="6"/>
  <c r="J3037" i="6"/>
  <c r="J3036" i="6"/>
  <c r="J3035" i="6"/>
  <c r="J3034" i="6"/>
  <c r="J3033" i="6"/>
  <c r="J3032" i="6"/>
  <c r="J3031" i="6"/>
  <c r="J3030" i="6"/>
  <c r="J3029" i="6"/>
  <c r="J3028" i="6"/>
  <c r="J3027" i="6"/>
  <c r="J3026" i="6"/>
  <c r="J3023" i="6"/>
  <c r="J3022" i="6"/>
  <c r="J3019" i="6"/>
  <c r="J3017" i="6"/>
  <c r="J3016" i="6"/>
  <c r="J3015" i="6"/>
  <c r="J3014" i="6"/>
  <c r="J3013" i="6"/>
  <c r="J3012" i="6"/>
  <c r="J3011" i="6"/>
  <c r="J3010" i="6"/>
  <c r="J3009" i="6"/>
  <c r="J2992" i="6"/>
  <c r="J2991" i="6"/>
  <c r="J2989" i="6"/>
  <c r="J2987" i="6"/>
  <c r="J2995" i="6"/>
  <c r="J2977" i="6"/>
  <c r="J2976" i="6"/>
  <c r="J2974" i="6"/>
  <c r="J2972" i="6"/>
  <c r="J2980" i="6"/>
  <c r="J2962" i="6"/>
  <c r="J2961" i="6"/>
  <c r="J2959" i="6"/>
  <c r="J2957" i="6"/>
  <c r="J2965" i="6"/>
  <c r="J2947" i="6"/>
  <c r="J3001" i="6"/>
  <c r="J2946" i="6"/>
  <c r="J2944" i="6"/>
  <c r="J2943" i="6"/>
  <c r="J2942" i="6"/>
  <c r="J2949" i="6"/>
  <c r="J2932" i="6"/>
  <c r="J2931" i="6"/>
  <c r="J2929" i="6"/>
  <c r="J2928" i="6"/>
  <c r="J2927" i="6"/>
  <c r="J2937" i="6"/>
  <c r="J2921" i="6"/>
  <c r="J2920" i="6"/>
  <c r="J2919" i="6"/>
  <c r="J2918" i="6"/>
  <c r="J2917" i="6"/>
  <c r="J2916" i="6"/>
  <c r="J2915" i="6"/>
  <c r="J2914" i="6"/>
  <c r="J2913" i="6"/>
  <c r="J2912" i="6"/>
  <c r="J2911" i="6"/>
  <c r="J2909" i="6"/>
  <c r="J2908" i="6"/>
  <c r="J2907" i="6"/>
  <c r="J2906" i="6"/>
  <c r="J2905" i="6"/>
  <c r="J2904" i="6"/>
  <c r="J2903" i="6"/>
  <c r="J2902" i="6"/>
  <c r="J2901" i="6"/>
  <c r="J2900" i="6"/>
  <c r="J2899" i="6"/>
  <c r="J2898" i="6"/>
  <c r="J2895" i="6"/>
  <c r="J2894" i="6"/>
  <c r="J2891" i="6"/>
  <c r="J2889" i="6"/>
  <c r="J2890" i="6"/>
  <c r="J2888" i="6"/>
  <c r="J2887" i="6"/>
  <c r="J2886" i="6"/>
  <c r="J2885" i="6"/>
  <c r="J2884" i="6"/>
  <c r="J2883" i="6"/>
  <c r="J2882" i="6"/>
  <c r="J2881" i="6"/>
  <c r="J2864" i="6"/>
  <c r="J2863" i="6"/>
  <c r="J2861" i="6"/>
  <c r="J2859" i="6"/>
  <c r="J2867" i="6"/>
  <c r="J2849" i="6"/>
  <c r="J2848" i="6"/>
  <c r="J2846" i="6"/>
  <c r="J2844" i="6"/>
  <c r="J2855" i="6"/>
  <c r="J2834" i="6"/>
  <c r="J2833" i="6"/>
  <c r="J2831" i="6"/>
  <c r="J2829" i="6"/>
  <c r="J2836" i="6"/>
  <c r="J2819" i="6"/>
  <c r="J2818" i="6"/>
  <c r="J2816" i="6"/>
  <c r="J2877" i="6"/>
  <c r="J2815" i="6"/>
  <c r="J2814" i="6"/>
  <c r="J2824" i="6"/>
  <c r="J2804" i="6"/>
  <c r="J2803" i="6"/>
  <c r="J2801" i="6"/>
  <c r="J2800" i="6"/>
  <c r="J2799" i="6"/>
  <c r="J2809" i="6"/>
  <c r="J2793" i="6"/>
  <c r="J2792" i="6"/>
  <c r="J2791" i="6"/>
  <c r="J2790" i="6"/>
  <c r="J2789" i="6"/>
  <c r="J2788" i="6"/>
  <c r="J2787" i="6"/>
  <c r="J2786" i="6"/>
  <c r="J2785" i="6"/>
  <c r="J2784" i="6"/>
  <c r="J2783" i="6"/>
  <c r="J2781" i="6"/>
  <c r="J2780" i="6"/>
  <c r="J2779" i="6"/>
  <c r="J2778" i="6"/>
  <c r="J2777" i="6"/>
  <c r="J2776" i="6"/>
  <c r="J2775" i="6"/>
  <c r="J2774" i="6"/>
  <c r="J2773" i="6"/>
  <c r="J2772" i="6"/>
  <c r="J2771" i="6"/>
  <c r="J2770" i="6"/>
  <c r="J2767" i="6"/>
  <c r="J2766" i="6"/>
  <c r="J2768" i="6"/>
  <c r="J2763" i="6"/>
  <c r="J2761" i="6"/>
  <c r="J2760" i="6"/>
  <c r="J2759" i="6"/>
  <c r="J2758" i="6"/>
  <c r="J2757" i="6"/>
  <c r="J2756" i="6"/>
  <c r="J2755" i="6"/>
  <c r="J2754" i="6"/>
  <c r="J2753" i="6"/>
  <c r="J2736" i="6"/>
  <c r="J2735" i="6"/>
  <c r="J2733" i="6"/>
  <c r="J2731" i="6"/>
  <c r="J2739" i="6"/>
  <c r="J2721" i="6"/>
  <c r="J2720" i="6"/>
  <c r="J2718" i="6"/>
  <c r="J2716" i="6"/>
  <c r="J2724" i="6"/>
  <c r="J2706" i="6"/>
  <c r="J2705" i="6"/>
  <c r="J2703" i="6"/>
  <c r="J2701" i="6"/>
  <c r="J2711" i="6"/>
  <c r="J2691" i="6"/>
  <c r="J2690" i="6"/>
  <c r="J2688" i="6"/>
  <c r="J2687" i="6"/>
  <c r="J2686" i="6"/>
  <c r="J2697" i="6"/>
  <c r="J2676" i="6"/>
  <c r="J2675" i="6"/>
  <c r="J2673" i="6"/>
  <c r="J2749" i="6"/>
  <c r="J2672" i="6"/>
  <c r="J2671" i="6"/>
  <c r="J2679" i="6"/>
  <c r="J2665" i="6"/>
  <c r="J2664" i="6"/>
  <c r="J2663" i="6"/>
  <c r="J2662" i="6"/>
  <c r="J2661" i="6"/>
  <c r="J2660" i="6"/>
  <c r="J2659" i="6"/>
  <c r="J2658" i="6"/>
  <c r="J2657" i="6"/>
  <c r="J2656" i="6"/>
  <c r="J2655" i="6"/>
  <c r="J2653" i="6"/>
  <c r="J2652" i="6"/>
  <c r="J2651" i="6"/>
  <c r="J2650" i="6"/>
  <c r="J2649" i="6"/>
  <c r="J2648" i="6"/>
  <c r="J2647" i="6"/>
  <c r="J2646" i="6"/>
  <c r="J2645" i="6"/>
  <c r="J2644" i="6"/>
  <c r="J2643" i="6"/>
  <c r="J2642" i="6"/>
  <c r="J2639" i="6"/>
  <c r="J2638" i="6"/>
  <c r="J2635" i="6"/>
  <c r="J2633" i="6"/>
  <c r="J2632" i="6"/>
  <c r="J2634" i="6"/>
  <c r="J2631" i="6"/>
  <c r="J2630" i="6"/>
  <c r="J2629" i="6"/>
  <c r="J2628" i="6"/>
  <c r="J2627" i="6"/>
  <c r="J2626" i="6"/>
  <c r="J2625" i="6"/>
  <c r="J2608" i="6"/>
  <c r="J2607" i="6"/>
  <c r="J2605" i="6"/>
  <c r="J2603" i="6"/>
  <c r="J2613" i="6"/>
  <c r="J2593" i="6"/>
  <c r="J2592" i="6"/>
  <c r="J2590" i="6"/>
  <c r="J2588" i="6"/>
  <c r="J2598" i="6"/>
  <c r="J2578" i="6"/>
  <c r="J2577" i="6"/>
  <c r="J2575" i="6"/>
  <c r="J2573" i="6"/>
  <c r="J2580" i="6"/>
  <c r="J2563" i="6"/>
  <c r="J2562" i="6"/>
  <c r="J2560" i="6"/>
  <c r="J2559" i="6"/>
  <c r="J2558" i="6"/>
  <c r="J2566" i="6"/>
  <c r="J2548" i="6"/>
  <c r="J2547" i="6"/>
  <c r="J2545" i="6"/>
  <c r="J2544" i="6"/>
  <c r="J2543" i="6"/>
  <c r="J2551" i="6"/>
  <c r="J2537" i="6"/>
  <c r="J2536" i="6"/>
  <c r="J2535" i="6"/>
  <c r="J2534" i="6"/>
  <c r="J2533" i="6"/>
  <c r="J2532" i="6"/>
  <c r="J2531" i="6"/>
  <c r="J2530" i="6"/>
  <c r="J2529" i="6"/>
  <c r="J2528" i="6"/>
  <c r="J2527" i="6"/>
  <c r="J2525" i="6"/>
  <c r="J2524" i="6"/>
  <c r="J2523" i="6"/>
  <c r="J2522" i="6"/>
  <c r="J2521" i="6"/>
  <c r="J2520" i="6"/>
  <c r="J2519" i="6"/>
  <c r="J2518" i="6"/>
  <c r="J2517" i="6"/>
  <c r="J2516" i="6"/>
  <c r="J2515" i="6"/>
  <c r="J2514" i="6"/>
  <c r="J2511" i="6"/>
  <c r="J2512" i="6"/>
  <c r="J2510" i="6"/>
  <c r="J2507" i="6"/>
  <c r="J2505" i="6"/>
  <c r="J2506" i="6"/>
  <c r="J2504" i="6"/>
  <c r="J2503" i="6"/>
  <c r="J2502" i="6"/>
  <c r="J2501" i="6"/>
  <c r="J2500" i="6"/>
  <c r="J2499" i="6"/>
  <c r="J2498" i="6"/>
  <c r="J2497" i="6"/>
  <c r="J2480" i="6"/>
  <c r="J2479" i="6"/>
  <c r="J2477" i="6"/>
  <c r="J2475" i="6"/>
  <c r="J2485" i="6"/>
  <c r="J2465" i="6"/>
  <c r="J2464" i="6"/>
  <c r="J2462" i="6"/>
  <c r="J2460" i="6"/>
  <c r="J2467" i="6"/>
  <c r="J2450" i="6"/>
  <c r="J2449" i="6"/>
  <c r="J2447" i="6"/>
  <c r="J2445" i="6"/>
  <c r="J2453" i="6"/>
  <c r="J2435" i="6"/>
  <c r="J2434" i="6"/>
  <c r="J2432" i="6"/>
  <c r="J2431" i="6"/>
  <c r="J2430" i="6"/>
  <c r="J2441" i="6"/>
  <c r="J2420" i="6"/>
  <c r="J2419" i="6"/>
  <c r="J2417" i="6"/>
  <c r="J2416" i="6"/>
  <c r="J2415" i="6"/>
  <c r="J2423" i="6"/>
  <c r="J2409" i="6"/>
  <c r="J2408" i="6"/>
  <c r="J2407" i="6"/>
  <c r="J2406" i="6"/>
  <c r="J2405" i="6"/>
  <c r="J2404" i="6"/>
  <c r="J2403" i="6"/>
  <c r="J2402" i="6"/>
  <c r="J2401" i="6"/>
  <c r="J2400" i="6"/>
  <c r="J2399" i="6"/>
  <c r="J2397" i="6"/>
  <c r="J2396" i="6"/>
  <c r="J2395" i="6"/>
  <c r="J2394" i="6"/>
  <c r="J2393" i="6"/>
  <c r="J2392" i="6"/>
  <c r="J2391" i="6"/>
  <c r="J2390" i="6"/>
  <c r="J2389" i="6"/>
  <c r="J2388" i="6"/>
  <c r="J2387" i="6"/>
  <c r="J2386" i="6"/>
  <c r="J2383" i="6"/>
  <c r="J2382" i="6"/>
  <c r="J2379" i="6"/>
  <c r="J2377" i="6"/>
  <c r="J2378" i="6"/>
  <c r="J2376" i="6"/>
  <c r="J2375" i="6"/>
  <c r="J2374" i="6"/>
  <c r="J2373" i="6"/>
  <c r="J2372" i="6"/>
  <c r="J2371" i="6"/>
  <c r="J2370" i="6"/>
  <c r="J2369" i="6"/>
  <c r="J2352" i="6"/>
  <c r="J2351" i="6"/>
  <c r="J2349" i="6"/>
  <c r="J2347" i="6"/>
  <c r="J2354" i="6"/>
  <c r="J2337" i="6"/>
  <c r="J2336" i="6"/>
  <c r="J2334" i="6"/>
  <c r="J2332" i="6"/>
  <c r="J2340" i="6"/>
  <c r="J2322" i="6"/>
  <c r="J2321" i="6"/>
  <c r="J2360" i="6"/>
  <c r="J2319" i="6"/>
  <c r="J2317" i="6"/>
  <c r="J2324" i="6"/>
  <c r="J2307" i="6"/>
  <c r="J2306" i="6"/>
  <c r="J2304" i="6"/>
  <c r="J2303" i="6"/>
  <c r="J2302" i="6"/>
  <c r="J2313" i="6"/>
  <c r="J2292" i="6"/>
  <c r="J2291" i="6"/>
  <c r="J2289" i="6"/>
  <c r="J2365" i="6"/>
  <c r="J2288" i="6"/>
  <c r="J2287" i="6"/>
  <c r="J2295" i="6"/>
  <c r="J2281" i="6"/>
  <c r="J2280" i="6"/>
  <c r="J2279" i="6"/>
  <c r="J2278" i="6"/>
  <c r="J2277" i="6"/>
  <c r="J2276" i="6"/>
  <c r="J2275" i="6"/>
  <c r="J2274" i="6"/>
  <c r="J2273" i="6"/>
  <c r="J2272" i="6"/>
  <c r="J2271" i="6"/>
  <c r="J2269" i="6"/>
  <c r="J2268" i="6"/>
  <c r="J2267" i="6"/>
  <c r="J2266" i="6"/>
  <c r="J2265" i="6"/>
  <c r="J2264" i="6"/>
  <c r="J2263" i="6"/>
  <c r="J2262" i="6"/>
  <c r="J2261" i="6"/>
  <c r="J2260" i="6"/>
  <c r="J2259" i="6"/>
  <c r="J2258" i="6"/>
  <c r="J2255" i="6"/>
  <c r="J2254" i="6"/>
  <c r="J2251" i="6"/>
  <c r="J2249" i="6"/>
  <c r="J2250" i="6"/>
  <c r="J2248" i="6"/>
  <c r="J2247" i="6"/>
  <c r="J2246" i="6"/>
  <c r="J2245" i="6"/>
  <c r="J2244" i="6"/>
  <c r="J2243" i="6"/>
  <c r="J2242" i="6"/>
  <c r="J2241" i="6"/>
  <c r="J2224" i="6"/>
  <c r="J2223" i="6"/>
  <c r="J2221" i="6"/>
  <c r="J2219" i="6"/>
  <c r="J2227" i="6"/>
  <c r="J2209" i="6"/>
  <c r="J2208" i="6"/>
  <c r="J2206" i="6"/>
  <c r="J2204" i="6"/>
  <c r="J2214" i="6"/>
  <c r="J2194" i="6"/>
  <c r="J2193" i="6"/>
  <c r="J2191" i="6"/>
  <c r="J2189" i="6"/>
  <c r="J2200" i="6"/>
  <c r="J2179" i="6"/>
  <c r="J2178" i="6"/>
  <c r="J2176" i="6"/>
  <c r="J2175" i="6"/>
  <c r="J2174" i="6"/>
  <c r="J2184" i="6"/>
  <c r="J2164" i="6"/>
  <c r="J2233" i="6"/>
  <c r="J2163" i="6"/>
  <c r="J2161" i="6"/>
  <c r="J2160" i="6"/>
  <c r="J2159" i="6"/>
  <c r="J2166" i="6"/>
  <c r="J2153" i="6"/>
  <c r="J2152" i="6"/>
  <c r="J2151" i="6"/>
  <c r="J2150" i="6"/>
  <c r="J2149" i="6"/>
  <c r="J2148" i="6"/>
  <c r="J2147" i="6"/>
  <c r="J2146" i="6"/>
  <c r="J2145" i="6"/>
  <c r="J2144" i="6"/>
  <c r="J2143" i="6"/>
  <c r="J2141" i="6"/>
  <c r="J2140" i="6"/>
  <c r="J2139" i="6"/>
  <c r="J2138" i="6"/>
  <c r="J2137" i="6"/>
  <c r="J2136" i="6"/>
  <c r="J2135" i="6"/>
  <c r="J2134" i="6"/>
  <c r="J2133" i="6"/>
  <c r="J2132" i="6"/>
  <c r="J2131" i="6"/>
  <c r="J2130" i="6"/>
  <c r="J2127" i="6"/>
  <c r="J2126" i="6"/>
  <c r="J2123" i="6"/>
  <c r="J2121" i="6"/>
  <c r="J2120" i="6"/>
  <c r="J2119" i="6"/>
  <c r="J2118" i="6"/>
  <c r="J2117" i="6"/>
  <c r="J2116" i="6"/>
  <c r="J2115" i="6"/>
  <c r="J2114" i="6"/>
  <c r="J2113" i="6"/>
  <c r="J2096" i="6"/>
  <c r="J2095" i="6"/>
  <c r="J2093" i="6"/>
  <c r="J2091" i="6"/>
  <c r="J2098" i="6"/>
  <c r="J2081" i="6"/>
  <c r="J2080" i="6"/>
  <c r="J2078" i="6"/>
  <c r="J2076" i="6"/>
  <c r="J2086" i="6"/>
  <c r="J2066" i="6"/>
  <c r="J2065" i="6"/>
  <c r="J2063" i="6"/>
  <c r="J2061" i="6"/>
  <c r="J2069" i="6"/>
  <c r="J2051" i="6"/>
  <c r="J2050" i="6"/>
  <c r="J2048" i="6"/>
  <c r="J2047" i="6"/>
  <c r="J2046" i="6"/>
  <c r="J2053" i="6"/>
  <c r="J2036" i="6"/>
  <c r="J2035" i="6"/>
  <c r="J2033" i="6"/>
  <c r="J2109" i="6"/>
  <c r="J2032" i="6"/>
  <c r="J2031" i="6"/>
  <c r="J2038" i="6"/>
  <c r="J2025" i="6"/>
  <c r="J2024" i="6"/>
  <c r="J2023" i="6"/>
  <c r="J2022" i="6"/>
  <c r="J2021" i="6"/>
  <c r="J2020" i="6"/>
  <c r="J2019" i="6"/>
  <c r="J2018" i="6"/>
  <c r="J2017" i="6"/>
  <c r="J2016" i="6"/>
  <c r="J2015" i="6"/>
  <c r="J2013" i="6"/>
  <c r="J2012" i="6"/>
  <c r="J2011" i="6"/>
  <c r="J2010" i="6"/>
  <c r="J2009" i="6"/>
  <c r="J2008" i="6"/>
  <c r="J2007" i="6"/>
  <c r="J2006" i="6"/>
  <c r="J2005" i="6"/>
  <c r="J2004" i="6"/>
  <c r="J2003" i="6"/>
  <c r="J2002" i="6"/>
  <c r="J1999" i="6"/>
  <c r="J1998" i="6"/>
  <c r="J2000" i="6"/>
  <c r="J1995" i="6"/>
  <c r="J1993" i="6"/>
  <c r="J1992" i="6"/>
  <c r="J1991" i="6"/>
  <c r="J1990" i="6"/>
  <c r="J1989" i="6"/>
  <c r="J1988" i="6"/>
  <c r="J1987" i="6"/>
  <c r="J1986" i="6"/>
  <c r="J1985" i="6"/>
  <c r="J1968" i="6"/>
  <c r="J1967" i="6"/>
  <c r="J1965" i="6"/>
  <c r="J1963" i="6"/>
  <c r="J1974" i="6"/>
  <c r="J1953" i="6"/>
  <c r="J1952" i="6"/>
  <c r="J1950" i="6"/>
  <c r="J1948" i="6"/>
  <c r="J1956" i="6"/>
  <c r="J1938" i="6"/>
  <c r="J1937" i="6"/>
  <c r="J1935" i="6"/>
  <c r="J1933" i="6"/>
  <c r="J1943" i="6"/>
  <c r="J1923" i="6"/>
  <c r="J1977" i="6"/>
  <c r="J1922" i="6"/>
  <c r="J1920" i="6"/>
  <c r="J1918" i="6"/>
  <c r="J1926" i="6"/>
  <c r="J1908" i="6"/>
  <c r="J1907" i="6"/>
  <c r="J1905" i="6"/>
  <c r="J1904" i="6"/>
  <c r="J1903" i="6"/>
  <c r="J1914" i="6"/>
  <c r="J1897" i="6"/>
  <c r="J1896" i="6"/>
  <c r="J1895" i="6"/>
  <c r="J1894" i="6"/>
  <c r="J1893" i="6"/>
  <c r="J1892" i="6"/>
  <c r="J1891" i="6"/>
  <c r="J1890" i="6"/>
  <c r="J1889" i="6"/>
  <c r="J1888" i="6"/>
  <c r="J1887" i="6"/>
  <c r="J1885" i="6"/>
  <c r="J1884" i="6"/>
  <c r="J1883" i="6"/>
  <c r="J1882" i="6"/>
  <c r="J1881" i="6"/>
  <c r="J1880" i="6"/>
  <c r="J1879" i="6"/>
  <c r="J1878" i="6"/>
  <c r="J1877" i="6"/>
  <c r="J1876" i="6"/>
  <c r="J1875" i="6"/>
  <c r="J1874" i="6"/>
  <c r="J1871" i="6"/>
  <c r="J1870" i="6"/>
  <c r="J1872" i="6"/>
  <c r="J1867" i="6"/>
  <c r="J1865" i="6"/>
  <c r="J1864" i="6"/>
  <c r="J1866" i="6"/>
  <c r="J1863" i="6"/>
  <c r="J1862" i="6"/>
  <c r="J1861" i="6"/>
  <c r="J1860" i="6"/>
  <c r="J1859" i="6"/>
  <c r="J1858" i="6"/>
  <c r="J1857" i="6"/>
  <c r="J1840" i="6"/>
  <c r="J1839" i="6"/>
  <c r="J1837" i="6"/>
  <c r="J1835" i="6"/>
  <c r="J1843" i="6"/>
  <c r="J1825" i="6"/>
  <c r="J1824" i="6"/>
  <c r="J1822" i="6"/>
  <c r="J1820" i="6"/>
  <c r="J1831" i="6"/>
  <c r="J1810" i="6"/>
  <c r="J1809" i="6"/>
  <c r="J1807" i="6"/>
  <c r="J1805" i="6"/>
  <c r="J1812" i="6"/>
  <c r="J1795" i="6"/>
  <c r="J1794" i="6"/>
  <c r="J1792" i="6"/>
  <c r="J1790" i="6"/>
  <c r="J1797" i="6"/>
  <c r="J1780" i="6"/>
  <c r="J1779" i="6"/>
  <c r="J1777" i="6"/>
  <c r="J1853" i="6"/>
  <c r="J1776" i="6"/>
  <c r="J1775" i="6"/>
  <c r="J1785" i="6"/>
  <c r="J1769" i="6"/>
  <c r="J1768" i="6"/>
  <c r="J1767" i="6"/>
  <c r="J1766" i="6"/>
  <c r="J1765" i="6"/>
  <c r="J1764" i="6"/>
  <c r="J1763" i="6"/>
  <c r="J1762" i="6"/>
  <c r="J1761" i="6"/>
  <c r="J1760" i="6"/>
  <c r="J1759" i="6"/>
  <c r="J1757" i="6"/>
  <c r="J1756" i="6"/>
  <c r="J1755" i="6"/>
  <c r="J1754" i="6"/>
  <c r="J1753" i="6"/>
  <c r="J1752" i="6"/>
  <c r="J1751" i="6"/>
  <c r="J1750" i="6"/>
  <c r="J1749" i="6"/>
  <c r="J1748" i="6"/>
  <c r="J1747" i="6"/>
  <c r="J1746" i="6"/>
  <c r="J1743" i="6"/>
  <c r="J1742" i="6"/>
  <c r="J1744" i="6"/>
  <c r="J1739" i="6"/>
  <c r="J1737" i="6"/>
  <c r="J1738" i="6"/>
  <c r="J1736" i="6"/>
  <c r="J1735" i="6"/>
  <c r="J1734" i="6"/>
  <c r="J1733" i="6"/>
  <c r="J1732" i="6"/>
  <c r="J1731" i="6"/>
  <c r="J1730" i="6"/>
  <c r="J1729" i="6"/>
  <c r="J1712" i="6"/>
  <c r="J1711" i="6"/>
  <c r="J1709" i="6"/>
  <c r="J1707" i="6"/>
  <c r="J1717" i="6"/>
  <c r="J1697" i="6"/>
  <c r="J1696" i="6"/>
  <c r="J1694" i="6"/>
  <c r="J1692" i="6"/>
  <c r="J1702" i="6"/>
  <c r="J1682" i="6"/>
  <c r="J1681" i="6"/>
  <c r="J1679" i="6"/>
  <c r="J1677" i="6"/>
  <c r="J1684" i="6"/>
  <c r="J1667" i="6"/>
  <c r="J1666" i="6"/>
  <c r="J1664" i="6"/>
  <c r="J1662" i="6"/>
  <c r="J1670" i="6"/>
  <c r="J1652" i="6"/>
  <c r="J1651" i="6"/>
  <c r="J1649" i="6"/>
  <c r="J1648" i="6"/>
  <c r="J1647" i="6"/>
  <c r="J1657" i="6"/>
  <c r="J1641" i="6"/>
  <c r="J1640" i="6"/>
  <c r="J1639" i="6"/>
  <c r="J1638" i="6"/>
  <c r="J1637" i="6"/>
  <c r="J1636" i="6"/>
  <c r="J1635" i="6"/>
  <c r="J1634" i="6"/>
  <c r="J1633" i="6"/>
  <c r="J1632" i="6"/>
  <c r="J1631" i="6"/>
  <c r="J1629" i="6"/>
  <c r="J1628" i="6"/>
  <c r="J1627" i="6"/>
  <c r="J1626" i="6"/>
  <c r="J1625" i="6"/>
  <c r="J1624" i="6"/>
  <c r="J1623" i="6"/>
  <c r="J1622" i="6"/>
  <c r="J1621" i="6"/>
  <c r="J1620" i="6"/>
  <c r="J1619" i="6"/>
  <c r="J1618" i="6"/>
  <c r="J1615" i="6"/>
  <c r="J1614" i="6"/>
  <c r="J1611" i="6"/>
  <c r="J1609" i="6"/>
  <c r="J1608" i="6"/>
  <c r="J1607" i="6"/>
  <c r="J1606" i="6"/>
  <c r="J1605" i="6"/>
  <c r="J1604" i="6"/>
  <c r="J1603" i="6"/>
  <c r="J1602" i="6"/>
  <c r="J1601" i="6"/>
  <c r="J1584" i="6"/>
  <c r="J1583" i="6"/>
  <c r="J1581" i="6"/>
  <c r="J1579" i="6"/>
  <c r="J1589" i="6"/>
  <c r="J1569" i="6"/>
  <c r="J1568" i="6"/>
  <c r="J1566" i="6"/>
  <c r="J1597" i="6"/>
  <c r="J1564" i="6"/>
  <c r="J1574" i="6"/>
  <c r="J1554" i="6"/>
  <c r="J1553" i="6"/>
  <c r="J1551" i="6"/>
  <c r="J1549" i="6"/>
  <c r="J1556" i="6"/>
  <c r="J1539" i="6"/>
  <c r="J1538" i="6"/>
  <c r="J1592" i="6"/>
  <c r="J1536" i="6"/>
  <c r="J1534" i="6"/>
  <c r="J1541" i="6"/>
  <c r="J1524" i="6"/>
  <c r="J1523" i="6"/>
  <c r="J1521" i="6"/>
  <c r="J1520" i="6"/>
  <c r="J1519" i="6"/>
  <c r="J1526" i="6"/>
  <c r="J1513" i="6"/>
  <c r="J1512" i="6"/>
  <c r="J1511" i="6"/>
  <c r="J1510" i="6"/>
  <c r="J1509" i="6"/>
  <c r="J1508" i="6"/>
  <c r="J1507" i="6"/>
  <c r="J1506" i="6"/>
  <c r="J1505" i="6"/>
  <c r="J1504" i="6"/>
  <c r="J1503" i="6"/>
  <c r="J1501" i="6"/>
  <c r="J1500" i="6"/>
  <c r="J1499" i="6"/>
  <c r="J1498" i="6"/>
  <c r="J1497" i="6"/>
  <c r="J1496" i="6"/>
  <c r="J1495" i="6"/>
  <c r="J1494" i="6"/>
  <c r="J1493" i="6"/>
  <c r="J1492" i="6"/>
  <c r="J1491" i="6"/>
  <c r="J1490" i="6"/>
  <c r="J1487" i="6"/>
  <c r="J1486" i="6"/>
  <c r="J1483" i="6"/>
  <c r="J1481" i="6"/>
  <c r="J1482" i="6"/>
  <c r="J1480" i="6"/>
  <c r="J1479" i="6"/>
  <c r="J1478" i="6"/>
  <c r="J1477" i="6"/>
  <c r="J1476" i="6"/>
  <c r="J1475" i="6"/>
  <c r="J1474" i="6"/>
  <c r="J1473" i="6"/>
  <c r="J1456" i="6"/>
  <c r="J1455" i="6"/>
  <c r="J1453" i="6"/>
  <c r="J1451" i="6"/>
  <c r="J1462" i="6"/>
  <c r="J1441" i="6"/>
  <c r="J1440" i="6"/>
  <c r="J1438" i="6"/>
  <c r="J1436" i="6"/>
  <c r="J1447" i="6"/>
  <c r="J1426" i="6"/>
  <c r="J1425" i="6"/>
  <c r="J1423" i="6"/>
  <c r="J1421" i="6"/>
  <c r="J1428" i="6"/>
  <c r="J1411" i="6"/>
  <c r="J1465" i="6"/>
  <c r="J1410" i="6"/>
  <c r="J1408" i="6"/>
  <c r="J1469" i="6"/>
  <c r="J1406" i="6"/>
  <c r="J1416" i="6"/>
  <c r="J1396" i="6"/>
  <c r="J1395" i="6"/>
  <c r="J1393" i="6"/>
  <c r="J1392" i="6"/>
  <c r="J1391" i="6"/>
  <c r="J1401" i="6"/>
  <c r="J1390" i="6"/>
  <c r="J1389" i="6"/>
  <c r="J1385" i="6"/>
  <c r="J1384" i="6"/>
  <c r="J1383" i="6"/>
  <c r="J1382" i="6"/>
  <c r="J1381" i="6"/>
  <c r="J1380" i="6"/>
  <c r="J1379" i="6"/>
  <c r="J1378" i="6"/>
  <c r="J1377" i="6"/>
  <c r="J1376" i="6"/>
  <c r="J1375" i="6"/>
  <c r="J1373" i="6"/>
  <c r="J1372" i="6"/>
  <c r="J1371" i="6"/>
  <c r="J1370" i="6"/>
  <c r="J1369" i="6"/>
  <c r="J1368" i="6"/>
  <c r="J1367" i="6"/>
  <c r="J1366" i="6"/>
  <c r="J1365" i="6"/>
  <c r="J1364" i="6"/>
  <c r="J1363" i="6"/>
  <c r="J1362" i="6"/>
  <c r="J1359" i="6"/>
  <c r="J1360" i="6"/>
  <c r="J1358" i="6"/>
  <c r="J1355" i="6"/>
  <c r="J1353" i="6"/>
  <c r="J1352" i="6"/>
  <c r="J1351" i="6"/>
  <c r="J1350" i="6"/>
  <c r="J1349" i="6"/>
  <c r="J1348" i="6"/>
  <c r="J1347" i="6"/>
  <c r="J1346" i="6"/>
  <c r="J1345" i="6"/>
  <c r="J1328" i="6"/>
  <c r="J1327" i="6"/>
  <c r="J1325" i="6"/>
  <c r="J1323" i="6"/>
  <c r="J1313" i="6"/>
  <c r="J1312" i="6"/>
  <c r="J1310" i="6"/>
  <c r="J1308" i="6"/>
  <c r="J1298" i="6"/>
  <c r="J1297" i="6"/>
  <c r="J1295" i="6"/>
  <c r="J1293" i="6"/>
  <c r="J1283" i="6"/>
  <c r="J1282" i="6"/>
  <c r="J1280" i="6"/>
  <c r="J1341" i="6"/>
  <c r="J1278" i="6"/>
  <c r="J1288" i="6"/>
  <c r="J1268" i="6"/>
  <c r="J1267" i="6"/>
  <c r="J1336" i="6"/>
  <c r="J1265" i="6"/>
  <c r="J1264" i="6"/>
  <c r="J1263" i="6"/>
  <c r="J1270" i="6"/>
  <c r="J1262" i="6"/>
  <c r="J1261" i="6"/>
  <c r="J1257" i="6"/>
  <c r="J1256" i="6"/>
  <c r="J1255" i="6"/>
  <c r="J1254" i="6"/>
  <c r="J1253" i="6"/>
  <c r="J1252" i="6"/>
  <c r="J1251" i="6"/>
  <c r="J1250" i="6"/>
  <c r="J1249" i="6"/>
  <c r="J1248" i="6"/>
  <c r="J1247" i="6"/>
  <c r="J1245" i="6"/>
  <c r="J1244" i="6"/>
  <c r="J1243" i="6"/>
  <c r="J1242" i="6"/>
  <c r="J1241" i="6"/>
  <c r="J1240" i="6"/>
  <c r="J1239" i="6"/>
  <c r="J1238" i="6"/>
  <c r="J1237" i="6"/>
  <c r="J1236" i="6"/>
  <c r="J1235" i="6"/>
  <c r="J1234" i="6"/>
  <c r="J1231" i="6"/>
  <c r="J1230" i="6"/>
  <c r="J1232" i="6"/>
  <c r="J1227" i="6"/>
  <c r="J1225" i="6"/>
  <c r="J1224" i="6"/>
  <c r="J1223" i="6"/>
  <c r="J1222" i="6"/>
  <c r="J1221" i="6"/>
  <c r="J1220" i="6"/>
  <c r="J1219" i="6"/>
  <c r="J1218" i="6"/>
  <c r="J1217" i="6"/>
  <c r="J1200" i="6"/>
  <c r="J1199" i="6"/>
  <c r="J1197" i="6"/>
  <c r="J1195" i="6"/>
  <c r="J1205" i="6"/>
  <c r="J1185" i="6"/>
  <c r="J1184" i="6"/>
  <c r="J1182" i="6"/>
  <c r="J1180" i="6"/>
  <c r="J1190" i="6"/>
  <c r="J1170" i="6"/>
  <c r="J1169" i="6"/>
  <c r="J1167" i="6"/>
  <c r="J1165" i="6"/>
  <c r="J1175" i="6"/>
  <c r="J1155" i="6"/>
  <c r="J1209" i="6"/>
  <c r="J1154" i="6"/>
  <c r="J1152" i="6"/>
  <c r="J1150" i="6"/>
  <c r="J1158" i="6"/>
  <c r="J1140" i="6"/>
  <c r="J1139" i="6"/>
  <c r="J1137" i="6"/>
  <c r="J1136" i="6"/>
  <c r="J1135" i="6"/>
  <c r="J1145" i="6"/>
  <c r="J1134" i="6"/>
  <c r="J1133" i="6"/>
  <c r="J1129" i="6"/>
  <c r="J1128" i="6"/>
  <c r="J1127" i="6"/>
  <c r="J1126" i="6"/>
  <c r="J1125" i="6"/>
  <c r="J1124" i="6"/>
  <c r="J1123" i="6"/>
  <c r="J1122" i="6"/>
  <c r="J1121" i="6"/>
  <c r="J1120" i="6"/>
  <c r="J1119" i="6"/>
  <c r="J1117" i="6"/>
  <c r="J1116" i="6"/>
  <c r="J1115" i="6"/>
  <c r="J1114" i="6"/>
  <c r="J1113" i="6"/>
  <c r="J1112" i="6"/>
  <c r="J1111" i="6"/>
  <c r="J1110" i="6"/>
  <c r="J1109" i="6"/>
  <c r="J1108" i="6"/>
  <c r="J1107" i="6"/>
  <c r="J1106" i="6"/>
  <c r="J1103" i="6"/>
  <c r="J1104" i="6"/>
  <c r="J1102" i="6"/>
  <c r="J1099" i="6"/>
  <c r="J1097" i="6"/>
  <c r="J1096" i="6"/>
  <c r="J1095" i="6"/>
  <c r="J1094" i="6"/>
  <c r="J1093" i="6"/>
  <c r="J1092" i="6"/>
  <c r="J1091" i="6"/>
  <c r="J1090" i="6"/>
  <c r="J1089" i="6"/>
  <c r="J1072" i="6"/>
  <c r="J1071" i="6"/>
  <c r="J1069" i="6"/>
  <c r="J1067" i="6"/>
  <c r="J1078" i="6"/>
  <c r="J1057" i="6"/>
  <c r="J1056" i="6"/>
  <c r="J1054" i="6"/>
  <c r="J1052" i="6"/>
  <c r="J1059" i="6"/>
  <c r="J1042" i="6"/>
  <c r="J1041" i="6"/>
  <c r="J1039" i="6"/>
  <c r="J1037" i="6"/>
  <c r="J1045" i="6"/>
  <c r="J1027" i="6"/>
  <c r="J1026" i="6"/>
  <c r="J1024" i="6"/>
  <c r="J1022" i="6"/>
  <c r="J1033" i="6"/>
  <c r="J1012" i="6"/>
  <c r="J1011" i="6"/>
  <c r="J1009" i="6"/>
  <c r="J1008" i="6"/>
  <c r="J1007" i="6"/>
  <c r="J1014" i="6"/>
  <c r="J1006" i="6"/>
  <c r="J1005" i="6"/>
  <c r="J1001" i="6"/>
  <c r="J1000" i="6"/>
  <c r="J999" i="6"/>
  <c r="J998" i="6"/>
  <c r="J997" i="6"/>
  <c r="J996" i="6"/>
  <c r="J995" i="6"/>
  <c r="J994" i="6"/>
  <c r="J993" i="6"/>
  <c r="J992" i="6"/>
  <c r="J991" i="6"/>
  <c r="J989" i="6"/>
  <c r="J988" i="6"/>
  <c r="J987" i="6"/>
  <c r="J986" i="6"/>
  <c r="J985" i="6"/>
  <c r="J984" i="6"/>
  <c r="J983" i="6"/>
  <c r="J982" i="6"/>
  <c r="J981" i="6"/>
  <c r="J980" i="6"/>
  <c r="J979" i="6"/>
  <c r="J978" i="6"/>
  <c r="J975" i="6"/>
  <c r="J974" i="6"/>
  <c r="J976" i="6"/>
  <c r="J971" i="6"/>
  <c r="J969" i="6"/>
  <c r="J968" i="6"/>
  <c r="J967" i="6"/>
  <c r="J966" i="6"/>
  <c r="J965" i="6"/>
  <c r="J964" i="6"/>
  <c r="J963" i="6"/>
  <c r="J962" i="6"/>
  <c r="J961" i="6"/>
  <c r="J944" i="6"/>
  <c r="J943" i="6"/>
  <c r="J941" i="6"/>
  <c r="J939" i="6"/>
  <c r="J946" i="6"/>
  <c r="J929" i="6"/>
  <c r="J928" i="6"/>
  <c r="J926" i="6"/>
  <c r="J924" i="6"/>
  <c r="J934" i="6"/>
  <c r="J914" i="6"/>
  <c r="J913" i="6"/>
  <c r="J911" i="6"/>
  <c r="J909" i="6"/>
  <c r="J917" i="6"/>
  <c r="J899" i="6"/>
  <c r="J953" i="6"/>
  <c r="J898" i="6"/>
  <c r="J896" i="6"/>
  <c r="J957" i="6"/>
  <c r="J894" i="6"/>
  <c r="J904" i="6"/>
  <c r="J884" i="6"/>
  <c r="J883" i="6"/>
  <c r="J881" i="6"/>
  <c r="J880" i="6"/>
  <c r="J879" i="6"/>
  <c r="J889" i="6"/>
  <c r="J878" i="6"/>
  <c r="J877" i="6"/>
  <c r="J873" i="6"/>
  <c r="J872" i="6"/>
  <c r="J871" i="6"/>
  <c r="J870" i="6"/>
  <c r="J869" i="6"/>
  <c r="J868" i="6"/>
  <c r="J867" i="6"/>
  <c r="J866" i="6"/>
  <c r="J865" i="6"/>
  <c r="J864" i="6"/>
  <c r="J863" i="6"/>
  <c r="J861" i="6"/>
  <c r="J860" i="6"/>
  <c r="J859" i="6"/>
  <c r="J858" i="6"/>
  <c r="J857" i="6"/>
  <c r="J856" i="6"/>
  <c r="J855" i="6"/>
  <c r="J854" i="6"/>
  <c r="J853" i="6"/>
  <c r="J852" i="6"/>
  <c r="J851" i="6"/>
  <c r="J850" i="6"/>
  <c r="J847" i="6"/>
  <c r="J848" i="6"/>
  <c r="J846" i="6"/>
  <c r="J843" i="6"/>
  <c r="J841" i="6"/>
  <c r="J840" i="6"/>
  <c r="J839" i="6"/>
  <c r="J838" i="6"/>
  <c r="J837" i="6"/>
  <c r="J836" i="6"/>
  <c r="J835" i="6"/>
  <c r="J834" i="6"/>
  <c r="J833" i="6"/>
  <c r="J832" i="6"/>
  <c r="J815" i="6"/>
  <c r="J814" i="6"/>
  <c r="J812" i="6"/>
  <c r="J810" i="6"/>
  <c r="J818" i="6" s="1"/>
  <c r="J800" i="6"/>
  <c r="J799" i="6"/>
  <c r="J797" i="6"/>
  <c r="J795" i="6"/>
  <c r="J806" i="6" s="1"/>
  <c r="J785" i="6"/>
  <c r="J784" i="6"/>
  <c r="J782" i="6"/>
  <c r="J780" i="6"/>
  <c r="J787" i="6" s="1"/>
  <c r="J770" i="6"/>
  <c r="J769" i="6"/>
  <c r="J767" i="6"/>
  <c r="J765" i="6"/>
  <c r="J776" i="6" s="1"/>
  <c r="J749" i="6"/>
  <c r="J748" i="6"/>
  <c r="J746" i="6"/>
  <c r="J745" i="6"/>
  <c r="J744" i="6"/>
  <c r="J743" i="6"/>
  <c r="J742" i="6"/>
  <c r="J738" i="6"/>
  <c r="J737" i="6"/>
  <c r="J736" i="6"/>
  <c r="J735" i="6"/>
  <c r="J734" i="6"/>
  <c r="J733" i="6"/>
  <c r="J732" i="6"/>
  <c r="J731" i="6"/>
  <c r="J730" i="6"/>
  <c r="J729" i="6"/>
  <c r="J728" i="6"/>
  <c r="J726" i="6"/>
  <c r="J725" i="6"/>
  <c r="J724" i="6"/>
  <c r="J723" i="6"/>
  <c r="J722" i="6"/>
  <c r="J721" i="6"/>
  <c r="J720" i="6"/>
  <c r="J719" i="6"/>
  <c r="J718" i="6"/>
  <c r="J717" i="6"/>
  <c r="J716" i="6"/>
  <c r="J715" i="6"/>
  <c r="J712" i="6"/>
  <c r="J711" i="6"/>
  <c r="J708" i="6"/>
  <c r="J706" i="6"/>
  <c r="J705" i="6"/>
  <c r="J704" i="6"/>
  <c r="J703" i="6"/>
  <c r="J702" i="6"/>
  <c r="J701" i="6"/>
  <c r="J700" i="6"/>
  <c r="J699" i="6"/>
  <c r="J698" i="6"/>
  <c r="J697" i="6"/>
  <c r="J680" i="6"/>
  <c r="J679" i="6"/>
  <c r="J677" i="6"/>
  <c r="J675" i="6"/>
  <c r="J686" i="6" s="1"/>
  <c r="J665" i="6"/>
  <c r="J664" i="6"/>
  <c r="J662" i="6"/>
  <c r="J660" i="6"/>
  <c r="J667" i="6" s="1"/>
  <c r="J650" i="6"/>
  <c r="J649" i="6"/>
  <c r="J647" i="6"/>
  <c r="J645" i="6"/>
  <c r="J653" i="6" s="1"/>
  <c r="J635" i="6"/>
  <c r="J634" i="6"/>
  <c r="J632" i="6"/>
  <c r="J630" i="6"/>
  <c r="J614" i="6"/>
  <c r="J613" i="6"/>
  <c r="J611" i="6"/>
  <c r="J610" i="6"/>
  <c r="J609" i="6"/>
  <c r="J620" i="6" s="1"/>
  <c r="J608" i="6"/>
  <c r="J607" i="6"/>
  <c r="J603" i="6"/>
  <c r="J602" i="6"/>
  <c r="J601" i="6"/>
  <c r="J600" i="6"/>
  <c r="J599" i="6"/>
  <c r="J598" i="6"/>
  <c r="J597" i="6"/>
  <c r="J596" i="6"/>
  <c r="J595" i="6"/>
  <c r="J594" i="6"/>
  <c r="J593" i="6"/>
  <c r="J591" i="6"/>
  <c r="J590" i="6"/>
  <c r="J589" i="6"/>
  <c r="J588" i="6"/>
  <c r="J587" i="6"/>
  <c r="J586" i="6"/>
  <c r="J585" i="6"/>
  <c r="J584" i="6"/>
  <c r="J583" i="6"/>
  <c r="J582" i="6"/>
  <c r="J581" i="6"/>
  <c r="J580" i="6"/>
  <c r="J577" i="6"/>
  <c r="J576" i="6"/>
  <c r="J573" i="6"/>
  <c r="J571" i="6"/>
  <c r="J570" i="6"/>
  <c r="J569" i="6"/>
  <c r="J568" i="6"/>
  <c r="J567" i="6"/>
  <c r="J566" i="6"/>
  <c r="J565" i="6"/>
  <c r="J564" i="6"/>
  <c r="J563" i="6"/>
  <c r="J562" i="6"/>
  <c r="J545" i="6"/>
  <c r="J544" i="6"/>
  <c r="J542" i="6"/>
  <c r="J540" i="6"/>
  <c r="J551" i="6" s="1"/>
  <c r="J530" i="6"/>
  <c r="J529" i="6"/>
  <c r="J527" i="6"/>
  <c r="J525" i="6"/>
  <c r="J533" i="6" s="1"/>
  <c r="J515" i="6"/>
  <c r="J514" i="6"/>
  <c r="J512" i="6"/>
  <c r="J510" i="6"/>
  <c r="J517" i="6" s="1"/>
  <c r="J500" i="6"/>
  <c r="J499" i="6"/>
  <c r="J497" i="6"/>
  <c r="J495" i="6"/>
  <c r="J502" i="6" s="1"/>
  <c r="J479" i="6"/>
  <c r="J478" i="6"/>
  <c r="J476" i="6"/>
  <c r="J475" i="6"/>
  <c r="J474" i="6"/>
  <c r="J486" i="6" s="1"/>
  <c r="J473" i="6"/>
  <c r="J472" i="6"/>
  <c r="J468" i="6"/>
  <c r="J467" i="6"/>
  <c r="J466" i="6"/>
  <c r="J465" i="6"/>
  <c r="J464" i="6"/>
  <c r="J463" i="6"/>
  <c r="J462" i="6"/>
  <c r="J461" i="6"/>
  <c r="J460" i="6"/>
  <c r="J459" i="6"/>
  <c r="J458" i="6"/>
  <c r="J456" i="6"/>
  <c r="J455" i="6"/>
  <c r="J454" i="6"/>
  <c r="J453" i="6"/>
  <c r="J452" i="6"/>
  <c r="J451" i="6"/>
  <c r="J450" i="6"/>
  <c r="J449" i="6"/>
  <c r="J448" i="6"/>
  <c r="J447" i="6"/>
  <c r="J446" i="6"/>
  <c r="J445" i="6"/>
  <c r="J442" i="6"/>
  <c r="J441" i="6"/>
  <c r="J438" i="6"/>
  <c r="J437" i="6"/>
  <c r="J436" i="6"/>
  <c r="J435" i="6"/>
  <c r="J434" i="6"/>
  <c r="J433" i="6"/>
  <c r="J432" i="6"/>
  <c r="J431" i="6"/>
  <c r="J430" i="6"/>
  <c r="J429" i="6"/>
  <c r="J428" i="6"/>
  <c r="J427" i="6"/>
  <c r="J410" i="6"/>
  <c r="J409" i="6"/>
  <c r="J407" i="6"/>
  <c r="J405" i="6"/>
  <c r="J412" i="6" s="1"/>
  <c r="J395" i="6"/>
  <c r="J394" i="6"/>
  <c r="J392" i="6"/>
  <c r="J390" i="6"/>
  <c r="J398" i="6" s="1"/>
  <c r="J380" i="6"/>
  <c r="J379" i="6"/>
  <c r="J377" i="6"/>
  <c r="J375" i="6"/>
  <c r="J382" i="6" s="1"/>
  <c r="J365" i="6"/>
  <c r="J364" i="6"/>
  <c r="J362" i="6"/>
  <c r="J360" i="6"/>
  <c r="J367" i="6" s="1"/>
  <c r="J344" i="6"/>
  <c r="J343" i="6"/>
  <c r="J341" i="6"/>
  <c r="J340" i="6"/>
  <c r="J339" i="6"/>
  <c r="J355" i="6" s="1"/>
  <c r="J338" i="6"/>
  <c r="J337" i="6"/>
  <c r="J333" i="6"/>
  <c r="J332" i="6"/>
  <c r="J331" i="6"/>
  <c r="J330" i="6"/>
  <c r="J329" i="6"/>
  <c r="J328" i="6"/>
  <c r="J327" i="6"/>
  <c r="J326" i="6"/>
  <c r="J325" i="6"/>
  <c r="J324" i="6"/>
  <c r="J323" i="6"/>
  <c r="J321" i="6"/>
  <c r="J320" i="6"/>
  <c r="J319" i="6"/>
  <c r="J318" i="6"/>
  <c r="J317" i="6"/>
  <c r="J316" i="6"/>
  <c r="J315" i="6"/>
  <c r="J314" i="6"/>
  <c r="J313" i="6"/>
  <c r="J312" i="6"/>
  <c r="J311" i="6"/>
  <c r="J310" i="6"/>
  <c r="J307" i="6"/>
  <c r="J306" i="6"/>
  <c r="J303" i="6"/>
  <c r="J302" i="6"/>
  <c r="J301" i="6"/>
  <c r="J300" i="6"/>
  <c r="J299" i="6"/>
  <c r="L298" i="6"/>
  <c r="J298" i="6"/>
  <c r="J297" i="6"/>
  <c r="J296" i="6"/>
  <c r="J295" i="6"/>
  <c r="J294" i="6"/>
  <c r="L293" i="6"/>
  <c r="J293" i="6"/>
  <c r="J292" i="6"/>
  <c r="J275" i="6"/>
  <c r="J274" i="6"/>
  <c r="J272" i="6"/>
  <c r="J270" i="6"/>
  <c r="J280" i="6" s="1"/>
  <c r="J260" i="6"/>
  <c r="J259" i="6"/>
  <c r="J257" i="6"/>
  <c r="J255" i="6"/>
  <c r="J245" i="6"/>
  <c r="J244" i="6"/>
  <c r="J242" i="6"/>
  <c r="J240" i="6"/>
  <c r="J248" i="6" s="1"/>
  <c r="J230" i="6"/>
  <c r="J229" i="6"/>
  <c r="J227" i="6"/>
  <c r="J225" i="6"/>
  <c r="J232" i="6" s="1"/>
  <c r="J209" i="6"/>
  <c r="J208" i="6"/>
  <c r="J206" i="6"/>
  <c r="J205" i="6"/>
  <c r="J204" i="6"/>
  <c r="J203" i="6"/>
  <c r="J202" i="6"/>
  <c r="J198" i="6"/>
  <c r="J197" i="6"/>
  <c r="J196" i="6"/>
  <c r="J195" i="6"/>
  <c r="J194" i="6"/>
  <c r="J193" i="6"/>
  <c r="J192" i="6"/>
  <c r="J191" i="6"/>
  <c r="J190" i="6"/>
  <c r="J189" i="6"/>
  <c r="J188" i="6"/>
  <c r="J187" i="6"/>
  <c r="J185" i="6"/>
  <c r="J184" i="6"/>
  <c r="J183" i="6"/>
  <c r="L182" i="6"/>
  <c r="J182" i="6"/>
  <c r="J176" i="6"/>
  <c r="J179" i="6" s="1"/>
  <c r="J175" i="6"/>
  <c r="J174" i="6"/>
  <c r="J173" i="6"/>
  <c r="J168" i="6"/>
  <c r="J167" i="6"/>
  <c r="J166" i="6"/>
  <c r="J165" i="6"/>
  <c r="L162" i="6"/>
  <c r="J162" i="6"/>
  <c r="L161" i="6"/>
  <c r="J161" i="6"/>
  <c r="J99" i="6"/>
  <c r="J67" i="6"/>
  <c r="J53" i="6"/>
  <c r="J52" i="6"/>
  <c r="J51" i="6"/>
  <c r="J48" i="6"/>
  <c r="J43" i="6"/>
  <c r="J42" i="6"/>
  <c r="J41" i="6"/>
  <c r="J39" i="6"/>
  <c r="J29" i="6"/>
  <c r="J28" i="6"/>
  <c r="J27" i="6"/>
  <c r="J26" i="6"/>
  <c r="J25" i="6"/>
  <c r="J24" i="6"/>
  <c r="J21" i="6"/>
  <c r="J20" i="6"/>
  <c r="J19" i="6"/>
  <c r="J18" i="6"/>
  <c r="J2001" i="6" s="1"/>
  <c r="J16" i="6"/>
  <c r="J6" i="6"/>
  <c r="I519" i="4"/>
  <c r="I518" i="4"/>
  <c r="I517" i="4"/>
  <c r="I516" i="4"/>
  <c r="I513" i="4"/>
  <c r="I512" i="4"/>
  <c r="I511" i="4"/>
  <c r="I510" i="4"/>
  <c r="I507" i="4"/>
  <c r="I506" i="4"/>
  <c r="I505" i="4"/>
  <c r="I504" i="4"/>
  <c r="I501" i="4"/>
  <c r="I500" i="4"/>
  <c r="I499" i="4"/>
  <c r="I498" i="4"/>
  <c r="I495" i="4"/>
  <c r="I494" i="4"/>
  <c r="I493" i="4"/>
  <c r="I492" i="4"/>
  <c r="I489" i="4"/>
  <c r="I488" i="4"/>
  <c r="I487" i="4"/>
  <c r="I486" i="4"/>
  <c r="I483" i="4"/>
  <c r="I482" i="4"/>
  <c r="I481" i="4"/>
  <c r="I480" i="4"/>
  <c r="I477" i="4"/>
  <c r="I476" i="4"/>
  <c r="I475" i="4"/>
  <c r="I474" i="4"/>
  <c r="I471" i="4"/>
  <c r="I470" i="4"/>
  <c r="I469" i="4"/>
  <c r="I468" i="4"/>
  <c r="I465" i="4"/>
  <c r="I464" i="4"/>
  <c r="I463" i="4"/>
  <c r="I462" i="4"/>
  <c r="I459" i="4"/>
  <c r="I458" i="4"/>
  <c r="I457" i="4"/>
  <c r="I456" i="4"/>
  <c r="I453" i="4"/>
  <c r="I452" i="4"/>
  <c r="I451" i="4"/>
  <c r="I450" i="4"/>
  <c r="I447" i="4"/>
  <c r="I446" i="4"/>
  <c r="I445" i="4"/>
  <c r="I444" i="4"/>
  <c r="I441" i="4"/>
  <c r="I440" i="4"/>
  <c r="I439" i="4"/>
  <c r="I438" i="4"/>
  <c r="I435" i="4"/>
  <c r="I434" i="4"/>
  <c r="I433" i="4"/>
  <c r="I432" i="4"/>
  <c r="I429" i="4"/>
  <c r="I428" i="4"/>
  <c r="I427" i="4"/>
  <c r="I426" i="4"/>
  <c r="I423" i="4"/>
  <c r="I422" i="4"/>
  <c r="I421" i="4"/>
  <c r="I420" i="4"/>
  <c r="I417" i="4"/>
  <c r="I416" i="4"/>
  <c r="I415" i="4"/>
  <c r="I414" i="4"/>
  <c r="I411" i="4"/>
  <c r="I410" i="4"/>
  <c r="I409" i="4"/>
  <c r="I408" i="4"/>
  <c r="I405" i="4"/>
  <c r="I404" i="4"/>
  <c r="I403" i="4"/>
  <c r="I402" i="4"/>
  <c r="I399" i="4"/>
  <c r="I398" i="4"/>
  <c r="I397" i="4"/>
  <c r="I396" i="4"/>
  <c r="I393" i="4"/>
  <c r="I392" i="4"/>
  <c r="I391" i="4"/>
  <c r="I390" i="4"/>
  <c r="I387" i="4"/>
  <c r="I386" i="4"/>
  <c r="I385" i="4"/>
  <c r="I384" i="4"/>
  <c r="I381" i="4"/>
  <c r="I380" i="4"/>
  <c r="I379" i="4"/>
  <c r="I378" i="4"/>
  <c r="I375" i="4"/>
  <c r="I374" i="4"/>
  <c r="I373" i="4"/>
  <c r="I372" i="4"/>
  <c r="I369" i="4"/>
  <c r="I368" i="4"/>
  <c r="I367" i="4"/>
  <c r="I366" i="4"/>
  <c r="I363" i="4"/>
  <c r="I362" i="4"/>
  <c r="I361" i="4"/>
  <c r="I360" i="4"/>
  <c r="I357" i="4"/>
  <c r="I356" i="4"/>
  <c r="I355" i="4"/>
  <c r="I354" i="4"/>
  <c r="I351" i="4"/>
  <c r="I350" i="4"/>
  <c r="I349" i="4"/>
  <c r="I348" i="4"/>
  <c r="I345" i="4"/>
  <c r="I344" i="4"/>
  <c r="I343" i="4"/>
  <c r="I342" i="4"/>
  <c r="I336" i="4"/>
  <c r="I335" i="4"/>
  <c r="I334" i="4"/>
  <c r="I333" i="4"/>
  <c r="I332" i="4"/>
  <c r="I331" i="4"/>
  <c r="I328" i="4"/>
  <c r="I323" i="4"/>
  <c r="I318" i="4"/>
  <c r="I313" i="4"/>
  <c r="I308" i="4"/>
  <c r="I303" i="4"/>
  <c r="I298" i="4"/>
  <c r="I293" i="4"/>
  <c r="I288" i="4"/>
  <c r="I283" i="4"/>
  <c r="I278" i="4"/>
  <c r="I273" i="4"/>
  <c r="I270" i="4"/>
  <c r="I269" i="4"/>
  <c r="I263" i="4"/>
  <c r="I262" i="4"/>
  <c r="I261" i="4"/>
  <c r="I257" i="4"/>
  <c r="I256" i="4"/>
  <c r="I253" i="4"/>
  <c r="I252" i="4"/>
  <c r="I251" i="4"/>
  <c r="I250" i="4"/>
  <c r="I249" i="4"/>
  <c r="I245" i="4"/>
  <c r="I238" i="4"/>
  <c r="I229" i="4"/>
  <c r="I226" i="4"/>
  <c r="I225" i="4"/>
  <c r="I224" i="4"/>
  <c r="I223" i="4"/>
  <c r="I222" i="4"/>
  <c r="I221" i="4"/>
  <c r="I220" i="4"/>
  <c r="I219" i="4"/>
  <c r="I218" i="4"/>
  <c r="I217" i="4"/>
  <c r="I216" i="4"/>
  <c r="I215" i="4"/>
  <c r="I214" i="4"/>
  <c r="I213" i="4"/>
  <c r="I212" i="4"/>
  <c r="I211" i="4"/>
  <c r="I210" i="4"/>
  <c r="I209" i="4"/>
  <c r="I208" i="4"/>
  <c r="I207" i="4"/>
  <c r="I206" i="4"/>
  <c r="I205" i="4"/>
  <c r="I204" i="4"/>
  <c r="I202" i="4"/>
  <c r="I198" i="4"/>
  <c r="I196" i="4"/>
  <c r="I195" i="4"/>
  <c r="I194" i="4"/>
  <c r="I193" i="4"/>
  <c r="I192" i="4"/>
  <c r="I191" i="4"/>
  <c r="I190" i="4"/>
  <c r="I184" i="4"/>
  <c r="I183" i="4"/>
  <c r="I182" i="4"/>
  <c r="I180" i="4"/>
  <c r="I174" i="4"/>
  <c r="I171" i="4"/>
  <c r="I170" i="4"/>
  <c r="I169" i="4"/>
  <c r="I168" i="4"/>
  <c r="I167" i="4"/>
  <c r="I166" i="4"/>
  <c r="I165" i="4"/>
  <c r="I164" i="4"/>
  <c r="I163" i="4"/>
  <c r="I162" i="4"/>
  <c r="I161" i="4"/>
  <c r="I160" i="4"/>
  <c r="I159" i="4"/>
  <c r="I158" i="4"/>
  <c r="I157" i="4"/>
  <c r="I156" i="4"/>
  <c r="I155" i="4"/>
  <c r="I154" i="4"/>
  <c r="I153" i="4"/>
  <c r="I152" i="4"/>
  <c r="I151" i="4"/>
  <c r="I150" i="4"/>
  <c r="I149" i="4"/>
  <c r="I147" i="4"/>
  <c r="I143" i="4"/>
  <c r="I141" i="4"/>
  <c r="I140" i="4"/>
  <c r="I139" i="4"/>
  <c r="I138" i="4"/>
  <c r="I137" i="4"/>
  <c r="I135" i="4"/>
  <c r="I129" i="4"/>
  <c r="I128" i="4"/>
  <c r="I127" i="4"/>
  <c r="I126" i="4"/>
  <c r="I125" i="4"/>
  <c r="I119" i="4"/>
  <c r="I118" i="4"/>
  <c r="I117" i="4"/>
  <c r="I116" i="4"/>
  <c r="I115" i="4"/>
  <c r="I114" i="4"/>
  <c r="I111" i="4"/>
  <c r="I15" i="116" s="1"/>
  <c r="I110" i="4"/>
  <c r="I109" i="4"/>
  <c r="I108" i="4"/>
  <c r="H15" i="116" s="1"/>
  <c r="I106" i="4"/>
  <c r="I14" i="116" s="1"/>
  <c r="I105" i="4"/>
  <c r="I104" i="4"/>
  <c r="I103" i="4"/>
  <c r="H14" i="116" s="1"/>
  <c r="I101" i="4"/>
  <c r="I13" i="116" s="1"/>
  <c r="I100" i="4"/>
  <c r="I99" i="4"/>
  <c r="I98" i="4"/>
  <c r="H13" i="116" s="1"/>
  <c r="I96" i="4"/>
  <c r="I12" i="116" s="1"/>
  <c r="I95" i="4"/>
  <c r="I94" i="4"/>
  <c r="I93" i="4"/>
  <c r="H12" i="116" s="1"/>
  <c r="I91" i="4"/>
  <c r="I11" i="116" s="1"/>
  <c r="I90" i="4"/>
  <c r="I89" i="4"/>
  <c r="I88" i="4"/>
  <c r="H11" i="116" s="1"/>
  <c r="I86" i="4"/>
  <c r="I10" i="116" s="1"/>
  <c r="I85" i="4"/>
  <c r="I84" i="4"/>
  <c r="I83" i="4"/>
  <c r="H10" i="116" s="1"/>
  <c r="I81" i="4"/>
  <c r="I9" i="116" s="1"/>
  <c r="I80" i="4"/>
  <c r="I79" i="4"/>
  <c r="I78" i="4"/>
  <c r="H9" i="116" s="1"/>
  <c r="I76" i="4"/>
  <c r="I8" i="116" s="1"/>
  <c r="I75" i="4"/>
  <c r="I74" i="4"/>
  <c r="I73" i="4"/>
  <c r="H8" i="116" s="1"/>
  <c r="I71" i="4"/>
  <c r="I7" i="116" s="1"/>
  <c r="I69" i="4"/>
  <c r="I68" i="4"/>
  <c r="H7" i="116" s="1"/>
  <c r="I66" i="4"/>
  <c r="I6" i="116" s="1"/>
  <c r="I65" i="4"/>
  <c r="I64" i="4"/>
  <c r="I63" i="4"/>
  <c r="H6" i="116" s="1"/>
  <c r="I61" i="4"/>
  <c r="I5" i="116" s="1"/>
  <c r="I60" i="4"/>
  <c r="I59" i="4"/>
  <c r="I58" i="4"/>
  <c r="H5" i="116" s="1"/>
  <c r="I56" i="4"/>
  <c r="I55" i="4"/>
  <c r="I54" i="4"/>
  <c r="I48" i="4"/>
  <c r="I43" i="4"/>
  <c r="I47" i="4" s="1"/>
  <c r="I30" i="4"/>
  <c r="I29" i="4"/>
  <c r="I28" i="4"/>
  <c r="J97" i="6" s="1"/>
  <c r="I26" i="4"/>
  <c r="I24" i="4"/>
  <c r="I22" i="4"/>
  <c r="I21" i="4"/>
  <c r="I20" i="4"/>
  <c r="I19" i="4"/>
  <c r="I18" i="4"/>
  <c r="I16" i="4"/>
  <c r="I15" i="4"/>
  <c r="I14" i="4"/>
  <c r="I13" i="4"/>
  <c r="I12" i="4"/>
  <c r="I11" i="4"/>
  <c r="I10" i="4"/>
  <c r="J2295" i="3"/>
  <c r="J2293" i="3"/>
  <c r="J2291" i="3"/>
  <c r="J2042" i="3"/>
  <c r="J2041" i="3"/>
  <c r="J2038" i="3"/>
  <c r="J2037" i="3"/>
  <c r="J2036" i="3"/>
  <c r="J2035" i="3"/>
  <c r="J2034" i="3"/>
  <c r="J2030" i="3"/>
  <c r="J2027" i="3"/>
  <c r="J2026" i="3"/>
  <c r="J2025" i="3"/>
  <c r="J2024" i="3"/>
  <c r="J2023" i="3"/>
  <c r="J2022" i="3"/>
  <c r="J2006" i="3"/>
  <c r="J2005" i="3"/>
  <c r="J2004" i="3"/>
  <c r="J2003" i="3"/>
  <c r="J2000" i="3"/>
  <c r="J1996" i="3"/>
  <c r="J1995" i="3"/>
  <c r="J1994" i="3"/>
  <c r="J1993" i="3"/>
  <c r="J1992" i="3"/>
  <c r="J1991" i="3"/>
  <c r="J1986" i="3"/>
  <c r="J1985" i="3"/>
  <c r="J1984" i="3"/>
  <c r="J1983" i="3"/>
  <c r="J1980" i="3"/>
  <c r="J1977" i="3"/>
  <c r="J1976" i="3"/>
  <c r="J1975" i="3"/>
  <c r="J1974" i="3"/>
  <c r="J1970" i="3"/>
  <c r="J1969" i="3"/>
  <c r="J1968" i="3"/>
  <c r="J1967" i="3"/>
  <c r="J1964" i="3"/>
  <c r="J1961" i="3"/>
  <c r="J1960" i="3"/>
  <c r="J1959" i="3"/>
  <c r="J1958" i="3"/>
  <c r="J1957" i="3"/>
  <c r="J1953" i="3"/>
  <c r="J1952" i="3"/>
  <c r="J1951" i="3"/>
  <c r="J1950" i="3"/>
  <c r="J1947" i="3"/>
  <c r="J1944" i="3"/>
  <c r="J1943" i="3"/>
  <c r="J1942" i="3"/>
  <c r="J1941" i="3"/>
  <c r="J1940" i="3"/>
  <c r="J1936" i="3"/>
  <c r="J1935" i="3"/>
  <c r="J1934" i="3"/>
  <c r="J1933" i="3"/>
  <c r="J1930" i="3"/>
  <c r="J1927" i="3"/>
  <c r="J1926" i="3"/>
  <c r="J1925" i="3"/>
  <c r="J1924" i="3"/>
  <c r="J1923" i="3"/>
  <c r="J1919" i="3"/>
  <c r="J1918" i="3"/>
  <c r="J1917" i="3"/>
  <c r="J1916" i="3"/>
  <c r="J1913" i="3"/>
  <c r="J1910" i="3"/>
  <c r="J1909" i="3"/>
  <c r="J1908" i="3"/>
  <c r="J1907" i="3"/>
  <c r="J1906" i="3"/>
  <c r="J1885" i="3"/>
  <c r="J1884" i="3"/>
  <c r="J1883" i="3"/>
  <c r="J1882" i="3"/>
  <c r="J1879" i="3"/>
  <c r="J1876" i="3"/>
  <c r="J1875" i="3"/>
  <c r="J1874" i="3"/>
  <c r="J1873" i="3"/>
  <c r="J1872" i="3"/>
  <c r="J1830" i="3"/>
  <c r="J1829" i="3"/>
  <c r="J1828" i="3"/>
  <c r="J1699" i="3"/>
  <c r="J1698" i="3"/>
  <c r="O33" i="122" s="1"/>
  <c r="J1697" i="3"/>
  <c r="O34" i="122" s="1"/>
  <c r="J1690" i="3"/>
  <c r="J1689" i="3"/>
  <c r="J1685" i="3"/>
  <c r="J1683" i="3"/>
  <c r="N37" i="122" s="1"/>
  <c r="S37" i="122" s="1"/>
  <c r="J1680" i="3"/>
  <c r="J1676" i="3"/>
  <c r="J296" i="10" s="1"/>
  <c r="J1629" i="3"/>
  <c r="J1622" i="3"/>
  <c r="J1623" i="3" s="1"/>
  <c r="J1617" i="3"/>
  <c r="N59" i="122" s="1"/>
  <c r="V59" i="122" s="1"/>
  <c r="J1611" i="3"/>
  <c r="O58" i="122" s="1"/>
  <c r="J1627" i="3"/>
  <c r="J1626" i="3"/>
  <c r="J1625" i="3"/>
  <c r="J1606" i="3"/>
  <c r="J1603" i="3"/>
  <c r="J1598" i="3"/>
  <c r="J1597" i="3"/>
  <c r="J1593" i="3"/>
  <c r="J1592" i="3"/>
  <c r="J1586" i="3"/>
  <c r="J1585" i="3"/>
  <c r="J1584" i="3"/>
  <c r="J1580" i="3"/>
  <c r="J1579" i="3"/>
  <c r="J1578" i="3"/>
  <c r="J1581" i="3" s="1"/>
  <c r="J1575" i="3"/>
  <c r="J1576" i="3" s="1"/>
  <c r="J1573" i="3"/>
  <c r="J1572" i="3"/>
  <c r="O9" i="122" s="1"/>
  <c r="J1568" i="3"/>
  <c r="J1562" i="3"/>
  <c r="J1561" i="3"/>
  <c r="O5" i="122" s="1"/>
  <c r="J1557" i="3"/>
  <c r="O67" i="122" s="1"/>
  <c r="J1551" i="3"/>
  <c r="J1546" i="3"/>
  <c r="J1544" i="3"/>
  <c r="H213" i="3" s="1"/>
  <c r="J1530" i="3"/>
  <c r="J1529" i="3"/>
  <c r="J1528" i="3"/>
  <c r="J1526" i="3"/>
  <c r="J1525" i="3"/>
  <c r="J1524" i="3"/>
  <c r="J1522" i="3"/>
  <c r="J1521" i="3"/>
  <c r="J1520" i="3"/>
  <c r="J1508" i="3"/>
  <c r="J1507" i="3"/>
  <c r="J1506" i="3"/>
  <c r="J1504" i="3"/>
  <c r="J1503" i="3"/>
  <c r="J1502" i="3"/>
  <c r="J1473" i="3"/>
  <c r="J1472" i="3"/>
  <c r="J1465" i="3"/>
  <c r="J1464" i="3"/>
  <c r="J1461" i="3"/>
  <c r="N62" i="122" s="1"/>
  <c r="V62" i="122" s="1"/>
  <c r="J1456" i="3"/>
  <c r="J1455" i="3"/>
  <c r="J1447" i="3"/>
  <c r="J1444" i="3"/>
  <c r="J1435" i="3"/>
  <c r="I37" i="7" s="1"/>
  <c r="J1434" i="3"/>
  <c r="J1433" i="3"/>
  <c r="J1432" i="3"/>
  <c r="J1431" i="3"/>
  <c r="J1428" i="3"/>
  <c r="J1427" i="3"/>
  <c r="J1426" i="3"/>
  <c r="J1424" i="3"/>
  <c r="J1422" i="3"/>
  <c r="J1425" i="3" s="1"/>
  <c r="J1421" i="3"/>
  <c r="O55" i="122" s="1"/>
  <c r="J1420" i="3"/>
  <c r="J1419" i="3"/>
  <c r="J1417" i="3"/>
  <c r="J1416" i="3"/>
  <c r="I38" i="7" s="1"/>
  <c r="J1409" i="3"/>
  <c r="J1408" i="3"/>
  <c r="J1407" i="3"/>
  <c r="I36" i="7" s="1"/>
  <c r="J1406" i="3"/>
  <c r="J1403" i="3"/>
  <c r="J1402" i="3"/>
  <c r="J1401" i="3"/>
  <c r="J1400" i="3"/>
  <c r="O47" i="122" s="1"/>
  <c r="J1399" i="3"/>
  <c r="J1398" i="3"/>
  <c r="J1272" i="3" s="1"/>
  <c r="J1381" i="3"/>
  <c r="J1379" i="3"/>
  <c r="J1378" i="3"/>
  <c r="I33" i="7" s="1"/>
  <c r="J1376" i="3"/>
  <c r="J1375" i="3"/>
  <c r="J1361" i="3"/>
  <c r="J1357" i="3"/>
  <c r="J1355" i="3"/>
  <c r="J1354" i="3"/>
  <c r="J1353" i="3"/>
  <c r="J1331" i="3"/>
  <c r="J1328" i="3"/>
  <c r="J1324" i="3"/>
  <c r="J1312" i="3"/>
  <c r="J1311" i="3"/>
  <c r="J1309" i="3"/>
  <c r="O38" i="122" s="1"/>
  <c r="J1298" i="3"/>
  <c r="J1296" i="3"/>
  <c r="J1295" i="3"/>
  <c r="J1294" i="3"/>
  <c r="J1286" i="3"/>
  <c r="J1280" i="3"/>
  <c r="J1279" i="3"/>
  <c r="J1271" i="3"/>
  <c r="J1268" i="3"/>
  <c r="J1264" i="3"/>
  <c r="J1263" i="3"/>
  <c r="J1262" i="3"/>
  <c r="J1261" i="3"/>
  <c r="J1260" i="3"/>
  <c r="J1259" i="3"/>
  <c r="J1258" i="3"/>
  <c r="J1256" i="3"/>
  <c r="J1255" i="3"/>
  <c r="J1254" i="3"/>
  <c r="J1253" i="3"/>
  <c r="J1252" i="3"/>
  <c r="J1251" i="3"/>
  <c r="J1250" i="3"/>
  <c r="J1247" i="3"/>
  <c r="J1245" i="3"/>
  <c r="J1244" i="3"/>
  <c r="J1243" i="3"/>
  <c r="J1241" i="3"/>
  <c r="J1240" i="3"/>
  <c r="J1239" i="3"/>
  <c r="J1238" i="3"/>
  <c r="J1237" i="3"/>
  <c r="J1236" i="3"/>
  <c r="J1235" i="3"/>
  <c r="J1231" i="3"/>
  <c r="J1230" i="3"/>
  <c r="J1229" i="3"/>
  <c r="J1227" i="3"/>
  <c r="J1226" i="3"/>
  <c r="J1224" i="3"/>
  <c r="O26" i="122" s="1"/>
  <c r="J1223" i="3"/>
  <c r="J1222" i="3"/>
  <c r="N25" i="122" s="1"/>
  <c r="S25" i="122" s="1"/>
  <c r="J1221" i="3"/>
  <c r="C30" i="9" s="1"/>
  <c r="J1219" i="3"/>
  <c r="J1217" i="3"/>
  <c r="J1215" i="3"/>
  <c r="J1213" i="3"/>
  <c r="J1211" i="3"/>
  <c r="J1210" i="3"/>
  <c r="J1209" i="3"/>
  <c r="J1208" i="3"/>
  <c r="J1207" i="3"/>
  <c r="J1206" i="3"/>
  <c r="J1205" i="3"/>
  <c r="J1204" i="3"/>
  <c r="J1203" i="3"/>
  <c r="C31" i="9" s="1"/>
  <c r="J1200" i="3"/>
  <c r="J1198" i="3"/>
  <c r="J1197" i="3"/>
  <c r="J1186" i="3"/>
  <c r="J1185" i="3"/>
  <c r="J1184" i="3"/>
  <c r="J1183" i="3"/>
  <c r="J1182" i="3"/>
  <c r="J1181" i="3"/>
  <c r="J1180" i="3"/>
  <c r="J1177" i="3"/>
  <c r="J1176" i="3"/>
  <c r="J1175" i="3"/>
  <c r="J1174" i="3"/>
  <c r="J1173" i="3"/>
  <c r="J1172" i="3"/>
  <c r="J1171" i="3"/>
  <c r="J1168" i="3"/>
  <c r="J1167" i="3"/>
  <c r="J1166" i="3"/>
  <c r="J1165" i="3"/>
  <c r="J1164" i="3"/>
  <c r="J1163" i="3"/>
  <c r="J1162" i="3"/>
  <c r="J1159" i="3"/>
  <c r="J1158" i="3"/>
  <c r="J1157" i="3"/>
  <c r="J1156" i="3"/>
  <c r="J1155" i="3"/>
  <c r="J1154" i="3"/>
  <c r="J1153" i="3"/>
  <c r="J1141" i="3"/>
  <c r="J1140" i="3"/>
  <c r="N19" i="122" s="1"/>
  <c r="J1139" i="3"/>
  <c r="J1138" i="3"/>
  <c r="J1137" i="3"/>
  <c r="J1136" i="3"/>
  <c r="J1135" i="3"/>
  <c r="J1132" i="3"/>
  <c r="J1131" i="3"/>
  <c r="J1130" i="3"/>
  <c r="J1129" i="3"/>
  <c r="J1128" i="3"/>
  <c r="J1127" i="3"/>
  <c r="J1126" i="3"/>
  <c r="J1124" i="3"/>
  <c r="J1123" i="3"/>
  <c r="J1122" i="3"/>
  <c r="J1121" i="3"/>
  <c r="J1117" i="3"/>
  <c r="J1116" i="3"/>
  <c r="J1115" i="3"/>
  <c r="J1114" i="3"/>
  <c r="J1113" i="3"/>
  <c r="J1112" i="3"/>
  <c r="J1111" i="3"/>
  <c r="J1109" i="3"/>
  <c r="J1108" i="3"/>
  <c r="J1107" i="3"/>
  <c r="J1106" i="3"/>
  <c r="J1102" i="3"/>
  <c r="J1101" i="3"/>
  <c r="J1100" i="3"/>
  <c r="J1099" i="3"/>
  <c r="J1098" i="3"/>
  <c r="J1097" i="3"/>
  <c r="J1096" i="3"/>
  <c r="J1094" i="3"/>
  <c r="J1093" i="3"/>
  <c r="J1092" i="3"/>
  <c r="J1091" i="3"/>
  <c r="J1087" i="3"/>
  <c r="J1086" i="3"/>
  <c r="J1085" i="3"/>
  <c r="J1084" i="3"/>
  <c r="J1083" i="3"/>
  <c r="J1082" i="3"/>
  <c r="J1081" i="3"/>
  <c r="J1079" i="3"/>
  <c r="J1078" i="3"/>
  <c r="J1077" i="3"/>
  <c r="J1076" i="3"/>
  <c r="J1072" i="3"/>
  <c r="J1071" i="3"/>
  <c r="J1070" i="3"/>
  <c r="J1069" i="3"/>
  <c r="J1068" i="3"/>
  <c r="J1067" i="3"/>
  <c r="J1066" i="3"/>
  <c r="J1064" i="3"/>
  <c r="J1063" i="3"/>
  <c r="J1062" i="3"/>
  <c r="J1061" i="3"/>
  <c r="J1057" i="3"/>
  <c r="J1056" i="3"/>
  <c r="J1055" i="3"/>
  <c r="J1054" i="3"/>
  <c r="J1053" i="3"/>
  <c r="J1052" i="3"/>
  <c r="J1051" i="3"/>
  <c r="J1049" i="3"/>
  <c r="J1048" i="3"/>
  <c r="J1047" i="3"/>
  <c r="J1046" i="3"/>
  <c r="J1042" i="3"/>
  <c r="J1041" i="3"/>
  <c r="J1040" i="3"/>
  <c r="J1039" i="3"/>
  <c r="J1038" i="3"/>
  <c r="J1037" i="3"/>
  <c r="J1036" i="3"/>
  <c r="J1034" i="3"/>
  <c r="J1033" i="3"/>
  <c r="J1032" i="3"/>
  <c r="J1031" i="3"/>
  <c r="J1027" i="3"/>
  <c r="J1026" i="3"/>
  <c r="J1025" i="3"/>
  <c r="J1024" i="3"/>
  <c r="J1023" i="3"/>
  <c r="J1022" i="3"/>
  <c r="J1021" i="3"/>
  <c r="J1019" i="3"/>
  <c r="J1018" i="3"/>
  <c r="J1017" i="3"/>
  <c r="J1016" i="3"/>
  <c r="J1012" i="3"/>
  <c r="J1011" i="3"/>
  <c r="J1010" i="3"/>
  <c r="J1009" i="3"/>
  <c r="J1008" i="3"/>
  <c r="J1007" i="3"/>
  <c r="J1006" i="3"/>
  <c r="J1004" i="3"/>
  <c r="J1003" i="3"/>
  <c r="J1002" i="3"/>
  <c r="J1001" i="3"/>
  <c r="J982" i="3"/>
  <c r="J981" i="3"/>
  <c r="J980" i="3"/>
  <c r="J979" i="3"/>
  <c r="J978" i="3"/>
  <c r="J977" i="3"/>
  <c r="J976" i="3"/>
  <c r="J974" i="3"/>
  <c r="J973" i="3"/>
  <c r="J972" i="3"/>
  <c r="J971" i="3"/>
  <c r="J967" i="3"/>
  <c r="J966" i="3"/>
  <c r="J965" i="3"/>
  <c r="J964" i="3"/>
  <c r="J963" i="3"/>
  <c r="J962" i="3"/>
  <c r="J961" i="3"/>
  <c r="J959" i="3"/>
  <c r="J958" i="3"/>
  <c r="J957" i="3"/>
  <c r="J956" i="3"/>
  <c r="J951" i="3"/>
  <c r="J950" i="3"/>
  <c r="J949" i="3"/>
  <c r="J948" i="3"/>
  <c r="J947" i="3"/>
  <c r="J946" i="3"/>
  <c r="J945" i="3"/>
  <c r="J943" i="3"/>
  <c r="J942" i="3"/>
  <c r="J941" i="3"/>
  <c r="J940" i="3"/>
  <c r="J936" i="3"/>
  <c r="J935" i="3"/>
  <c r="J934" i="3"/>
  <c r="J933" i="3"/>
  <c r="J932" i="3"/>
  <c r="J931" i="3"/>
  <c r="J930" i="3"/>
  <c r="J928" i="3"/>
  <c r="J927" i="3"/>
  <c r="J926" i="3"/>
  <c r="J925" i="3"/>
  <c r="J921" i="3"/>
  <c r="J920" i="3"/>
  <c r="J919" i="3"/>
  <c r="J918" i="3"/>
  <c r="J917" i="3"/>
  <c r="J916" i="3"/>
  <c r="J915" i="3"/>
  <c r="J913" i="3"/>
  <c r="J912" i="3"/>
  <c r="J911" i="3"/>
  <c r="J910" i="3"/>
  <c r="J906" i="3"/>
  <c r="J905" i="3"/>
  <c r="J904" i="3"/>
  <c r="J903" i="3"/>
  <c r="J902" i="3"/>
  <c r="J901" i="3"/>
  <c r="J900" i="3"/>
  <c r="J898" i="3"/>
  <c r="J897" i="3"/>
  <c r="J896" i="3"/>
  <c r="J895" i="3"/>
  <c r="J891" i="3"/>
  <c r="J890" i="3"/>
  <c r="J889" i="3"/>
  <c r="J888" i="3"/>
  <c r="J887" i="3"/>
  <c r="J886" i="3"/>
  <c r="J885" i="3"/>
  <c r="J883" i="3"/>
  <c r="J882" i="3"/>
  <c r="J881" i="3"/>
  <c r="J880" i="3"/>
  <c r="J876" i="3"/>
  <c r="J875" i="3"/>
  <c r="J874" i="3"/>
  <c r="J873" i="3"/>
  <c r="J872" i="3"/>
  <c r="J871" i="3"/>
  <c r="J870" i="3"/>
  <c r="J868" i="3"/>
  <c r="J867" i="3"/>
  <c r="J866" i="3"/>
  <c r="J865" i="3"/>
  <c r="J861" i="3"/>
  <c r="J860" i="3"/>
  <c r="J859" i="3"/>
  <c r="J858" i="3"/>
  <c r="J857" i="3"/>
  <c r="J856" i="3"/>
  <c r="J855" i="3"/>
  <c r="J853" i="3"/>
  <c r="J852" i="3"/>
  <c r="J851" i="3"/>
  <c r="J850" i="3"/>
  <c r="J846" i="3"/>
  <c r="J845" i="3"/>
  <c r="J844" i="3"/>
  <c r="J843" i="3"/>
  <c r="J842" i="3"/>
  <c r="J841" i="3"/>
  <c r="J840" i="3"/>
  <c r="J838" i="3"/>
  <c r="J837" i="3"/>
  <c r="J836" i="3"/>
  <c r="J835" i="3"/>
  <c r="J831" i="3"/>
  <c r="J830" i="3"/>
  <c r="J829" i="3"/>
  <c r="J828" i="3"/>
  <c r="J827" i="3"/>
  <c r="J826" i="3"/>
  <c r="J825" i="3"/>
  <c r="J823" i="3"/>
  <c r="J822" i="3"/>
  <c r="J821" i="3"/>
  <c r="J820" i="3"/>
  <c r="J801" i="3"/>
  <c r="J800" i="3"/>
  <c r="J799" i="3"/>
  <c r="J798" i="3"/>
  <c r="J797" i="3"/>
  <c r="J796" i="3"/>
  <c r="J795" i="3"/>
  <c r="J793" i="3"/>
  <c r="J792" i="3"/>
  <c r="J791" i="3"/>
  <c r="J790" i="3"/>
  <c r="J786" i="3"/>
  <c r="J785" i="3"/>
  <c r="J784" i="3"/>
  <c r="J783" i="3"/>
  <c r="J782" i="3"/>
  <c r="J781" i="3"/>
  <c r="J780" i="3"/>
  <c r="J778" i="3"/>
  <c r="J777" i="3"/>
  <c r="J776" i="3"/>
  <c r="J775" i="3"/>
  <c r="J769" i="3"/>
  <c r="J768" i="3"/>
  <c r="J767" i="3"/>
  <c r="J766" i="3"/>
  <c r="J765" i="3"/>
  <c r="J764" i="3"/>
  <c r="J763" i="3"/>
  <c r="J762" i="3"/>
  <c r="J760" i="3"/>
  <c r="J759" i="3"/>
  <c r="J758" i="3"/>
  <c r="J757" i="3"/>
  <c r="J753" i="3"/>
  <c r="J752" i="3"/>
  <c r="J751" i="3"/>
  <c r="J750" i="3"/>
  <c r="J749" i="3"/>
  <c r="J748" i="3"/>
  <c r="J747" i="3"/>
  <c r="J746" i="3"/>
  <c r="J744" i="3"/>
  <c r="J743" i="3"/>
  <c r="J742" i="3"/>
  <c r="J741" i="3"/>
  <c r="J737" i="3"/>
  <c r="J736" i="3"/>
  <c r="J735" i="3"/>
  <c r="J734" i="3"/>
  <c r="J733" i="3"/>
  <c r="J732" i="3"/>
  <c r="J731" i="3"/>
  <c r="J730" i="3"/>
  <c r="J728" i="3"/>
  <c r="J727" i="3"/>
  <c r="J726" i="3"/>
  <c r="J725" i="3"/>
  <c r="J705" i="3"/>
  <c r="J703" i="3"/>
  <c r="J702" i="3"/>
  <c r="J701" i="3"/>
  <c r="J700" i="3"/>
  <c r="J697" i="3"/>
  <c r="J696" i="3"/>
  <c r="J695" i="3"/>
  <c r="J694" i="3"/>
  <c r="J691" i="3"/>
  <c r="J690" i="3"/>
  <c r="J689" i="3"/>
  <c r="J688" i="3"/>
  <c r="J683" i="3"/>
  <c r="J539" i="3"/>
  <c r="J538" i="3"/>
  <c r="J537" i="3"/>
  <c r="J536" i="3"/>
  <c r="J535" i="3"/>
  <c r="J534" i="3"/>
  <c r="J533" i="3"/>
  <c r="J530" i="3"/>
  <c r="J529" i="3"/>
  <c r="J528" i="3"/>
  <c r="J527" i="3"/>
  <c r="J526" i="3"/>
  <c r="J525" i="3"/>
  <c r="J524" i="3"/>
  <c r="J521" i="3"/>
  <c r="J520" i="3"/>
  <c r="J519" i="3"/>
  <c r="J518" i="3"/>
  <c r="J517" i="3"/>
  <c r="J516" i="3"/>
  <c r="J515" i="3"/>
  <c r="J512" i="3"/>
  <c r="J511" i="3"/>
  <c r="J510" i="3"/>
  <c r="J509" i="3"/>
  <c r="J508" i="3"/>
  <c r="J507" i="3"/>
  <c r="J506" i="3"/>
  <c r="J503" i="3"/>
  <c r="J502" i="3"/>
  <c r="J501" i="3"/>
  <c r="J500" i="3"/>
  <c r="J499" i="3"/>
  <c r="J498" i="3"/>
  <c r="J497" i="3"/>
  <c r="J494" i="3"/>
  <c r="J493" i="3"/>
  <c r="J492" i="3"/>
  <c r="J491" i="3"/>
  <c r="J490" i="3"/>
  <c r="J489" i="3"/>
  <c r="J488" i="3"/>
  <c r="J485" i="3"/>
  <c r="J484" i="3"/>
  <c r="J483" i="3"/>
  <c r="J482" i="3"/>
  <c r="J481" i="3"/>
  <c r="J480" i="3"/>
  <c r="J479" i="3"/>
  <c r="J467" i="3"/>
  <c r="J466" i="3"/>
  <c r="J465" i="3"/>
  <c r="J464" i="3"/>
  <c r="J463" i="3"/>
  <c r="J462" i="3"/>
  <c r="J461" i="3"/>
  <c r="J288" i="3"/>
  <c r="J287" i="3"/>
  <c r="J392" i="3" s="1"/>
  <c r="J286" i="3"/>
  <c r="J285" i="3"/>
  <c r="J284" i="3"/>
  <c r="J283" i="3"/>
  <c r="J282" i="3"/>
  <c r="J273" i="3"/>
  <c r="J271" i="3"/>
  <c r="J268" i="3"/>
  <c r="J266" i="3"/>
  <c r="J263" i="3"/>
  <c r="J261" i="3"/>
  <c r="J258" i="3"/>
  <c r="J257" i="3"/>
  <c r="J248" i="3"/>
  <c r="J247" i="3"/>
  <c r="J230" i="3"/>
  <c r="N39" i="122" s="1"/>
  <c r="P39" i="122" s="1"/>
  <c r="J183" i="3"/>
  <c r="I30" i="7" s="1"/>
  <c r="J175" i="3"/>
  <c r="J62" i="7" s="1"/>
  <c r="J174" i="3"/>
  <c r="J61" i="7" s="1"/>
  <c r="J173" i="3"/>
  <c r="J60" i="7" s="1"/>
  <c r="J172" i="3"/>
  <c r="J59" i="7" s="1"/>
  <c r="J171" i="3"/>
  <c r="J58" i="7" s="1"/>
  <c r="J161" i="3"/>
  <c r="H62" i="7" s="1"/>
  <c r="J160" i="3"/>
  <c r="H61" i="7" s="1"/>
  <c r="J159" i="3"/>
  <c r="H60" i="7" s="1"/>
  <c r="J158" i="3"/>
  <c r="H59" i="7" s="1"/>
  <c r="J157" i="3"/>
  <c r="H58" i="7" s="1"/>
  <c r="J154" i="3"/>
  <c r="G62" i="7" s="1"/>
  <c r="J153" i="3"/>
  <c r="G61" i="7" s="1"/>
  <c r="J152" i="3"/>
  <c r="G60" i="7" s="1"/>
  <c r="J151" i="3"/>
  <c r="G59" i="7" s="1"/>
  <c r="J150" i="3"/>
  <c r="G58" i="7" s="1"/>
  <c r="J146" i="3"/>
  <c r="J144" i="3"/>
  <c r="F61" i="7" s="1"/>
  <c r="J143" i="3"/>
  <c r="F60" i="7" s="1"/>
  <c r="J142" i="3"/>
  <c r="F59" i="7" s="1"/>
  <c r="J141" i="3"/>
  <c r="F58" i="7" s="1"/>
  <c r="J138" i="3"/>
  <c r="I31" i="7" s="1"/>
  <c r="J1374" i="3"/>
  <c r="I32" i="7" s="1"/>
  <c r="J1371" i="3"/>
  <c r="J136" i="3"/>
  <c r="J135" i="3"/>
  <c r="J128" i="3"/>
  <c r="C27" i="9" s="1"/>
  <c r="J127" i="3"/>
  <c r="C26" i="9" s="1"/>
  <c r="J126" i="3"/>
  <c r="C25" i="9" s="1"/>
  <c r="J116" i="3"/>
  <c r="J115" i="3"/>
  <c r="J112" i="3"/>
  <c r="J113" i="3" s="1"/>
  <c r="J114" i="3" s="1"/>
  <c r="J111" i="3"/>
  <c r="J94" i="3"/>
  <c r="J90" i="3"/>
  <c r="J92" i="3" s="1"/>
  <c r="J1851" i="3" s="1"/>
  <c r="J89" i="3"/>
  <c r="J85" i="3"/>
  <c r="I258" i="4" s="1"/>
  <c r="J84" i="3"/>
  <c r="J1594" i="3" s="1"/>
  <c r="J83" i="3"/>
  <c r="J1776" i="3" s="1"/>
  <c r="J82" i="3"/>
  <c r="C28" i="9" s="1"/>
  <c r="J81" i="3"/>
  <c r="J64" i="3"/>
  <c r="J62" i="3"/>
  <c r="J60" i="3"/>
  <c r="J59" i="3"/>
  <c r="J57" i="3"/>
  <c r="J56" i="3"/>
  <c r="J52" i="3"/>
  <c r="J49" i="3"/>
  <c r="A73" i="7" s="1"/>
  <c r="A70" i="7" s="1"/>
  <c r="H67" i="7" s="1"/>
  <c r="H68" i="7" s="1"/>
  <c r="J47" i="3"/>
  <c r="J48" i="3" s="1"/>
  <c r="J46" i="3"/>
  <c r="H188" i="3" s="1"/>
  <c r="J12" i="3"/>
  <c r="J3765" i="6"/>
  <c r="J1786" i="6"/>
  <c r="J3875" i="6"/>
  <c r="J1783" i="6"/>
  <c r="J3766" i="6"/>
  <c r="J1782" i="6"/>
  <c r="J919" i="6"/>
  <c r="J1669" i="6"/>
  <c r="J932" i="6"/>
  <c r="J1318" i="6"/>
  <c r="J2384" i="6"/>
  <c r="J3593" i="6"/>
  <c r="J2708" i="6"/>
  <c r="J2068" i="6"/>
  <c r="J2709" i="6"/>
  <c r="J1286" i="6"/>
  <c r="J1941" i="6"/>
  <c r="J1187" i="6"/>
  <c r="J1191" i="6"/>
  <c r="J2569" i="6"/>
  <c r="J1718" i="6"/>
  <c r="J2870" i="6"/>
  <c r="J1688" i="6"/>
  <c r="J3604" i="6"/>
  <c r="J2342" i="6"/>
  <c r="J3449" i="6"/>
  <c r="J1304" i="6"/>
  <c r="J1300" i="6"/>
  <c r="J1301" i="6"/>
  <c r="J1077" i="6"/>
  <c r="J2297" i="6"/>
  <c r="J3589" i="6"/>
  <c r="J3590" i="6"/>
  <c r="J1673" i="6"/>
  <c r="J1714" i="6"/>
  <c r="J2568" i="6"/>
  <c r="J3220" i="6"/>
  <c r="J1303" i="6"/>
  <c r="J2298" i="6"/>
  <c r="J3366" i="6"/>
  <c r="J3733" i="6"/>
  <c r="J935" i="6"/>
  <c r="J1910" i="6"/>
  <c r="J916" i="6"/>
  <c r="J1488" i="6"/>
  <c r="J1846" i="6"/>
  <c r="J1845" i="6"/>
  <c r="J1015" i="6"/>
  <c r="J3319" i="6"/>
  <c r="J1842" i="6"/>
  <c r="J3480" i="6"/>
  <c r="J3321" i="6"/>
  <c r="J2693" i="6"/>
  <c r="J1940" i="6"/>
  <c r="J3190" i="6"/>
  <c r="J1402" i="6"/>
  <c r="J1285" i="6"/>
  <c r="J1944" i="6"/>
  <c r="J2211" i="6"/>
  <c r="J3736" i="6"/>
  <c r="J1289" i="6"/>
  <c r="J2935" i="6"/>
  <c r="J1527" i="6"/>
  <c r="J3191" i="6"/>
  <c r="J1018" i="6"/>
  <c r="J1828" i="6"/>
  <c r="J1928" i="6"/>
  <c r="J2614" i="6"/>
  <c r="J2712" i="6"/>
  <c r="J2953" i="6"/>
  <c r="J2611" i="6"/>
  <c r="J2610" i="6"/>
  <c r="J2471" i="6"/>
  <c r="J2550" i="6"/>
  <c r="J2619" i="6"/>
  <c r="J2806" i="6"/>
  <c r="J1331" i="6"/>
  <c r="J1334" i="6"/>
  <c r="J1333" i="6"/>
  <c r="J1330" i="6"/>
  <c r="J1157" i="6"/>
  <c r="J2553" i="6"/>
  <c r="J1315" i="6"/>
  <c r="J1316" i="6"/>
  <c r="J1319" i="6"/>
  <c r="J2039" i="6"/>
  <c r="J2199" i="6"/>
  <c r="J2083" i="6"/>
  <c r="J3510" i="6"/>
  <c r="J3961" i="6"/>
  <c r="J3205" i="6"/>
  <c r="J3607" i="6"/>
  <c r="J3962" i="6"/>
  <c r="J2438" i="6"/>
  <c r="J1417" i="6"/>
  <c r="J3096" i="6"/>
  <c r="J3352" i="6"/>
  <c r="J2357" i="6"/>
  <c r="J2328" i="6"/>
  <c r="J3849" i="6"/>
  <c r="J3762" i="6"/>
  <c r="J970" i="6"/>
  <c r="J1616" i="6"/>
  <c r="J2325" i="6"/>
  <c r="J2640" i="6"/>
  <c r="J2896" i="6"/>
  <c r="J2934" i="6"/>
  <c r="J3786" i="6"/>
  <c r="J3018" i="6"/>
  <c r="J2071" i="6"/>
  <c r="J1414" i="6"/>
  <c r="J2938" i="6"/>
  <c r="J3464" i="6"/>
  <c r="J3861" i="6"/>
  <c r="J2681" i="6"/>
  <c r="J1559" i="6"/>
  <c r="J1429" i="6"/>
  <c r="J3863" i="6"/>
  <c r="J3093" i="6"/>
  <c r="J1571" i="6"/>
  <c r="J3891" i="6"/>
  <c r="J3351" i="6"/>
  <c r="J3348" i="6"/>
  <c r="J2339" i="6"/>
  <c r="J2343" i="6"/>
  <c r="J2185" i="6"/>
  <c r="J3364" i="6"/>
  <c r="J3024" i="6"/>
  <c r="J3122" i="6"/>
  <c r="J3830" i="6"/>
  <c r="J2964" i="6"/>
  <c r="J1801" i="6"/>
  <c r="J1337" i="6"/>
  <c r="J2967" i="6"/>
  <c r="J3635" i="6"/>
  <c r="J3792" i="6"/>
  <c r="J3209" i="6"/>
  <c r="J2087" i="6"/>
  <c r="J1160" i="6"/>
  <c r="J1572" i="6"/>
  <c r="J3894" i="6"/>
  <c r="J1413" i="6"/>
  <c r="J1542" i="6"/>
  <c r="J3977" i="6"/>
  <c r="J2182" i="6"/>
  <c r="J1017" i="6"/>
  <c r="J2822" i="6"/>
  <c r="J3637" i="6"/>
  <c r="J2565" i="6"/>
  <c r="J3703" i="6"/>
  <c r="J3834" i="6"/>
  <c r="J1273" i="6"/>
  <c r="J1343" i="6"/>
  <c r="J2084" i="6"/>
  <c r="J3208" i="6"/>
  <c r="J3893" i="6"/>
  <c r="J3860" i="6"/>
  <c r="J2128" i="6"/>
  <c r="J2825" i="6"/>
  <c r="J3337" i="6"/>
  <c r="J3735" i="6"/>
  <c r="J1161" i="6"/>
  <c r="J3833" i="6"/>
  <c r="J1925" i="6"/>
  <c r="J2596" i="6"/>
  <c r="J3706" i="6"/>
  <c r="J920" i="6"/>
  <c r="J1929" i="6"/>
  <c r="J3577" i="6"/>
  <c r="J1798" i="6"/>
  <c r="J2468" i="6"/>
  <c r="J1172" i="6"/>
  <c r="J3991" i="6"/>
  <c r="J3988" i="6"/>
  <c r="J1800" i="6"/>
  <c r="J3125" i="6"/>
  <c r="J2968" i="6"/>
  <c r="J3750" i="6"/>
  <c r="J1213" i="6"/>
  <c r="J2617" i="6"/>
  <c r="J3000" i="6"/>
  <c r="J3605" i="6"/>
  <c r="J2309" i="6"/>
  <c r="J3509" i="6"/>
  <c r="J2595" i="6"/>
  <c r="J2470" i="6"/>
  <c r="J2694" i="6"/>
  <c r="J2599" i="6"/>
  <c r="J902" i="6"/>
  <c r="J1062" i="6"/>
  <c r="J1687" i="6"/>
  <c r="J2581" i="6"/>
  <c r="J3235" i="6"/>
  <c r="J3065" i="6"/>
  <c r="J3959" i="6"/>
  <c r="J1813" i="6"/>
  <c r="J2041" i="6"/>
  <c r="J1575" i="6"/>
  <c r="J2807" i="6"/>
  <c r="J1063" i="6"/>
  <c r="J1060" i="6"/>
  <c r="J1398" i="6"/>
  <c r="J3974" i="6"/>
  <c r="J1529" i="6"/>
  <c r="J3477" i="6"/>
  <c r="J3239" i="6"/>
  <c r="J1913" i="6"/>
  <c r="J3224" i="6"/>
  <c r="J3238" i="6"/>
  <c r="J3575" i="6"/>
  <c r="J3507" i="6"/>
  <c r="J3363" i="6"/>
  <c r="J3989" i="6"/>
  <c r="J1958" i="6"/>
  <c r="J2425" i="6"/>
  <c r="J1146" i="6"/>
  <c r="J905" i="6"/>
  <c r="J2682" i="6"/>
  <c r="J901" i="6"/>
  <c r="J1047" i="6"/>
  <c r="J1173" i="6"/>
  <c r="J1432" i="6"/>
  <c r="J1911" i="6"/>
  <c r="J2355" i="6"/>
  <c r="J3126" i="6"/>
  <c r="J3221" i="6"/>
  <c r="J3254" i="6"/>
  <c r="J3318" i="6"/>
  <c r="J3973" i="6"/>
  <c r="J1685" i="6"/>
  <c r="J2196" i="6"/>
  <c r="J2197" i="6"/>
  <c r="J2851" i="6"/>
  <c r="J3194" i="6"/>
  <c r="J2583" i="6"/>
  <c r="J1955" i="6"/>
  <c r="J1142" i="6"/>
  <c r="J3574" i="6"/>
  <c r="J2810" i="6"/>
  <c r="J2979" i="6"/>
  <c r="J1176" i="6"/>
  <c r="J1202" i="6"/>
  <c r="J1431" i="6"/>
  <c r="J1143" i="6"/>
  <c r="J2364" i="6"/>
  <c r="J1211" i="6"/>
  <c r="J1721" i="6"/>
  <c r="J1720" i="6"/>
  <c r="J1725" i="6"/>
  <c r="J1849" i="6"/>
  <c r="J2104" i="6"/>
  <c r="J2489" i="6"/>
  <c r="J2493" i="6"/>
  <c r="J2486" i="6"/>
  <c r="J2621" i="6"/>
  <c r="J2748" i="6"/>
  <c r="J3128" i="6"/>
  <c r="J3384" i="6"/>
  <c r="J3640" i="6"/>
  <c r="J3769" i="6"/>
  <c r="J3899" i="6"/>
  <c r="J3748" i="6"/>
  <c r="J3379" i="6"/>
  <c r="J2312" i="6"/>
  <c r="J3264" i="6"/>
  <c r="J2983" i="6"/>
  <c r="J2738" i="6"/>
  <c r="J4006" i="6"/>
  <c r="J4031" i="6"/>
  <c r="J4004" i="6"/>
  <c r="J4028" i="6"/>
  <c r="J1399" i="6"/>
  <c r="J2852" i="6"/>
  <c r="J1815" i="6"/>
  <c r="J1560" i="6"/>
  <c r="J2678" i="6"/>
  <c r="J1443" i="6"/>
  <c r="J4019" i="6"/>
  <c r="J4003" i="6"/>
  <c r="J3382" i="6"/>
  <c r="J3846" i="6"/>
  <c r="J3095" i="6"/>
  <c r="J1557" i="6"/>
  <c r="J2437" i="6"/>
  <c r="J1444" i="6"/>
  <c r="J3848" i="6"/>
  <c r="J1029" i="6"/>
  <c r="J2854" i="6"/>
  <c r="J2554" i="6"/>
  <c r="J2742" i="6"/>
  <c r="J2869" i="6"/>
  <c r="J2358" i="6"/>
  <c r="J2368" i="6"/>
  <c r="J2294" i="6"/>
  <c r="J2363" i="6"/>
  <c r="J2440" i="6"/>
  <c r="J1672" i="6"/>
  <c r="J1727" i="6"/>
  <c r="J3634" i="6"/>
  <c r="J3643" i="6"/>
  <c r="J3450" i="6"/>
  <c r="J2482" i="6"/>
  <c r="J1959" i="6"/>
  <c r="J1984" i="6"/>
  <c r="J890" i="6"/>
  <c r="J931" i="6"/>
  <c r="J887" i="6"/>
  <c r="J952" i="6"/>
  <c r="J1081" i="6"/>
  <c r="J1208" i="6"/>
  <c r="J1339" i="6"/>
  <c r="J1464" i="6"/>
  <c r="J1544" i="6"/>
  <c r="J1593" i="6"/>
  <c r="J1715" i="6"/>
  <c r="J1848" i="6"/>
  <c r="J1994" i="6"/>
  <c r="J2042" i="6"/>
  <c r="J2122" i="6"/>
  <c r="J2181" i="6"/>
  <c r="J2235" i="6"/>
  <c r="J2237" i="6"/>
  <c r="J2310" i="6"/>
  <c r="J2426" i="6"/>
  <c r="J2492" i="6"/>
  <c r="J2620" i="6"/>
  <c r="J2616" i="6"/>
  <c r="J2744" i="6"/>
  <c r="J2741" i="6"/>
  <c r="J2745" i="6"/>
  <c r="J2762" i="6"/>
  <c r="J3133" i="6"/>
  <c r="J3389" i="6"/>
  <c r="J3641" i="6"/>
  <c r="J3658" i="6"/>
  <c r="J3664" i="6"/>
  <c r="J3705" i="6"/>
  <c r="J3768" i="6"/>
  <c r="J3897" i="6"/>
  <c r="J4029" i="6"/>
  <c r="J1599" i="6"/>
  <c r="J2623" i="6"/>
  <c r="J1080" i="6"/>
  <c r="J1472" i="6"/>
  <c r="J2872" i="6"/>
  <c r="J3388" i="6"/>
  <c r="J3896" i="6"/>
  <c r="J2982" i="6"/>
  <c r="J3747" i="6"/>
  <c r="J3771" i="6"/>
  <c r="J2422" i="6"/>
  <c r="J3381" i="6"/>
  <c r="J1048" i="6"/>
  <c r="J1044" i="6"/>
  <c r="J1083" i="6"/>
  <c r="J1816" i="6"/>
  <c r="J1446" i="6"/>
  <c r="J1545" i="6"/>
  <c r="J1852" i="6"/>
  <c r="J1458" i="6"/>
  <c r="J2327" i="6"/>
  <c r="J2367" i="6"/>
  <c r="J2866" i="6"/>
  <c r="J2072" i="6"/>
  <c r="J1088" i="6"/>
  <c r="J2215" i="6"/>
  <c r="J2483" i="6"/>
  <c r="J2212" i="6"/>
  <c r="J3479" i="6"/>
  <c r="J3446" i="6"/>
  <c r="J1203" i="6"/>
  <c r="J3336" i="6"/>
  <c r="J3391" i="6"/>
  <c r="J1188" i="6"/>
  <c r="J1212" i="6"/>
  <c r="J2821" i="6"/>
  <c r="J2875" i="6"/>
  <c r="J886" i="6"/>
  <c r="J955" i="6"/>
  <c r="J3333" i="6"/>
  <c r="J3387" i="6"/>
  <c r="J1085" i="6"/>
  <c r="J1098" i="6"/>
  <c r="J1226" i="6"/>
  <c r="J1354" i="6"/>
  <c r="J1467" i="6"/>
  <c r="J1610" i="6"/>
  <c r="J1976" i="6"/>
  <c r="J1981" i="6"/>
  <c r="J2107" i="6"/>
  <c r="J2105" i="6"/>
  <c r="J2232" i="6"/>
  <c r="J2256" i="6"/>
  <c r="J2361" i="6"/>
  <c r="J2488" i="6"/>
  <c r="J2873" i="6"/>
  <c r="J3005" i="6"/>
  <c r="J3129" i="6"/>
  <c r="J3274" i="6"/>
  <c r="J3392" i="6"/>
  <c r="J3385" i="6"/>
  <c r="J3402" i="6"/>
  <c r="J3408" i="6"/>
  <c r="J3645" i="6"/>
  <c r="J3904" i="6"/>
  <c r="J3914" i="6"/>
  <c r="J4024" i="6"/>
  <c r="J1215" i="6"/>
  <c r="J1856" i="6"/>
  <c r="J3520" i="6"/>
  <c r="J3259" i="6"/>
  <c r="J2840" i="6"/>
  <c r="J2880" i="6"/>
  <c r="J1206" i="6"/>
  <c r="J1216" i="6"/>
  <c r="J3720" i="6"/>
  <c r="J2952" i="6"/>
  <c r="J1530" i="6"/>
  <c r="J2452" i="6"/>
  <c r="J4018" i="6"/>
  <c r="J4027" i="6"/>
  <c r="J2584" i="6"/>
  <c r="J2624" i="6"/>
  <c r="J2998" i="6"/>
  <c r="J3008" i="6"/>
  <c r="J3107" i="6"/>
  <c r="J2054" i="6"/>
  <c r="J1271" i="6"/>
  <c r="J1340" i="6"/>
  <c r="J2099" i="6"/>
  <c r="J1830" i="6"/>
  <c r="J3620" i="6"/>
  <c r="J3644" i="6"/>
  <c r="J1970" i="6"/>
  <c r="J1979" i="6"/>
  <c r="J3718" i="6"/>
  <c r="J3251" i="6"/>
  <c r="J3260" i="6"/>
  <c r="J3077" i="6"/>
  <c r="J2723" i="6"/>
  <c r="J2455" i="6"/>
  <c r="J2495" i="6"/>
  <c r="J1032" i="6"/>
  <c r="J1087" i="6"/>
  <c r="J1658" i="6"/>
  <c r="J950" i="6"/>
  <c r="J960" i="6"/>
  <c r="J1030" i="6"/>
  <c r="J1084" i="6"/>
  <c r="J1075" i="6"/>
  <c r="J1274" i="6"/>
  <c r="J1344" i="6"/>
  <c r="J1459" i="6"/>
  <c r="J1587" i="6"/>
  <c r="J1654" i="6"/>
  <c r="J1699" i="6"/>
  <c r="J1827" i="6"/>
  <c r="J1851" i="6"/>
  <c r="J1971" i="6"/>
  <c r="J1980" i="6"/>
  <c r="J2056" i="6"/>
  <c r="J2102" i="6"/>
  <c r="J2169" i="6"/>
  <c r="J2229" i="6"/>
  <c r="J2456" i="6"/>
  <c r="J2496" i="6"/>
  <c r="J2696" i="6"/>
  <c r="J2751" i="6"/>
  <c r="J2727" i="6"/>
  <c r="J2839" i="6"/>
  <c r="J2950" i="6"/>
  <c r="J3004" i="6"/>
  <c r="J2994" i="6"/>
  <c r="J3003" i="6"/>
  <c r="J3062" i="6"/>
  <c r="J3131" i="6"/>
  <c r="J3078" i="6"/>
  <c r="J3132" i="6"/>
  <c r="J3108" i="6"/>
  <c r="J3253" i="6"/>
  <c r="J3263" i="6"/>
  <c r="J3462" i="6"/>
  <c r="J3516" i="6"/>
  <c r="J3492" i="6"/>
  <c r="J3623" i="6"/>
  <c r="J3648" i="6"/>
  <c r="J3721" i="6"/>
  <c r="J3776" i="6"/>
  <c r="J3878" i="6"/>
  <c r="J3903" i="6"/>
  <c r="J4022" i="6"/>
  <c r="J4032" i="6"/>
  <c r="J1586" i="6"/>
  <c r="J1595" i="6"/>
  <c r="J3494" i="6"/>
  <c r="J3519" i="6"/>
  <c r="J3491" i="6"/>
  <c r="J2726" i="6"/>
  <c r="J2101" i="6"/>
  <c r="J2997" i="6"/>
  <c r="J1590" i="6"/>
  <c r="J1700" i="6"/>
  <c r="J2837" i="6"/>
  <c r="J2876" i="6"/>
  <c r="J3461" i="6"/>
  <c r="J3515" i="6"/>
  <c r="J3876" i="6"/>
  <c r="J3900" i="6"/>
  <c r="J3622" i="6"/>
  <c r="J3647" i="6"/>
  <c r="J3111" i="6"/>
  <c r="J1074" i="6"/>
  <c r="J3066" i="6"/>
  <c r="J1973" i="6"/>
  <c r="J1983" i="6"/>
  <c r="J3080" i="6"/>
  <c r="J2167" i="6"/>
  <c r="J2236" i="6"/>
  <c r="J947" i="6"/>
  <c r="J956" i="6"/>
  <c r="J2226" i="6"/>
  <c r="J1655" i="6"/>
  <c r="J1724" i="6"/>
  <c r="J2170" i="6"/>
  <c r="J2240" i="6"/>
  <c r="J1461" i="6"/>
  <c r="J1471" i="6"/>
  <c r="J1703" i="6"/>
  <c r="J949" i="6"/>
  <c r="J959" i="6"/>
  <c r="J2057" i="6"/>
  <c r="J2230" i="6"/>
  <c r="J1468" i="6"/>
  <c r="J2111" i="6"/>
  <c r="J2747" i="6"/>
  <c r="J2108" i="6"/>
  <c r="J3775" i="6"/>
  <c r="J3007" i="6"/>
  <c r="J2752" i="6"/>
  <c r="J3135" i="6"/>
  <c r="J2879" i="6"/>
  <c r="J1596" i="6"/>
  <c r="J3772" i="6"/>
  <c r="J1855" i="6"/>
  <c r="J2491" i="6"/>
  <c r="J2112" i="6"/>
  <c r="J2239" i="6"/>
  <c r="J1600" i="6"/>
  <c r="J1728" i="6"/>
  <c r="J3136" i="6"/>
  <c r="J1723" i="6"/>
  <c r="J141" i="6"/>
  <c r="J150" i="6"/>
  <c r="J125" i="6"/>
  <c r="J133" i="6"/>
  <c r="J135" i="6" s="1"/>
  <c r="J107" i="6"/>
  <c r="J113" i="6"/>
  <c r="J126" i="6"/>
  <c r="J139" i="6"/>
  <c r="J112" i="6"/>
  <c r="J140" i="6"/>
  <c r="J120" i="6"/>
  <c r="J121" i="6" s="1"/>
  <c r="J117" i="6"/>
  <c r="J143" i="6"/>
  <c r="J146" i="6"/>
  <c r="J129" i="6"/>
  <c r="J114" i="6"/>
  <c r="J153" i="6"/>
  <c r="J131" i="6"/>
  <c r="J110" i="6"/>
  <c r="J130" i="6"/>
  <c r="J102" i="6"/>
  <c r="J119" i="6"/>
  <c r="J118" i="6"/>
  <c r="J116" i="6"/>
  <c r="J127" i="6"/>
  <c r="J111" i="6"/>
  <c r="J128" i="6"/>
  <c r="J147" i="6"/>
  <c r="J152" i="6"/>
  <c r="J105" i="6"/>
  <c r="J106" i="6" s="1"/>
  <c r="J754" i="6"/>
  <c r="J413" i="6"/>
  <c r="J98" i="6"/>
  <c r="J415" i="6"/>
  <c r="J757" i="6"/>
  <c r="J751" i="6"/>
  <c r="J535" i="6"/>
  <c r="J532" i="6"/>
  <c r="C88" i="9"/>
  <c r="U5" i="122"/>
  <c r="R5" i="122"/>
  <c r="AF22" i="122"/>
  <c r="P5" i="122"/>
  <c r="N27" i="122"/>
  <c r="S27" i="122" s="1"/>
  <c r="V5" i="122"/>
  <c r="Y5" i="122"/>
  <c r="O60" i="122"/>
  <c r="H215" i="3"/>
  <c r="O27" i="122"/>
  <c r="AE5" i="122"/>
  <c r="J658" i="3"/>
  <c r="AB66" i="122"/>
  <c r="V66" i="122"/>
  <c r="AC66" i="122"/>
  <c r="AF5" i="122"/>
  <c r="T5" i="122"/>
  <c r="AC5" i="122"/>
  <c r="J1553" i="3"/>
  <c r="J1552" i="3"/>
  <c r="R4" i="122"/>
  <c r="AF4" i="122"/>
  <c r="AD67" i="122"/>
  <c r="AE6" i="122"/>
  <c r="J647" i="3"/>
  <c r="N26" i="122"/>
  <c r="V26" i="122" s="1"/>
  <c r="J636" i="3"/>
  <c r="J169" i="6"/>
  <c r="AB5" i="122"/>
  <c r="Q5" i="122"/>
  <c r="AD5" i="122"/>
  <c r="S5" i="122"/>
  <c r="S4" i="122"/>
  <c r="AC4" i="122"/>
  <c r="AG22" i="122"/>
  <c r="AE22" i="122"/>
  <c r="R15" i="122"/>
  <c r="R16" i="122"/>
  <c r="V16" i="122"/>
  <c r="AD16" i="122"/>
  <c r="P16" i="122"/>
  <c r="AB16" i="122"/>
  <c r="Q16" i="122"/>
  <c r="E4" i="10"/>
  <c r="J135" i="10"/>
  <c r="O50" i="122"/>
  <c r="J3281" i="6"/>
  <c r="J104" i="6"/>
  <c r="V58" i="122"/>
  <c r="J641" i="6"/>
  <c r="J640" i="6"/>
  <c r="J637" i="6"/>
  <c r="J638" i="6"/>
  <c r="J671" i="6"/>
  <c r="J668" i="6"/>
  <c r="J670" i="6"/>
  <c r="O44" i="122"/>
  <c r="J1745" i="6"/>
  <c r="O51" i="122"/>
  <c r="J443" i="6"/>
  <c r="J505" i="6"/>
  <c r="J506" i="6"/>
  <c r="Y59" i="122"/>
  <c r="O48" i="122"/>
  <c r="O53" i="122"/>
  <c r="U12" i="122"/>
  <c r="N46" i="122"/>
  <c r="T46" i="122" s="1"/>
  <c r="N53" i="122"/>
  <c r="U53" i="122" s="1"/>
  <c r="AF12" i="122"/>
  <c r="J276" i="10"/>
  <c r="J1784" i="3"/>
  <c r="S74" i="122"/>
  <c r="J572" i="6"/>
  <c r="Y70" i="122"/>
  <c r="J217" i="6"/>
  <c r="J212" i="6"/>
  <c r="J221" i="6"/>
  <c r="I243" i="7"/>
  <c r="AG19" i="122"/>
  <c r="AE19" i="122"/>
  <c r="J518" i="6"/>
  <c r="I156" i="7"/>
  <c r="J490" i="6"/>
  <c r="J482" i="6"/>
  <c r="J487" i="6"/>
  <c r="J224" i="10"/>
  <c r="J123" i="10"/>
  <c r="J271" i="10"/>
  <c r="J656" i="6"/>
  <c r="J820" i="6"/>
  <c r="J383" i="6"/>
  <c r="N55" i="122"/>
  <c r="T44" i="122"/>
  <c r="J520" i="6"/>
  <c r="J755" i="6"/>
  <c r="J760" i="6"/>
  <c r="J761" i="6"/>
  <c r="J756" i="6"/>
  <c r="F91" i="11"/>
  <c r="F92" i="11"/>
  <c r="I245" i="7"/>
  <c r="J235" i="6" l="1"/>
  <c r="I39" i="7"/>
  <c r="J788" i="6"/>
  <c r="AF70" i="122"/>
  <c r="J291" i="10"/>
  <c r="J277" i="6"/>
  <c r="J1599" i="3"/>
  <c r="J3921" i="6"/>
  <c r="T75" i="122"/>
  <c r="J117" i="10"/>
  <c r="N60" i="122"/>
  <c r="V60" i="122" s="1"/>
  <c r="AF10" i="122"/>
  <c r="J2641" i="6"/>
  <c r="J617" i="6"/>
  <c r="AG70" i="122"/>
  <c r="I97" i="7"/>
  <c r="S75" i="122"/>
  <c r="J386" i="6"/>
  <c r="J158" i="10"/>
  <c r="J385" i="6"/>
  <c r="O46" i="122"/>
  <c r="J503" i="6"/>
  <c r="J803" i="6"/>
  <c r="J849" i="6"/>
  <c r="J286" i="10"/>
  <c r="J821" i="6"/>
  <c r="J622" i="6"/>
  <c r="J3665" i="6"/>
  <c r="S10" i="122"/>
  <c r="J536" i="6"/>
  <c r="J416" i="6"/>
  <c r="J1339" i="3"/>
  <c r="J1570" i="3"/>
  <c r="J1333" i="3"/>
  <c r="J1559" i="3"/>
  <c r="J1358" i="3"/>
  <c r="J1377" i="3"/>
  <c r="J1569" i="3"/>
  <c r="J1604" i="3"/>
  <c r="J1359" i="3"/>
  <c r="J1618" i="3"/>
  <c r="J1332" i="3"/>
  <c r="J1751" i="3"/>
  <c r="I19" i="7"/>
  <c r="A18" i="8" s="1"/>
  <c r="J1729" i="3"/>
  <c r="J1730" i="3" s="1"/>
  <c r="J1755" i="3"/>
  <c r="J1756" i="3"/>
  <c r="P26" i="122"/>
  <c r="I145" i="7"/>
  <c r="J1822" i="3"/>
  <c r="J1558" i="3"/>
  <c r="I219" i="7"/>
  <c r="I222" i="7" s="1"/>
  <c r="N33" i="122"/>
  <c r="S33" i="122" s="1"/>
  <c r="J484" i="6"/>
  <c r="J481" i="6"/>
  <c r="N47" i="122"/>
  <c r="J491" i="6"/>
  <c r="J1826" i="3"/>
  <c r="J488" i="6"/>
  <c r="J485" i="6"/>
  <c r="J78" i="6"/>
  <c r="K83" i="6" s="1"/>
  <c r="J86" i="6"/>
  <c r="G48" i="10" s="1"/>
  <c r="J489" i="6"/>
  <c r="I103" i="7"/>
  <c r="AE25" i="122"/>
  <c r="J419" i="6"/>
  <c r="J554" i="6"/>
  <c r="O7" i="122"/>
  <c r="N35" i="122"/>
  <c r="S35" i="122" s="1"/>
  <c r="N7" i="122"/>
  <c r="AE7" i="122" s="1"/>
  <c r="N50" i="122"/>
  <c r="N32" i="122"/>
  <c r="S32" i="122" s="1"/>
  <c r="N36" i="122"/>
  <c r="S36" i="122" s="1"/>
  <c r="G61" i="116"/>
  <c r="G63" i="116" s="1"/>
  <c r="I227" i="7" s="1"/>
  <c r="I102" i="7"/>
  <c r="J693" i="6"/>
  <c r="AF46" i="122"/>
  <c r="J1281" i="3"/>
  <c r="N64" i="122" s="1"/>
  <c r="AB64" i="122" s="1"/>
  <c r="S12" i="122"/>
  <c r="J655" i="6"/>
  <c r="T12" i="122"/>
  <c r="J89" i="6"/>
  <c r="N56" i="122"/>
  <c r="J1843" i="3"/>
  <c r="J652" i="6"/>
  <c r="J177" i="6"/>
  <c r="AE12" i="122"/>
  <c r="J1861" i="3"/>
  <c r="J1862" i="3"/>
  <c r="J418" i="6"/>
  <c r="J578" i="6"/>
  <c r="Y12" i="122"/>
  <c r="J1587" i="3"/>
  <c r="N20" i="122" s="1"/>
  <c r="AE20" i="122" s="1"/>
  <c r="O56" i="122"/>
  <c r="AG9" i="122"/>
  <c r="U9" i="122"/>
  <c r="Y60" i="122"/>
  <c r="J437" i="3"/>
  <c r="O62" i="122"/>
  <c r="AE4" i="122"/>
  <c r="V4" i="122"/>
  <c r="C58" i="9"/>
  <c r="C46" i="9" s="1"/>
  <c r="I101" i="7"/>
  <c r="AE26" i="122"/>
  <c r="N38" i="122"/>
  <c r="Q4" i="122"/>
  <c r="I96" i="7"/>
  <c r="J178" i="6"/>
  <c r="J1694" i="3"/>
  <c r="J1291" i="3"/>
  <c r="I40" i="7"/>
  <c r="P25" i="122"/>
  <c r="S45" i="122"/>
  <c r="S9" i="122"/>
  <c r="T4" i="122"/>
  <c r="J1769" i="3"/>
  <c r="J370" i="6"/>
  <c r="AE45" i="122"/>
  <c r="AE27" i="122"/>
  <c r="AE9" i="122"/>
  <c r="U4" i="122"/>
  <c r="J397" i="6"/>
  <c r="J521" i="6"/>
  <c r="AC46" i="122"/>
  <c r="J180" i="6"/>
  <c r="J1859" i="3"/>
  <c r="J371" i="6"/>
  <c r="J368" i="6"/>
  <c r="J1856" i="3"/>
  <c r="AF9" i="122"/>
  <c r="AB4" i="122"/>
  <c r="P4" i="122"/>
  <c r="J1216" i="3"/>
  <c r="O59" i="122"/>
  <c r="J163" i="6"/>
  <c r="AD4" i="122"/>
  <c r="Y9" i="122"/>
  <c r="Y4" i="122"/>
  <c r="I104" i="7"/>
  <c r="J824" i="6"/>
  <c r="G20" i="10"/>
  <c r="G25" i="10"/>
  <c r="G33" i="10"/>
  <c r="G68" i="10"/>
  <c r="G36" i="10"/>
  <c r="G41" i="10"/>
  <c r="G57" i="10"/>
  <c r="G28" i="10"/>
  <c r="G17" i="10"/>
  <c r="Y27" i="122"/>
  <c r="J1423" i="3"/>
  <c r="N40" i="122"/>
  <c r="O25" i="122"/>
  <c r="J276" i="3"/>
  <c r="N31" i="122"/>
  <c r="S31" i="122" s="1"/>
  <c r="AG20" i="122"/>
  <c r="N48" i="122"/>
  <c r="Q46" i="122"/>
  <c r="J1212" i="3"/>
  <c r="N29" i="122" s="1"/>
  <c r="J713" i="6"/>
  <c r="I45" i="7"/>
  <c r="I47" i="7" s="1"/>
  <c r="I49" i="7" s="1"/>
  <c r="J1232" i="3"/>
  <c r="J1458" i="3"/>
  <c r="I170" i="7"/>
  <c r="I183" i="7" s="1"/>
  <c r="J1693" i="3"/>
  <c r="J1850" i="3"/>
  <c r="J236" i="6"/>
  <c r="J1738" i="3"/>
  <c r="J1842" i="3"/>
  <c r="J1839" i="3"/>
  <c r="J1836" i="3"/>
  <c r="N24" i="122"/>
  <c r="AE24" i="122" s="1"/>
  <c r="O24" i="122"/>
  <c r="J772" i="6"/>
  <c r="O31" i="122"/>
  <c r="S26" i="122"/>
  <c r="J791" i="6"/>
  <c r="J831" i="6" s="1"/>
  <c r="O16" i="122"/>
  <c r="N30" i="122"/>
  <c r="S30" i="122" s="1"/>
  <c r="J1772" i="3"/>
  <c r="J1838" i="3"/>
  <c r="J1854" i="3"/>
  <c r="J592" i="3"/>
  <c r="J615" i="3" s="1"/>
  <c r="J3793" i="6"/>
  <c r="J1834" i="3"/>
  <c r="F165" i="11" s="1"/>
  <c r="J1841" i="3"/>
  <c r="N51" i="122"/>
  <c r="J250" i="6"/>
  <c r="J1739" i="3"/>
  <c r="J1512" i="3" s="1"/>
  <c r="J805" i="6"/>
  <c r="J802" i="6"/>
  <c r="J2769" i="6"/>
  <c r="J2897" i="6"/>
  <c r="J103" i="6"/>
  <c r="J3537" i="6"/>
  <c r="P15" i="122"/>
  <c r="AD15" i="122"/>
  <c r="J817" i="6"/>
  <c r="I144" i="7"/>
  <c r="J309" i="6"/>
  <c r="J623" i="6"/>
  <c r="J626" i="6"/>
  <c r="AC67" i="122"/>
  <c r="J603" i="3"/>
  <c r="J1105" i="6"/>
  <c r="V61" i="122"/>
  <c r="J2513" i="6"/>
  <c r="J95" i="6"/>
  <c r="J277" i="3"/>
  <c r="H137" i="11"/>
  <c r="J775" i="6"/>
  <c r="J1864" i="3"/>
  <c r="J1855" i="3"/>
  <c r="J1737" i="3"/>
  <c r="J773" i="6"/>
  <c r="AB26" i="122"/>
  <c r="J625" i="3"/>
  <c r="J1860" i="3"/>
  <c r="T74" i="122"/>
  <c r="J1837" i="3"/>
  <c r="J1853" i="3"/>
  <c r="J1847" i="3"/>
  <c r="J1840" i="3"/>
  <c r="J1835" i="3"/>
  <c r="J1852" i="3"/>
  <c r="J579" i="6"/>
  <c r="O43" i="122"/>
  <c r="J2385" i="6"/>
  <c r="J2129" i="6"/>
  <c r="J2257" i="6"/>
  <c r="J977" i="6"/>
  <c r="J1489" i="6"/>
  <c r="AC15" i="122"/>
  <c r="J1846" i="3"/>
  <c r="J625" i="6"/>
  <c r="J624" i="6"/>
  <c r="V67" i="122"/>
  <c r="J3409" i="6"/>
  <c r="J232" i="3"/>
  <c r="J233" i="6"/>
  <c r="J558" i="6"/>
  <c r="J77" i="6"/>
  <c r="J714" i="6"/>
  <c r="O30" i="122"/>
  <c r="Y26" i="122"/>
  <c r="J790" i="6"/>
  <c r="J88" i="6"/>
  <c r="G56" i="10" s="1"/>
  <c r="J1748" i="3"/>
  <c r="J1742" i="3"/>
  <c r="J444" i="6"/>
  <c r="J1743" i="3"/>
  <c r="J247" i="6"/>
  <c r="J3153" i="6"/>
  <c r="J1873" i="6"/>
  <c r="J1233" i="6"/>
  <c r="J3025" i="6"/>
  <c r="J1617" i="6"/>
  <c r="J1681" i="3"/>
  <c r="Q15" i="122"/>
  <c r="J621" i="6"/>
  <c r="J616" i="6"/>
  <c r="J1361" i="6"/>
  <c r="I267" i="4"/>
  <c r="I266" i="4" s="1"/>
  <c r="R53" i="122"/>
  <c r="G49" i="10"/>
  <c r="J548" i="6"/>
  <c r="J688" i="6"/>
  <c r="V25" i="122"/>
  <c r="G65" i="10"/>
  <c r="G52" i="10"/>
  <c r="J619" i="6"/>
  <c r="J423" i="6"/>
  <c r="G44" i="10"/>
  <c r="J550" i="6"/>
  <c r="J560" i="6" s="1"/>
  <c r="J823" i="6"/>
  <c r="J707" i="6"/>
  <c r="J82" i="6"/>
  <c r="J351" i="6"/>
  <c r="J353" i="6"/>
  <c r="J349" i="6"/>
  <c r="J356" i="6"/>
  <c r="J352" i="6"/>
  <c r="J346" i="6"/>
  <c r="J354" i="6"/>
  <c r="J350" i="6"/>
  <c r="J347" i="6"/>
  <c r="S6" i="122"/>
  <c r="V6" i="122"/>
  <c r="P6" i="122"/>
  <c r="J597" i="3"/>
  <c r="J609" i="3" s="1"/>
  <c r="J596" i="3"/>
  <c r="J595" i="3"/>
  <c r="J618" i="3" s="1"/>
  <c r="J599" i="3"/>
  <c r="J593" i="3"/>
  <c r="J660" i="3" s="1"/>
  <c r="J598" i="3"/>
  <c r="J1218" i="3"/>
  <c r="F62" i="7"/>
  <c r="J171" i="6"/>
  <c r="J170" i="6"/>
  <c r="J172" i="6"/>
  <c r="J211" i="6"/>
  <c r="J214" i="6"/>
  <c r="J218" i="6"/>
  <c r="J215" i="6"/>
  <c r="J220" i="6"/>
  <c r="J219" i="6"/>
  <c r="J216" i="6"/>
  <c r="F191" i="11"/>
  <c r="G64" i="10"/>
  <c r="J288" i="6"/>
  <c r="J219" i="10"/>
  <c r="J229" i="10"/>
  <c r="J255" i="10"/>
  <c r="J1789" i="3"/>
  <c r="J97" i="10"/>
  <c r="J1780" i="3"/>
  <c r="O32" i="122"/>
  <c r="J179" i="10"/>
  <c r="J1786" i="3"/>
  <c r="J107" i="10"/>
  <c r="J92" i="10"/>
  <c r="J130" i="10"/>
  <c r="J1791" i="3"/>
  <c r="J199" i="10"/>
  <c r="J204" i="10"/>
  <c r="J102" i="10"/>
  <c r="J240" i="10"/>
  <c r="J1793" i="3"/>
  <c r="J146" i="10"/>
  <c r="J234" i="10"/>
  <c r="J174" i="10"/>
  <c r="J184" i="10"/>
  <c r="J265" i="10"/>
  <c r="J87" i="10"/>
  <c r="J189" i="10"/>
  <c r="J1782" i="3"/>
  <c r="J153" i="10"/>
  <c r="J260" i="10"/>
  <c r="G27" i="116"/>
  <c r="G28" i="116" s="1"/>
  <c r="H29" i="116" s="1"/>
  <c r="H27" i="116"/>
  <c r="N57" i="122"/>
  <c r="O49" i="122"/>
  <c r="N49" i="122"/>
  <c r="J1459" i="3"/>
  <c r="O61" i="122"/>
  <c r="I142" i="7"/>
  <c r="H219" i="3"/>
  <c r="O4" i="122"/>
  <c r="I143" i="7"/>
  <c r="J1762" i="3"/>
  <c r="J1727" i="3"/>
  <c r="J1764" i="3"/>
  <c r="J419" i="3"/>
  <c r="J388" i="3"/>
  <c r="J434" i="3" s="1"/>
  <c r="J385" i="3"/>
  <c r="J395" i="3" s="1"/>
  <c r="J383" i="3"/>
  <c r="J393" i="3" s="1"/>
  <c r="J384" i="3"/>
  <c r="J430" i="3" s="1"/>
  <c r="J386" i="3"/>
  <c r="J423" i="3" s="1"/>
  <c r="J164" i="6"/>
  <c r="J283" i="6"/>
  <c r="AJ2" i="122"/>
  <c r="J284" i="6"/>
  <c r="J308" i="6"/>
  <c r="J553" i="6"/>
  <c r="J689" i="6"/>
  <c r="J828" i="6"/>
  <c r="I214" i="7"/>
  <c r="I215" i="7"/>
  <c r="J37" i="6"/>
  <c r="J1463" i="3"/>
  <c r="J87" i="6"/>
  <c r="J1799" i="3"/>
  <c r="J1798" i="3"/>
  <c r="J1462" i="3"/>
  <c r="J136" i="6"/>
  <c r="J122" i="6"/>
  <c r="U20" i="122"/>
  <c r="J1757" i="3"/>
  <c r="Y20" i="122"/>
  <c r="AF20" i="122"/>
  <c r="O20" i="122"/>
  <c r="J134" i="6"/>
  <c r="J49" i="4"/>
  <c r="I49" i="4"/>
  <c r="J251" i="6"/>
  <c r="J696" i="6"/>
  <c r="I338" i="4"/>
  <c r="F295" i="11" s="1"/>
  <c r="I339" i="4"/>
  <c r="I264" i="4"/>
  <c r="J265" i="6"/>
  <c r="J262" i="6"/>
  <c r="J266" i="6"/>
  <c r="J263" i="6"/>
  <c r="J281" i="6"/>
  <c r="J278" i="6"/>
  <c r="T20" i="122"/>
  <c r="J557" i="6"/>
  <c r="J620" i="3"/>
  <c r="Y19" i="122"/>
  <c r="AF19" i="122"/>
  <c r="O57" i="122"/>
  <c r="G14" i="10"/>
  <c r="J194" i="10"/>
  <c r="J164" i="10"/>
  <c r="J1783" i="3"/>
  <c r="J245" i="10"/>
  <c r="J214" i="10"/>
  <c r="J169" i="10"/>
  <c r="J250" i="10"/>
  <c r="J281" i="10"/>
  <c r="J140" i="10"/>
  <c r="J209" i="10"/>
  <c r="J112" i="10"/>
  <c r="J1785" i="3"/>
  <c r="J1787" i="3" s="1"/>
  <c r="J640" i="3"/>
  <c r="AG53" i="122"/>
  <c r="AD53" i="122"/>
  <c r="O54" i="122"/>
  <c r="N54" i="122"/>
  <c r="O10" i="122"/>
  <c r="O11" i="122"/>
  <c r="J1731" i="3"/>
  <c r="J1733" i="3" s="1"/>
  <c r="N11" i="122"/>
  <c r="T11" i="122" s="1"/>
  <c r="J1615" i="3"/>
  <c r="AB15" i="122"/>
  <c r="O39" i="122"/>
  <c r="N34" i="122"/>
  <c r="S34" i="122" s="1"/>
  <c r="I216" i="7"/>
  <c r="J400" i="6"/>
  <c r="J401" i="6"/>
  <c r="T10" i="122"/>
  <c r="Y10" i="122"/>
  <c r="U10" i="122"/>
  <c r="AE10" i="122"/>
  <c r="S73" i="122"/>
  <c r="U73" i="122"/>
  <c r="J758" i="6"/>
  <c r="J752" i="6"/>
  <c r="J827" i="6" s="1"/>
  <c r="J759" i="6"/>
  <c r="Y6" i="122"/>
  <c r="AB6" i="122"/>
  <c r="J547" i="6"/>
  <c r="J1273" i="3"/>
  <c r="J148" i="3"/>
  <c r="J842" i="6"/>
  <c r="J594" i="3"/>
  <c r="J387" i="3"/>
  <c r="J123" i="6"/>
  <c r="J137" i="6"/>
  <c r="J38" i="6"/>
  <c r="J57" i="6"/>
  <c r="J1486" i="3"/>
  <c r="J50" i="6"/>
  <c r="J66" i="6"/>
  <c r="J1813" i="3"/>
  <c r="J1595" i="3"/>
  <c r="J1752" i="3"/>
  <c r="J1283" i="3"/>
  <c r="J49" i="6"/>
  <c r="J1329" i="3"/>
  <c r="J124" i="6"/>
  <c r="I233" i="7"/>
  <c r="J1601" i="3"/>
  <c r="J1600" i="3"/>
  <c r="G67" i="116"/>
  <c r="G68" i="116" s="1"/>
  <c r="G69" i="116" s="1"/>
  <c r="G56" i="116"/>
  <c r="G35" i="116"/>
  <c r="G39" i="116"/>
  <c r="J83" i="6"/>
  <c r="Y25" i="122"/>
  <c r="AB25" i="122"/>
  <c r="J622" i="3"/>
  <c r="J655" i="3"/>
  <c r="G43" i="116"/>
  <c r="G47" i="116"/>
  <c r="G31" i="116"/>
  <c r="G51" i="116"/>
  <c r="G23" i="116"/>
  <c r="G19" i="116"/>
  <c r="J1282" i="3"/>
  <c r="N63" i="122"/>
  <c r="O63" i="122"/>
  <c r="J685" i="6"/>
  <c r="J683" i="6"/>
  <c r="J692" i="6" s="1"/>
  <c r="J682" i="6"/>
  <c r="H139" i="11"/>
  <c r="H140" i="11"/>
  <c r="H308" i="11"/>
  <c r="H309" i="11"/>
  <c r="G85" i="116"/>
  <c r="H243" i="11"/>
  <c r="H247" i="11" s="1"/>
  <c r="H147" i="11"/>
  <c r="H144" i="11"/>
  <c r="H81" i="116"/>
  <c r="H86" i="116"/>
  <c r="H84" i="116"/>
  <c r="H149" i="11"/>
  <c r="H146" i="11"/>
  <c r="H312" i="11"/>
  <c r="H230" i="11"/>
  <c r="G81" i="116"/>
  <c r="H235" i="11"/>
  <c r="H314" i="11"/>
  <c r="H319" i="11"/>
  <c r="H234" i="11"/>
  <c r="H152" i="11"/>
  <c r="H191" i="11"/>
  <c r="H202" i="11" s="1"/>
  <c r="H148" i="11"/>
  <c r="H141" i="11"/>
  <c r="H253" i="11"/>
  <c r="H162" i="11"/>
  <c r="H153" i="11"/>
  <c r="H198" i="11"/>
  <c r="H197" i="11"/>
  <c r="H240" i="11"/>
  <c r="H85" i="116"/>
  <c r="H256" i="11"/>
  <c r="H257" i="11" s="1"/>
  <c r="H204" i="11"/>
  <c r="G87" i="116"/>
  <c r="H83" i="116"/>
  <c r="G86" i="116"/>
  <c r="H266" i="11"/>
  <c r="H264" i="11"/>
  <c r="H249" i="11"/>
  <c r="H313" i="11"/>
  <c r="H207" i="11"/>
  <c r="H142" i="11"/>
  <c r="H248" i="11"/>
  <c r="H157" i="11"/>
  <c r="H159" i="11"/>
  <c r="H201" i="11"/>
  <c r="H193" i="11"/>
  <c r="G82" i="116"/>
  <c r="G83" i="116"/>
  <c r="H231" i="11"/>
  <c r="H269" i="11"/>
  <c r="H217" i="11"/>
  <c r="H233" i="11"/>
  <c r="H165" i="11"/>
  <c r="H315" i="11"/>
  <c r="H272" i="11"/>
  <c r="H175" i="11"/>
  <c r="H82" i="116"/>
  <c r="H261" i="11"/>
  <c r="H282" i="11"/>
  <c r="H317" i="11"/>
  <c r="H176" i="11"/>
  <c r="H143" i="11"/>
  <c r="H161" i="11"/>
  <c r="H154" i="11"/>
  <c r="H287" i="11"/>
  <c r="H178" i="11"/>
  <c r="G84" i="116"/>
  <c r="H236" i="11"/>
  <c r="H166" i="11"/>
  <c r="H280" i="11"/>
  <c r="H99" i="11"/>
  <c r="H295" i="11"/>
  <c r="H170" i="11"/>
  <c r="H251" i="11"/>
  <c r="H133" i="11"/>
  <c r="H288" i="11"/>
  <c r="H192" i="11"/>
  <c r="H238" i="11"/>
  <c r="H158" i="11"/>
  <c r="H156" i="11"/>
  <c r="H210" i="11"/>
  <c r="H213" i="11"/>
  <c r="H208" i="11"/>
  <c r="H205" i="11"/>
  <c r="H215" i="11"/>
  <c r="H273" i="11"/>
  <c r="H279" i="11"/>
  <c r="H274" i="11"/>
  <c r="H271" i="11"/>
  <c r="H277" i="11"/>
  <c r="H169" i="11"/>
  <c r="H174" i="11"/>
  <c r="H173" i="11"/>
  <c r="H171" i="11"/>
  <c r="H167" i="11"/>
  <c r="H284" i="11"/>
  <c r="H285" i="11"/>
  <c r="H293" i="11"/>
  <c r="H283" i="11"/>
  <c r="H291" i="11"/>
  <c r="H290" i="11"/>
  <c r="H292" i="11"/>
  <c r="H186" i="11"/>
  <c r="H185" i="11"/>
  <c r="H182" i="11"/>
  <c r="H189" i="11"/>
  <c r="H187" i="11"/>
  <c r="H188" i="11"/>
  <c r="H180" i="11"/>
  <c r="H184" i="11"/>
  <c r="H179" i="11"/>
  <c r="H102" i="11"/>
  <c r="H100" i="11"/>
  <c r="H103" i="11"/>
  <c r="H109" i="11"/>
  <c r="H101" i="11"/>
  <c r="H105" i="11"/>
  <c r="H110" i="11"/>
  <c r="H136" i="11"/>
  <c r="H111" i="11"/>
  <c r="H107" i="11"/>
  <c r="H112" i="11"/>
  <c r="H134" i="11"/>
  <c r="H104" i="11"/>
  <c r="H115" i="11"/>
  <c r="H108" i="11"/>
  <c r="H106" i="11"/>
  <c r="H135" i="11"/>
  <c r="H113" i="11"/>
  <c r="H297" i="11"/>
  <c r="H305" i="11"/>
  <c r="H302" i="11"/>
  <c r="H301" i="11"/>
  <c r="H304" i="11"/>
  <c r="H300" i="11"/>
  <c r="J425" i="6" l="1"/>
  <c r="I200" i="7"/>
  <c r="S20" i="122"/>
  <c r="J1744" i="3"/>
  <c r="V7" i="122"/>
  <c r="J416" i="3"/>
  <c r="J556" i="6"/>
  <c r="N8" i="122"/>
  <c r="J80" i="6"/>
  <c r="J607" i="3"/>
  <c r="J79" i="6"/>
  <c r="J426" i="6"/>
  <c r="J629" i="3"/>
  <c r="J1749" i="3"/>
  <c r="J561" i="6"/>
  <c r="J440" i="3"/>
  <c r="I50" i="4"/>
  <c r="J1511" i="3"/>
  <c r="S7" i="122"/>
  <c r="P24" i="122"/>
  <c r="U24" i="122"/>
  <c r="V24" i="122"/>
  <c r="J422" i="6"/>
  <c r="O8" i="122"/>
  <c r="AF24" i="122"/>
  <c r="AD24" i="122"/>
  <c r="AC24" i="122"/>
  <c r="AG24" i="122"/>
  <c r="P7" i="122"/>
  <c r="J1510" i="3"/>
  <c r="J1740" i="3"/>
  <c r="AB7" i="122"/>
  <c r="J695" i="6"/>
  <c r="J421" i="6"/>
  <c r="J1741" i="3"/>
  <c r="Y7" i="122"/>
  <c r="J422" i="3"/>
  <c r="J691" i="6"/>
  <c r="O64" i="122"/>
  <c r="G62" i="116"/>
  <c r="H28" i="116"/>
  <c r="G57" i="116"/>
  <c r="J830" i="6"/>
  <c r="B40" i="9"/>
  <c r="C66" i="9" s="1"/>
  <c r="B47" i="9"/>
  <c r="B41" i="9"/>
  <c r="C47" i="9"/>
  <c r="C60" i="9"/>
  <c r="B44" i="9"/>
  <c r="A41" i="9"/>
  <c r="A44" i="9"/>
  <c r="C40" i="9"/>
  <c r="B45" i="9"/>
  <c r="B46" i="9"/>
  <c r="C43" i="9"/>
  <c r="A46" i="9"/>
  <c r="C45" i="9"/>
  <c r="C44" i="9"/>
  <c r="A45" i="9"/>
  <c r="C42" i="9"/>
  <c r="A43" i="9"/>
  <c r="A42" i="9"/>
  <c r="B42" i="9"/>
  <c r="A40" i="9"/>
  <c r="C67" i="9" s="1"/>
  <c r="C68" i="9" s="1"/>
  <c r="A47" i="9"/>
  <c r="C41" i="9"/>
  <c r="B43" i="9"/>
  <c r="O28" i="122"/>
  <c r="N28" i="122"/>
  <c r="J396" i="3"/>
  <c r="J432" i="3"/>
  <c r="J414" i="3"/>
  <c r="J405" i="3"/>
  <c r="J441" i="3"/>
  <c r="J604" i="3"/>
  <c r="J290" i="6"/>
  <c r="G35" i="10"/>
  <c r="O29" i="122"/>
  <c r="Y11" i="122"/>
  <c r="J403" i="3"/>
  <c r="I171" i="7"/>
  <c r="J1668" i="3"/>
  <c r="J648" i="3"/>
  <c r="J637" i="3"/>
  <c r="J626" i="3"/>
  <c r="J659" i="3"/>
  <c r="AB24" i="122"/>
  <c r="S24" i="122"/>
  <c r="Y24" i="122"/>
  <c r="R24" i="122"/>
  <c r="Q24" i="122"/>
  <c r="T24" i="122"/>
  <c r="I175" i="7"/>
  <c r="I192" i="7"/>
  <c r="J826" i="6"/>
  <c r="J286" i="6"/>
  <c r="J1736" i="3"/>
  <c r="J1735" i="3"/>
  <c r="J631" i="3"/>
  <c r="G53" i="10"/>
  <c r="G43" i="10"/>
  <c r="G46" i="10"/>
  <c r="G50" i="10"/>
  <c r="G70" i="10"/>
  <c r="J1788" i="3" s="1"/>
  <c r="G38" i="10"/>
  <c r="J1790" i="3"/>
  <c r="J664" i="3"/>
  <c r="J653" i="3"/>
  <c r="J642" i="3"/>
  <c r="J439" i="3"/>
  <c r="J421" i="3"/>
  <c r="J412" i="3"/>
  <c r="J394" i="3"/>
  <c r="J398" i="3"/>
  <c r="J411" i="3"/>
  <c r="J420" i="3"/>
  <c r="J429" i="3"/>
  <c r="J438" i="3"/>
  <c r="J402" i="3"/>
  <c r="J413" i="3"/>
  <c r="J431" i="3"/>
  <c r="J404" i="3"/>
  <c r="J643" i="3"/>
  <c r="J665" i="3"/>
  <c r="J621" i="3"/>
  <c r="J654" i="3"/>
  <c r="J610" i="3"/>
  <c r="J632" i="3"/>
  <c r="J425" i="3"/>
  <c r="J443" i="3"/>
  <c r="J407" i="3"/>
  <c r="J649" i="3"/>
  <c r="J638" i="3"/>
  <c r="J605" i="3"/>
  <c r="J616" i="3"/>
  <c r="J627" i="3"/>
  <c r="J666" i="3"/>
  <c r="J633" i="3"/>
  <c r="J611" i="3"/>
  <c r="J644" i="3"/>
  <c r="J662" i="3"/>
  <c r="J651" i="3"/>
  <c r="J641" i="3"/>
  <c r="J619" i="3"/>
  <c r="J630" i="3"/>
  <c r="J652" i="3"/>
  <c r="J608" i="3"/>
  <c r="J663" i="3"/>
  <c r="G42" i="10"/>
  <c r="G34" i="10"/>
  <c r="G30" i="10"/>
  <c r="G66" i="10"/>
  <c r="G27" i="10"/>
  <c r="G29" i="116"/>
  <c r="G67" i="10"/>
  <c r="G26" i="10"/>
  <c r="G58" i="10"/>
  <c r="G19" i="10"/>
  <c r="G69" i="10"/>
  <c r="G29" i="10"/>
  <c r="G45" i="10"/>
  <c r="G59" i="10"/>
  <c r="G22" i="10"/>
  <c r="G37" i="10"/>
  <c r="G62" i="10"/>
  <c r="G54" i="10"/>
  <c r="G18" i="10"/>
  <c r="G51" i="10"/>
  <c r="I51" i="7"/>
  <c r="I54" i="7"/>
  <c r="J1722" i="3" s="1"/>
  <c r="I53" i="7"/>
  <c r="I52" i="7"/>
  <c r="I55" i="7"/>
  <c r="J1725" i="3" s="1"/>
  <c r="AE11" i="122"/>
  <c r="AF11" i="122"/>
  <c r="J606" i="3"/>
  <c r="J650" i="3"/>
  <c r="J628" i="3"/>
  <c r="J661" i="3"/>
  <c r="J617" i="3"/>
  <c r="J639" i="3"/>
  <c r="S29" i="122"/>
  <c r="AE29" i="122"/>
  <c r="Y29" i="122"/>
  <c r="J287" i="6"/>
  <c r="S11" i="122"/>
  <c r="AG11" i="122"/>
  <c r="J291" i="6"/>
  <c r="U11" i="122"/>
  <c r="J442" i="3"/>
  <c r="J397" i="3"/>
  <c r="J406" i="3"/>
  <c r="J415" i="3"/>
  <c r="J424" i="3"/>
  <c r="J433" i="3"/>
  <c r="N23" i="122"/>
  <c r="O23" i="122"/>
  <c r="J1746" i="3"/>
  <c r="G61" i="10"/>
  <c r="G21" i="10"/>
  <c r="G17" i="116"/>
  <c r="I161" i="7"/>
  <c r="I7" i="7"/>
  <c r="H125" i="11"/>
  <c r="H124" i="11"/>
  <c r="H120" i="11"/>
  <c r="H128" i="11"/>
  <c r="H129" i="11"/>
  <c r="H131" i="11"/>
  <c r="H121" i="11"/>
  <c r="H127" i="11"/>
  <c r="H123" i="11"/>
  <c r="H119" i="11"/>
  <c r="H132" i="11"/>
  <c r="H130" i="11"/>
  <c r="H126" i="11"/>
  <c r="H118" i="11"/>
  <c r="H122" i="11"/>
  <c r="G36" i="116"/>
  <c r="G24" i="116"/>
  <c r="G20" i="116"/>
  <c r="G52" i="116"/>
  <c r="G53" i="116" s="1"/>
  <c r="G48" i="116"/>
  <c r="G49" i="116" s="1"/>
  <c r="G32" i="116"/>
  <c r="G33" i="116" s="1"/>
  <c r="I221" i="7"/>
  <c r="AB8" i="122"/>
  <c r="AC8" i="122"/>
  <c r="AD8" i="122"/>
  <c r="V8" i="122"/>
  <c r="Q8" i="122"/>
  <c r="P8" i="122"/>
  <c r="J10" i="123" s="1"/>
  <c r="K10" i="123" s="1"/>
  <c r="L10" i="123" s="1"/>
  <c r="R8" i="122"/>
  <c r="G44" i="116"/>
  <c r="G45" i="116" s="1"/>
  <c r="Y63" i="122"/>
  <c r="AE63" i="122"/>
  <c r="I224" i="7"/>
  <c r="G40" i="116"/>
  <c r="H237" i="11"/>
  <c r="H270" i="11"/>
  <c r="H311" i="11"/>
  <c r="H223" i="11"/>
  <c r="H303" i="11"/>
  <c r="H194" i="11"/>
  <c r="H200" i="11"/>
  <c r="H183" i="11"/>
  <c r="H195" i="11"/>
  <c r="H221" i="11"/>
  <c r="H160" i="11"/>
  <c r="H211" i="11"/>
  <c r="H168" i="11"/>
  <c r="H155" i="11"/>
  <c r="H245" i="11"/>
  <c r="H196" i="11"/>
  <c r="H267" i="11"/>
  <c r="H250" i="11"/>
  <c r="H306" i="11"/>
  <c r="H316" i="11"/>
  <c r="H265" i="11"/>
  <c r="H276" i="11"/>
  <c r="H259" i="11"/>
  <c r="H275" i="11"/>
  <c r="H150" i="11"/>
  <c r="H226" i="11"/>
  <c r="H227" i="11"/>
  <c r="H199" i="11"/>
  <c r="H262" i="11"/>
  <c r="H219" i="11"/>
  <c r="H163" i="11"/>
  <c r="H181" i="11"/>
  <c r="H225" i="11"/>
  <c r="H220" i="11"/>
  <c r="H278" i="11"/>
  <c r="H212" i="11"/>
  <c r="H286" i="11"/>
  <c r="H145" i="11"/>
  <c r="H258" i="11"/>
  <c r="H114" i="11"/>
  <c r="H172" i="11"/>
  <c r="H254" i="11"/>
  <c r="H214" i="11"/>
  <c r="H206" i="11"/>
  <c r="H310" i="11"/>
  <c r="H222" i="11"/>
  <c r="H318" i="11"/>
  <c r="H246" i="11"/>
  <c r="H299" i="11"/>
  <c r="H232" i="11"/>
  <c r="H239" i="11"/>
  <c r="H263" i="11"/>
  <c r="H241" i="11"/>
  <c r="H260" i="11"/>
  <c r="H289" i="11"/>
  <c r="H209" i="11"/>
  <c r="H218" i="11"/>
  <c r="H296" i="11"/>
  <c r="H224" i="11"/>
  <c r="H244" i="11"/>
  <c r="H298" i="11"/>
  <c r="H228" i="11"/>
  <c r="H252" i="11"/>
  <c r="J1669" i="3" l="1"/>
  <c r="J1732" i="3"/>
  <c r="I8" i="7"/>
  <c r="J1341" i="3"/>
  <c r="K1341" i="3"/>
  <c r="J447" i="3"/>
  <c r="G64" i="116"/>
  <c r="I226" i="7"/>
  <c r="G58" i="116"/>
  <c r="J450" i="3"/>
  <c r="Y28" i="122"/>
  <c r="AE28" i="122"/>
  <c r="S28" i="122"/>
  <c r="J680" i="3"/>
  <c r="I135" i="7" s="1"/>
  <c r="J673" i="3"/>
  <c r="J456" i="3"/>
  <c r="J678" i="3"/>
  <c r="I131" i="7" s="1"/>
  <c r="J454" i="3"/>
  <c r="J455" i="3"/>
  <c r="J451" i="3"/>
  <c r="J679" i="3"/>
  <c r="J670" i="3"/>
  <c r="J675" i="3"/>
  <c r="I136" i="7" s="1"/>
  <c r="J674" i="3"/>
  <c r="T23" i="122"/>
  <c r="V23" i="122"/>
  <c r="S23" i="122"/>
  <c r="AF23" i="122"/>
  <c r="AB23" i="122"/>
  <c r="AG23" i="122"/>
  <c r="AE23" i="122"/>
  <c r="Y23" i="122"/>
  <c r="U23" i="122"/>
  <c r="AC23" i="122"/>
  <c r="P23" i="122"/>
  <c r="AD23" i="122"/>
  <c r="Q23" i="122"/>
  <c r="R23" i="122"/>
  <c r="G25" i="116"/>
  <c r="G21" i="116"/>
  <c r="A23" i="8"/>
  <c r="A21" i="8"/>
  <c r="G37" i="116"/>
  <c r="H37" i="116"/>
  <c r="H33" i="116"/>
  <c r="G41" i="116"/>
  <c r="H41" i="116"/>
  <c r="G91" i="116"/>
  <c r="H91" i="116"/>
  <c r="G89" i="116"/>
  <c r="H89" i="116"/>
  <c r="O18" i="122" l="1"/>
  <c r="N18" i="122"/>
  <c r="A30" i="8"/>
  <c r="G90" i="116"/>
  <c r="H90" i="116"/>
  <c r="G92" i="116"/>
  <c r="AB18" i="122" l="1"/>
  <c r="Y18" i="122"/>
  <c r="P18" i="122"/>
  <c r="J11" i="123" s="1"/>
  <c r="K11" i="123" s="1"/>
  <c r="L11" i="123" s="1"/>
  <c r="R18" i="122"/>
  <c r="T18" i="122"/>
  <c r="AC18" i="122"/>
  <c r="S18" i="122"/>
  <c r="AE18" i="122"/>
  <c r="Q18" i="122"/>
  <c r="AD18" i="122"/>
  <c r="V18" i="122"/>
  <c r="AG18" i="122"/>
  <c r="AF18" i="122"/>
  <c r="U18" i="122"/>
  <c r="F10" i="123" l="1"/>
  <c r="J12" i="123"/>
  <c r="F11" i="123" l="1"/>
  <c r="G10" i="123"/>
  <c r="H10" i="123" s="1"/>
  <c r="K12" i="123"/>
  <c r="L12" i="123" s="1"/>
  <c r="J13" i="123"/>
  <c r="G11" i="123" l="1"/>
  <c r="H11" i="123" s="1"/>
  <c r="F12" i="123"/>
  <c r="K13" i="123"/>
  <c r="L13" i="123" s="1"/>
  <c r="J14" i="123"/>
  <c r="G12" i="123" l="1"/>
  <c r="H12" i="123" s="1"/>
  <c r="F13" i="123"/>
  <c r="K14" i="123"/>
  <c r="L14" i="123" s="1"/>
  <c r="J15" i="123"/>
  <c r="F14" i="123" l="1"/>
  <c r="G13" i="123"/>
  <c r="H13" i="123" s="1"/>
  <c r="K15" i="123"/>
  <c r="L15" i="123" s="1"/>
  <c r="J16" i="123"/>
  <c r="G14" i="123" l="1"/>
  <c r="H14" i="123" s="1"/>
  <c r="F15" i="123"/>
  <c r="K16" i="123"/>
  <c r="L16" i="123" s="1"/>
  <c r="J17" i="123"/>
  <c r="G15" i="123" l="1"/>
  <c r="H15" i="123" s="1"/>
  <c r="F16" i="123"/>
  <c r="J18" i="123"/>
  <c r="K17" i="123"/>
  <c r="L17" i="123" s="1"/>
  <c r="K18" i="123" l="1"/>
  <c r="L18" i="123" s="1"/>
  <c r="J19" i="123"/>
  <c r="F17" i="123"/>
  <c r="G16" i="123"/>
  <c r="H16" i="123" s="1"/>
  <c r="J20" i="123" l="1"/>
  <c r="K19" i="123"/>
  <c r="L19" i="123" s="1"/>
  <c r="G17" i="123"/>
  <c r="H17" i="123" s="1"/>
  <c r="F18" i="123"/>
  <c r="K20" i="123" l="1"/>
  <c r="L20" i="123" s="1"/>
  <c r="J21" i="123"/>
  <c r="G18" i="123"/>
  <c r="H18" i="123" s="1"/>
  <c r="F19" i="123"/>
  <c r="J22" i="123" l="1"/>
  <c r="K21" i="123"/>
  <c r="L21" i="123" s="1"/>
  <c r="F20" i="123"/>
  <c r="G19" i="123"/>
  <c r="H19" i="123" s="1"/>
  <c r="F21" i="123" l="1"/>
  <c r="G20" i="123"/>
  <c r="H20" i="123" s="1"/>
  <c r="J23" i="123"/>
  <c r="K22" i="123"/>
  <c r="L22" i="123" s="1"/>
  <c r="K23" i="123" l="1"/>
  <c r="L23" i="123" s="1"/>
  <c r="J24" i="123"/>
  <c r="F22" i="123"/>
  <c r="G21" i="123"/>
  <c r="H21" i="123" s="1"/>
  <c r="K24" i="123" l="1"/>
  <c r="L24" i="123" s="1"/>
  <c r="J25" i="123"/>
  <c r="F23" i="123"/>
  <c r="G22" i="123"/>
  <c r="H22" i="123" s="1"/>
  <c r="F24" i="123" l="1"/>
  <c r="G23" i="123"/>
  <c r="H23" i="123" s="1"/>
  <c r="K25" i="123"/>
  <c r="L25" i="123" s="1"/>
  <c r="J26" i="123"/>
  <c r="F25" i="123" l="1"/>
  <c r="G24" i="123"/>
  <c r="H24" i="123" s="1"/>
  <c r="K26" i="123"/>
  <c r="J27" i="123"/>
  <c r="F26" i="123" l="1"/>
  <c r="G25" i="123"/>
  <c r="H25" i="123" s="1"/>
  <c r="J28" i="123"/>
  <c r="K27" i="123"/>
  <c r="K28" i="123" l="1"/>
  <c r="J29" i="123"/>
  <c r="G26" i="123"/>
  <c r="F27" i="123"/>
  <c r="K29" i="123" l="1"/>
  <c r="J30" i="123"/>
  <c r="F28" i="123"/>
  <c r="G27" i="123"/>
  <c r="K30" i="123" l="1"/>
  <c r="J31" i="123"/>
  <c r="G28" i="123"/>
  <c r="F29" i="123"/>
  <c r="K31" i="123" l="1"/>
  <c r="J32" i="123"/>
  <c r="F30" i="123"/>
  <c r="G29" i="123"/>
  <c r="J33" i="123" l="1"/>
  <c r="K32" i="123"/>
  <c r="F31" i="123"/>
  <c r="G30" i="123"/>
  <c r="G31" i="123" l="1"/>
  <c r="F32" i="123"/>
  <c r="K33" i="123"/>
  <c r="J34" i="123"/>
  <c r="F33" i="123" l="1"/>
  <c r="G32" i="123"/>
  <c r="J35" i="123"/>
  <c r="K34" i="123"/>
  <c r="J36" i="123" l="1"/>
  <c r="K35" i="123"/>
  <c r="F34" i="123"/>
  <c r="G33" i="123"/>
  <c r="G34" i="123" l="1"/>
  <c r="F35" i="123"/>
  <c r="K36" i="123"/>
  <c r="J37" i="123"/>
  <c r="G35" i="123" l="1"/>
  <c r="F36" i="123"/>
  <c r="K37" i="123"/>
  <c r="J38" i="123"/>
  <c r="G36" i="123" l="1"/>
  <c r="F37" i="123"/>
  <c r="J39" i="123"/>
  <c r="K38" i="123"/>
  <c r="F38" i="123" l="1"/>
  <c r="G37" i="123"/>
  <c r="K39" i="123"/>
  <c r="J40" i="123"/>
  <c r="G38" i="123" l="1"/>
  <c r="F39" i="123"/>
  <c r="J41" i="123"/>
  <c r="K40" i="123"/>
  <c r="J42" i="123" l="1"/>
  <c r="K41" i="123"/>
  <c r="G39" i="123"/>
  <c r="F40" i="123"/>
  <c r="J43" i="123" l="1"/>
  <c r="K42" i="123"/>
  <c r="G40" i="123"/>
  <c r="F41" i="123"/>
  <c r="K43" i="123" l="1"/>
  <c r="J44" i="123"/>
  <c r="F42" i="123"/>
  <c r="G41" i="123"/>
  <c r="J45" i="123" l="1"/>
  <c r="K44" i="123"/>
  <c r="F43" i="123"/>
  <c r="G42" i="123"/>
  <c r="G43" i="123" l="1"/>
  <c r="F44" i="123"/>
  <c r="J46" i="123"/>
  <c r="K45" i="123"/>
  <c r="F45" i="123" l="1"/>
  <c r="G44" i="123"/>
  <c r="K46" i="123"/>
  <c r="J47" i="123"/>
  <c r="F46" i="123" l="1"/>
  <c r="G45" i="123"/>
  <c r="J48" i="123"/>
  <c r="K47" i="123"/>
  <c r="K48" i="123" l="1"/>
  <c r="J49" i="123"/>
  <c r="F47" i="123"/>
  <c r="G46" i="123"/>
  <c r="J50" i="123" l="1"/>
  <c r="K49" i="123"/>
  <c r="G47" i="123"/>
  <c r="F48" i="123"/>
  <c r="J51" i="123" l="1"/>
  <c r="K50" i="123"/>
  <c r="G48" i="123"/>
  <c r="F49" i="123"/>
  <c r="J52" i="123" l="1"/>
  <c r="K51" i="123"/>
  <c r="F50" i="123"/>
  <c r="G49" i="123"/>
  <c r="F51" i="123" l="1"/>
  <c r="G50" i="123"/>
  <c r="K52" i="123"/>
  <c r="J53" i="123"/>
  <c r="G51" i="123" l="1"/>
  <c r="F52" i="123"/>
  <c r="K53" i="123"/>
  <c r="J54" i="123"/>
  <c r="G52" i="123" l="1"/>
  <c r="F53" i="123"/>
  <c r="K54" i="123"/>
  <c r="J55" i="123"/>
  <c r="F54" i="123" l="1"/>
  <c r="G53" i="123"/>
  <c r="J56" i="123"/>
  <c r="K55" i="123"/>
  <c r="J57" i="123" l="1"/>
  <c r="K56" i="123"/>
  <c r="G54" i="123"/>
  <c r="F55" i="123"/>
  <c r="J58" i="123" l="1"/>
  <c r="K57" i="123"/>
  <c r="F56" i="123"/>
  <c r="G55" i="123"/>
  <c r="G56" i="123" l="1"/>
  <c r="F57" i="123"/>
  <c r="J59" i="123"/>
  <c r="K58" i="123"/>
  <c r="J60" i="123" l="1"/>
  <c r="K59" i="123"/>
  <c r="G57" i="123"/>
  <c r="F58" i="123"/>
  <c r="J61" i="123" l="1"/>
  <c r="K60" i="123"/>
  <c r="G58" i="123"/>
  <c r="F59" i="123"/>
  <c r="K61" i="123" l="1"/>
  <c r="J62" i="123"/>
  <c r="G59" i="123"/>
  <c r="F60" i="123"/>
  <c r="K62" i="123" l="1"/>
  <c r="J63" i="123"/>
  <c r="F61" i="123"/>
  <c r="G60" i="123"/>
  <c r="J64" i="123" l="1"/>
  <c r="K63" i="123"/>
  <c r="F62" i="123"/>
  <c r="G61" i="123"/>
  <c r="F63" i="123" l="1"/>
  <c r="G62" i="123"/>
  <c r="K64" i="123"/>
  <c r="J65" i="123"/>
  <c r="G63" i="123" l="1"/>
  <c r="F64" i="123"/>
  <c r="K65" i="123"/>
  <c r="J66" i="123"/>
  <c r="F65" i="123" l="1"/>
  <c r="G64" i="123"/>
  <c r="J67" i="123"/>
  <c r="K66" i="123"/>
  <c r="G65" i="123" l="1"/>
  <c r="F66" i="123"/>
  <c r="J68" i="123"/>
  <c r="K67" i="123"/>
  <c r="G66" i="123" l="1"/>
  <c r="F67" i="123"/>
  <c r="J69" i="123"/>
  <c r="K68" i="123"/>
  <c r="G67" i="123" l="1"/>
  <c r="F68" i="123"/>
  <c r="H6" i="123"/>
  <c r="K69" i="123"/>
  <c r="F69" i="123" l="1"/>
  <c r="G69" i="123" s="1"/>
  <c r="G68" i="123"/>
  <c r="H5" i="123" l="1"/>
  <c r="H3" i="123"/>
</calcChain>
</file>

<file path=xl/sharedStrings.xml><?xml version="1.0" encoding="utf-8"?>
<sst xmlns="http://schemas.openxmlformats.org/spreadsheetml/2006/main" count="20972" uniqueCount="11883">
  <si>
    <t>建築物確認済証、報告書：適判物件で無い場合の適判通知書交付者の表記の位置を元の所に表示する様に修正</t>
    <rPh sb="0" eb="3">
      <t>ケンチクブツ</t>
    </rPh>
    <rPh sb="3" eb="7">
      <t>カクニンズミショウ</t>
    </rPh>
    <rPh sb="8" eb="11">
      <t>ホウコクショ</t>
    </rPh>
    <rPh sb="12" eb="14">
      <t>テキハン</t>
    </rPh>
    <rPh sb="14" eb="16">
      <t>ブッケン</t>
    </rPh>
    <rPh sb="17" eb="18">
      <t>ナ</t>
    </rPh>
    <rPh sb="19" eb="21">
      <t>バアイ</t>
    </rPh>
    <rPh sb="22" eb="30">
      <t>テキハンツウチショコウフシャ</t>
    </rPh>
    <rPh sb="31" eb="33">
      <t>ヒョウキ</t>
    </rPh>
    <rPh sb="34" eb="36">
      <t>イチ</t>
    </rPh>
    <rPh sb="37" eb="38">
      <t>モト</t>
    </rPh>
    <rPh sb="39" eb="40">
      <t>トコロ</t>
    </rPh>
    <rPh sb="41" eb="43">
      <t>ヒョウジ</t>
    </rPh>
    <rPh sb="45" eb="46">
      <t>ヨウ</t>
    </rPh>
    <rPh sb="47" eb="49">
      <t>シュウセイ</t>
    </rPh>
    <phoneticPr fontId="2"/>
  </si>
  <si>
    <t>決裁書（昇降機、工作物）：預かり日欄に受付日をリンクする様に修正</t>
    <rPh sb="0" eb="3">
      <t>ケッサイショ</t>
    </rPh>
    <rPh sb="4" eb="7">
      <t>ショウコウキ</t>
    </rPh>
    <rPh sb="8" eb="11">
      <t>コウサクブツ</t>
    </rPh>
    <rPh sb="13" eb="14">
      <t>アズ</t>
    </rPh>
    <rPh sb="16" eb="17">
      <t>ビ</t>
    </rPh>
    <rPh sb="17" eb="18">
      <t>ラン</t>
    </rPh>
    <rPh sb="19" eb="22">
      <t>ウケツケビ</t>
    </rPh>
    <rPh sb="28" eb="29">
      <t>ヨウ</t>
    </rPh>
    <rPh sb="30" eb="32">
      <t>シュウセイ</t>
    </rPh>
    <phoneticPr fontId="2"/>
  </si>
  <si>
    <t>**lastinter_shinsei_intermediate_SPECIFIC_KOUTEI</t>
    <phoneticPr fontId="2"/>
  </si>
  <si>
    <t>特定工程</t>
    <rPh sb="0" eb="4">
      <t>トクテイコウテイ</t>
    </rPh>
    <phoneticPr fontId="2"/>
  </si>
  <si>
    <t>cst_lastinter_shinsei_intermediate_SPECIFIC_KOUTEI</t>
    <phoneticPr fontId="2"/>
  </si>
  <si>
    <t>中間・完了検査 - 請求書：申請手数料欄に出張費がある場合に表記する様に修正</t>
    <rPh sb="0" eb="2">
      <t>チュウカン</t>
    </rPh>
    <rPh sb="3" eb="7">
      <t>カンリョウケンサ</t>
    </rPh>
    <rPh sb="10" eb="13">
      <t>セイキュウショ</t>
    </rPh>
    <rPh sb="14" eb="19">
      <t>シンセイテスウリョウ</t>
    </rPh>
    <rPh sb="19" eb="20">
      <t>ラン</t>
    </rPh>
    <rPh sb="21" eb="24">
      <t>シュッチョウヒ</t>
    </rPh>
    <rPh sb="27" eb="29">
      <t>バアイ</t>
    </rPh>
    <rPh sb="30" eb="32">
      <t>ヒョウキ</t>
    </rPh>
    <rPh sb="34" eb="35">
      <t>ヨウ</t>
    </rPh>
    <rPh sb="36" eb="38">
      <t>シュウセイ</t>
    </rPh>
    <phoneticPr fontId="2"/>
  </si>
  <si>
    <t>中間・完了検査 - 請求書：振込用紙控え貼付け欄に文言を追記</t>
    <rPh sb="0" eb="2">
      <t>チュウカン</t>
    </rPh>
    <rPh sb="3" eb="7">
      <t>カンリョウケンサ</t>
    </rPh>
    <rPh sb="10" eb="13">
      <t>セイキュウショ</t>
    </rPh>
    <rPh sb="14" eb="16">
      <t>フリコミ</t>
    </rPh>
    <rPh sb="16" eb="18">
      <t>ヨウシ</t>
    </rPh>
    <rPh sb="18" eb="19">
      <t>ヒカ</t>
    </rPh>
    <rPh sb="20" eb="22">
      <t>ハリツ</t>
    </rPh>
    <rPh sb="23" eb="24">
      <t>ラン</t>
    </rPh>
    <rPh sb="25" eb="27">
      <t>モンゴン</t>
    </rPh>
    <rPh sb="28" eb="30">
      <t>ツイキ</t>
    </rPh>
    <phoneticPr fontId="2"/>
  </si>
  <si>
    <t>中間検査 - 請求書：「６．特定工程」欄を追加</t>
    <rPh sb="0" eb="2">
      <t>チュウカン</t>
    </rPh>
    <rPh sb="2" eb="4">
      <t>ケンサ</t>
    </rPh>
    <rPh sb="7" eb="10">
      <t>セイキュウショ</t>
    </rPh>
    <rPh sb="14" eb="18">
      <t>トクテイコウテイ</t>
    </rPh>
    <rPh sb="19" eb="20">
      <t>ラン</t>
    </rPh>
    <rPh sb="21" eb="23">
      <t>ツイカ</t>
    </rPh>
    <phoneticPr fontId="2"/>
  </si>
  <si>
    <t>完了検査 - 請求書：特定工程欄を追加してしまった問題を修正</t>
  </si>
  <si>
    <t>不要な→等のゴミの図形を削除</t>
    <rPh sb="0" eb="2">
      <t>フヨウ</t>
    </rPh>
    <rPh sb="4" eb="5">
      <t>ナド</t>
    </rPh>
    <rPh sb="9" eb="11">
      <t>ズケイ</t>
    </rPh>
    <rPh sb="12" eb="14">
      <t>サクジョ</t>
    </rPh>
    <phoneticPr fontId="2"/>
  </si>
  <si>
    <t>コンバートデータ - FD申請フラグ：チェックをクリア</t>
    <phoneticPr fontId="2"/>
  </si>
  <si>
    <t>住所チェック：市区町村に「西淀川区」を追加。</t>
    <phoneticPr fontId="2"/>
  </si>
  <si>
    <t>BS_データ一行出力確認用：受付日欄のリンクを受付日から引受日に修正。</t>
    <phoneticPr fontId="2"/>
  </si>
  <si>
    <t>市町村マスタ - 消防署：福井県敦賀市の登録を追加。</t>
    <phoneticPr fontId="2"/>
  </si>
  <si>
    <t>「その他」タブの備考欄を既存作成時にコピーしないように修正</t>
    <rPh sb="3" eb="4">
      <t>タ</t>
    </rPh>
    <rPh sb="8" eb="11">
      <t>ビコウラン</t>
    </rPh>
    <rPh sb="12" eb="17">
      <t>キゾンサクセイジ</t>
    </rPh>
    <rPh sb="27" eb="29">
      <t>シュウセイ</t>
    </rPh>
    <phoneticPr fontId="2"/>
  </si>
  <si>
    <t>既存作成：計画変更の第一面の概要をコピーしないように修正</t>
    <rPh sb="5" eb="9">
      <t>ケイカクヘンコウ</t>
    </rPh>
    <rPh sb="10" eb="13">
      <t>ダイイチメン</t>
    </rPh>
    <rPh sb="14" eb="16">
      <t>ガイヨウ</t>
    </rPh>
    <rPh sb="26" eb="28">
      <t>シュウセイ</t>
    </rPh>
    <phoneticPr fontId="2"/>
  </si>
  <si>
    <t>統計・集計 - 面積別集計：計画変更欄を追加</t>
    <rPh sb="0" eb="2">
      <t>トウケイ</t>
    </rPh>
    <rPh sb="3" eb="5">
      <t>シュウケイ</t>
    </rPh>
    <rPh sb="8" eb="13">
      <t>メンセキベツシュウケイ</t>
    </rPh>
    <rPh sb="14" eb="18">
      <t>ケイカクヘンコウ</t>
    </rPh>
    <rPh sb="18" eb="19">
      <t>ラン</t>
    </rPh>
    <rPh sb="20" eb="22">
      <t>ツイカ</t>
    </rPh>
    <phoneticPr fontId="2"/>
  </si>
  <si>
    <t>既存作成 - 完了検査：延べ面積を検査対象床面積にコピーする様に変更</t>
    <rPh sb="0" eb="4">
      <t>キゾンサクセイ</t>
    </rPh>
    <rPh sb="7" eb="11">
      <t>カンリョウケンサ</t>
    </rPh>
    <rPh sb="12" eb="13">
      <t>ノ</t>
    </rPh>
    <rPh sb="14" eb="16">
      <t>メンセキ</t>
    </rPh>
    <rPh sb="17" eb="24">
      <t>ケンサタイショウユカメンセキ</t>
    </rPh>
    <rPh sb="30" eb="31">
      <t>ヨウ</t>
    </rPh>
    <rPh sb="32" eb="34">
      <t>ヘンコウ</t>
    </rPh>
    <phoneticPr fontId="2"/>
  </si>
  <si>
    <t>編集画面 - 完了検査：手数料タブ内の面積と検査対象床面積を相互リンクする様に変更</t>
    <rPh sb="0" eb="4">
      <t>ヘンシュウガメン</t>
    </rPh>
    <rPh sb="7" eb="11">
      <t>カンリョウケンサ</t>
    </rPh>
    <rPh sb="12" eb="15">
      <t>テスウリョウ</t>
    </rPh>
    <rPh sb="17" eb="18">
      <t>ナイ</t>
    </rPh>
    <rPh sb="19" eb="21">
      <t>メンセキ</t>
    </rPh>
    <rPh sb="22" eb="29">
      <t>ケンサタイショウユカメンセキ</t>
    </rPh>
    <rPh sb="30" eb="32">
      <t>ソウゴ</t>
    </rPh>
    <rPh sb="37" eb="38">
      <t>ヨウ</t>
    </rPh>
    <rPh sb="39" eb="41">
      <t>ヘンコウ</t>
    </rPh>
    <phoneticPr fontId="2"/>
  </si>
  <si>
    <t>市町村マスタ：兵庫県篠山市の報告先を「兵庫県知事」→「丹波県民局長」に修正。</t>
    <phoneticPr fontId="2"/>
  </si>
  <si>
    <t>（他の市町村も同様に修正）</t>
    <phoneticPr fontId="2"/>
  </si>
  <si>
    <t>昇降機・工作物 - 審査報告書：９．構造計算・・・交付者欄に「・・・」が入らなくなった問題を修正</t>
    <rPh sb="0" eb="3">
      <t>ショウコウキ</t>
    </rPh>
    <rPh sb="4" eb="7">
      <t>コウサクブツ</t>
    </rPh>
    <rPh sb="10" eb="15">
      <t>シンサホウコクショ</t>
    </rPh>
    <rPh sb="18" eb="22">
      <t>コウゾウケイサン</t>
    </rPh>
    <rPh sb="25" eb="28">
      <t>コウフシャ</t>
    </rPh>
    <rPh sb="28" eb="29">
      <t>ラン</t>
    </rPh>
    <rPh sb="36" eb="37">
      <t>ハイ</t>
    </rPh>
    <rPh sb="43" eb="45">
      <t>モンダイ</t>
    </rPh>
    <rPh sb="46" eb="48">
      <t>シュウセイ</t>
    </rPh>
    <phoneticPr fontId="2"/>
  </si>
  <si>
    <t>保健所通知宛名 - 埼玉県深谷市：北部環境管理事務所長 に修正</t>
    <rPh sb="0" eb="5">
      <t>ホケンジョツウチ</t>
    </rPh>
    <rPh sb="5" eb="7">
      <t>アテナ</t>
    </rPh>
    <rPh sb="29" eb="31">
      <t>シュウセイ</t>
    </rPh>
    <phoneticPr fontId="2"/>
  </si>
  <si>
    <t>確認引受承諾書：手数料の右横のオプション表記用に結合しているセルを減らして、その右側に文字を入力できる様に修正</t>
    <rPh sb="8" eb="11">
      <t>テスウリョウ</t>
    </rPh>
    <rPh sb="12" eb="14">
      <t>ミギヨコ</t>
    </rPh>
    <rPh sb="20" eb="22">
      <t>ヒョウキ</t>
    </rPh>
    <rPh sb="22" eb="23">
      <t>ヨウ</t>
    </rPh>
    <rPh sb="24" eb="26">
      <t>ケツゴウ</t>
    </rPh>
    <rPh sb="33" eb="34">
      <t>ヘ</t>
    </rPh>
    <rPh sb="40" eb="42">
      <t>ミギガワ</t>
    </rPh>
    <rPh sb="43" eb="45">
      <t>モジ</t>
    </rPh>
    <rPh sb="46" eb="48">
      <t>ニュウリョク</t>
    </rPh>
    <rPh sb="51" eb="52">
      <t>ヨウ</t>
    </rPh>
    <rPh sb="53" eb="55">
      <t>シュウセイ</t>
    </rPh>
    <phoneticPr fontId="2"/>
  </si>
  <si>
    <t>保健所通知宛名 - 群馬県みどり市：東部環境森林事務所長に修正</t>
    <rPh sb="29" eb="31">
      <t>シュウセイ</t>
    </rPh>
    <phoneticPr fontId="2"/>
  </si>
  <si>
    <t>検査請求書 - 検査日：検査予定日を出力するように修正</t>
    <rPh sb="0" eb="2">
      <t>ケンサ</t>
    </rPh>
    <rPh sb="2" eb="5">
      <t>セイキュウショ</t>
    </rPh>
    <rPh sb="8" eb="11">
      <t>ケンサビ</t>
    </rPh>
    <rPh sb="12" eb="17">
      <t>ケンサヨテイビ</t>
    </rPh>
    <rPh sb="18" eb="20">
      <t>シュツリョク</t>
    </rPh>
    <rPh sb="25" eb="27">
      <t>シュウセイ</t>
    </rPh>
    <phoneticPr fontId="2"/>
  </si>
  <si>
    <t>理事長　辻　文三</t>
    <phoneticPr fontId="2"/>
  </si>
  <si>
    <t>理事長　小林　利裕</t>
    <phoneticPr fontId="2"/>
  </si>
  <si>
    <t>兵庫県住宅建築総合センター 理事長　小林　利裕 ： 常用漢字の「裕」を登録。</t>
    <rPh sb="26" eb="30">
      <t>ジョウヨウカンジ</t>
    </rPh>
    <rPh sb="35" eb="37">
      <t>トウロク</t>
    </rPh>
    <phoneticPr fontId="2"/>
  </si>
  <si>
    <t>日本建築総合試験所 理事長の苗字 ： 辻（三角）を登録。</t>
    <rPh sb="25" eb="27">
      <t>トウロク</t>
    </rPh>
    <phoneticPr fontId="2"/>
  </si>
  <si>
    <t>物件管理表：「消防同意判定」の右側に「備考」を追加、消防処理の備考欄を反映する様に修正</t>
    <rPh sb="39" eb="40">
      <t>ヨウ</t>
    </rPh>
    <rPh sb="41" eb="43">
      <t>シュウセイ</t>
    </rPh>
    <phoneticPr fontId="2"/>
  </si>
  <si>
    <t>物件管理表：構適判日付け欄　「事前通知日」～三カ所を明朝体に修正</t>
    <rPh sb="30" eb="32">
      <t>シュウセイ</t>
    </rPh>
    <phoneticPr fontId="2"/>
  </si>
  <si>
    <t>第四面の建築設備の種類：「昇降機（別途申請）」「空調」「消防用設備」「自然排煙」「機械排煙」を追加</t>
    <rPh sb="35" eb="37">
      <t>シゼン</t>
    </rPh>
    <rPh sb="37" eb="39">
      <t>ハイエン</t>
    </rPh>
    <rPh sb="41" eb="43">
      <t>キカイ</t>
    </rPh>
    <rPh sb="43" eb="45">
      <t>ハイエン</t>
    </rPh>
    <rPh sb="47" eb="49">
      <t>ツイカ</t>
    </rPh>
    <phoneticPr fontId="2"/>
  </si>
  <si>
    <t>特定工程の種類：「屋根の小屋組の工事」を追加</t>
    <rPh sb="20" eb="22">
      <t>ツイカ</t>
    </rPh>
    <phoneticPr fontId="2"/>
  </si>
  <si>
    <t>完了検査報告書（昇降機）：記の上の文言の右端の漢字が切れていたのを修正</t>
    <rPh sb="0" eb="7">
      <t>カンリョウケンサホウコクショ</t>
    </rPh>
    <rPh sb="8" eb="11">
      <t>ショウコウキ</t>
    </rPh>
    <rPh sb="13" eb="14">
      <t>キ</t>
    </rPh>
    <rPh sb="15" eb="16">
      <t>ウエ</t>
    </rPh>
    <rPh sb="17" eb="19">
      <t>モンゴン</t>
    </rPh>
    <rPh sb="20" eb="22">
      <t>ミギハシ</t>
    </rPh>
    <rPh sb="23" eb="25">
      <t>カンジ</t>
    </rPh>
    <rPh sb="26" eb="27">
      <t>キ</t>
    </rPh>
    <rPh sb="33" eb="35">
      <t>シュウセイ</t>
    </rPh>
    <phoneticPr fontId="2"/>
  </si>
  <si>
    <t>保健所通知宛名修正</t>
    <phoneticPr fontId="2"/>
  </si>
  <si>
    <t>①千葉県千葉市：千葉市保健所長</t>
    <phoneticPr fontId="2"/>
  </si>
  <si>
    <t>②東京都町田市：町田市長</t>
    <phoneticPr fontId="2"/>
  </si>
  <si>
    <t>届出 - 選定届：チェックを付けた内容がわかるように申請管理のラベルを可変式に修正</t>
    <rPh sb="35" eb="38">
      <t>カヘンシキ</t>
    </rPh>
    <rPh sb="39" eb="41">
      <t>シュウセイ</t>
    </rPh>
    <phoneticPr fontId="2"/>
  </si>
  <si>
    <t>検索条件：事前 - 取下げ日による有無を追加</t>
    <rPh sb="20" eb="22">
      <t>ツイカ</t>
    </rPh>
    <phoneticPr fontId="2"/>
  </si>
  <si>
    <t>千葉県：県庁扱いボタンを押下した時に、報告先が「千葉県知事」と出ない（空欄になる）市町村があったのを修正（特定行政庁）</t>
    <rPh sb="53" eb="58">
      <t>トクテイギョウセイチョウ</t>
    </rPh>
    <phoneticPr fontId="2"/>
  </si>
  <si>
    <t>保健所通知宛名修正</t>
  </si>
  <si>
    <t>中間検査合格証：右上の発行者の名前が縮小表示になっていたのを修正</t>
    <rPh sb="8" eb="10">
      <t>ミギウエ</t>
    </rPh>
    <rPh sb="11" eb="14">
      <t>ハッコウシャ</t>
    </rPh>
    <rPh sb="15" eb="17">
      <t>ナマエ</t>
    </rPh>
    <rPh sb="18" eb="22">
      <t>シュクショウヒョウジ</t>
    </rPh>
    <rPh sb="30" eb="32">
      <t>シュウセイ</t>
    </rPh>
    <phoneticPr fontId="2"/>
  </si>
  <si>
    <t>東京都の県庁扱いの時の宛名の登録</t>
    <rPh sb="0" eb="3">
      <t>トウキョウト</t>
    </rPh>
    <rPh sb="4" eb="7">
      <t>ケンチョウアツカ</t>
    </rPh>
    <rPh sb="9" eb="10">
      <t>トキ</t>
    </rPh>
    <rPh sb="11" eb="13">
      <t>アテナ</t>
    </rPh>
    <rPh sb="14" eb="16">
      <t>トウロク</t>
    </rPh>
    <phoneticPr fontId="2"/>
  </si>
  <si>
    <t>チェックシート：監理者設計者：２級等のチェック処理の面積を延面積合計から延面積申請部分に修正</t>
    <rPh sb="8" eb="11">
      <t>カンリシャ</t>
    </rPh>
    <rPh sb="11" eb="14">
      <t>セッケイシャ</t>
    </rPh>
    <rPh sb="16" eb="17">
      <t>キュウ</t>
    </rPh>
    <rPh sb="17" eb="18">
      <t>ナド</t>
    </rPh>
    <rPh sb="23" eb="25">
      <t>ショリ</t>
    </rPh>
    <rPh sb="26" eb="28">
      <t>メンセキ</t>
    </rPh>
    <rPh sb="29" eb="32">
      <t>ノベメンセキ</t>
    </rPh>
    <rPh sb="32" eb="34">
      <t>ゴウケイ</t>
    </rPh>
    <rPh sb="36" eb="39">
      <t>ノベメンセキ</t>
    </rPh>
    <rPh sb="39" eb="43">
      <t>シンセイブブン</t>
    </rPh>
    <rPh sb="44" eb="46">
      <t>シュウセイ</t>
    </rPh>
    <phoneticPr fontId="2"/>
  </si>
  <si>
    <t>①千葉県流山市：松戸健康福祉センター長</t>
    <phoneticPr fontId="2"/>
  </si>
  <si>
    <t>①茨城県下妻市：</t>
    <phoneticPr fontId="2"/>
  </si>
  <si>
    <t>　浄化槽→県西県民センター長</t>
    <phoneticPr fontId="2"/>
  </si>
  <si>
    <t>　ビル管→常総保健所長 （ビル管時の名前は、処理 - その他 の保健所名に直接入力）</t>
    <rPh sb="15" eb="16">
      <t>カン</t>
    </rPh>
    <rPh sb="16" eb="17">
      <t>ジ</t>
    </rPh>
    <rPh sb="18" eb="20">
      <t>ナマエ</t>
    </rPh>
    <rPh sb="22" eb="24">
      <t>ショリ</t>
    </rPh>
    <rPh sb="29" eb="30">
      <t>タ</t>
    </rPh>
    <rPh sb="32" eb="36">
      <t>ホケンジョメイ</t>
    </rPh>
    <rPh sb="37" eb="39">
      <t>チョクセツ</t>
    </rPh>
    <rPh sb="39" eb="41">
      <t>ニュウリョク</t>
    </rPh>
    <phoneticPr fontId="2"/>
  </si>
  <si>
    <t>栃木県大田原市：宛先等の名称が太田原市になっていたのを大田原市に修正</t>
    <rPh sb="10" eb="11">
      <t>ナド</t>
    </rPh>
    <rPh sb="12" eb="14">
      <t>メイショウ</t>
    </rPh>
    <rPh sb="27" eb="31">
      <t>オオタワラシ</t>
    </rPh>
    <rPh sb="32" eb="34">
      <t>シュウセイ</t>
    </rPh>
    <phoneticPr fontId="2"/>
  </si>
  <si>
    <t>　・静岡県藤枝市：浄化槽→中部健康福祉センター長</t>
    <phoneticPr fontId="2"/>
  </si>
  <si>
    <t>　・大分県宇佐市：浄化槽→宇佐市長</t>
    <phoneticPr fontId="2"/>
  </si>
  <si>
    <t>　・埼玉県大里郡：浄化槽→北部環境管理事務所長</t>
    <phoneticPr fontId="2"/>
  </si>
  <si>
    <t>保健所通知宛名修正内容</t>
    <rPh sb="9" eb="11">
      <t>ナイヨウ</t>
    </rPh>
    <phoneticPr fontId="2"/>
  </si>
  <si>
    <t>昇降機併願手数料が選択されているか検索</t>
    <rPh sb="9" eb="11">
      <t>センタク</t>
    </rPh>
    <rPh sb="17" eb="19">
      <t>ケンサク</t>
    </rPh>
    <phoneticPr fontId="2"/>
  </si>
  <si>
    <t>search_CHARGE_DETAIL_shoukouki_heigan</t>
    <phoneticPr fontId="2"/>
  </si>
  <si>
    <t>search_CHARGE_DETAIL_shoukouki_heigan_fee</t>
    <phoneticPr fontId="2"/>
  </si>
  <si>
    <t>disp_CHARGE_DETAIL_shoukouki_heigan_fee</t>
  </si>
  <si>
    <t>建築物-引受 - 手数料詳細設定画面：明細のリストに「昇降機併願手数料」を追加し、</t>
    <rPh sb="9" eb="14">
      <t>テスウリョウショウサイ</t>
    </rPh>
    <rPh sb="14" eb="16">
      <t>セッテイ</t>
    </rPh>
    <rPh sb="16" eb="18">
      <t>ガメン</t>
    </rPh>
    <rPh sb="19" eb="21">
      <t>メイサイ</t>
    </rPh>
    <phoneticPr fontId="2"/>
  </si>
  <si>
    <t>該当する場合は、帳票-引受承諾書の金額の右隣に、「（昇降機￥13,000-含む）」と表示する様に修正。</t>
    <rPh sb="0" eb="2">
      <t>ガイトウ</t>
    </rPh>
    <rPh sb="4" eb="6">
      <t>バアイ</t>
    </rPh>
    <phoneticPr fontId="2"/>
  </si>
  <si>
    <t>中間合格証：５．(4)延面積「検査対象床面積」の文言が欠けていたのを修正</t>
    <rPh sb="0" eb="2">
      <t>チュウカン</t>
    </rPh>
    <rPh sb="2" eb="5">
      <t>ゴウカクショウ</t>
    </rPh>
    <rPh sb="11" eb="14">
      <t>ノベメンセキ</t>
    </rPh>
    <rPh sb="15" eb="22">
      <t>ケンサタイショウユカメンセキ</t>
    </rPh>
    <rPh sb="24" eb="26">
      <t>モンゴン</t>
    </rPh>
    <rPh sb="27" eb="28">
      <t>カ</t>
    </rPh>
    <rPh sb="34" eb="36">
      <t>シュウセイ</t>
    </rPh>
    <phoneticPr fontId="2"/>
  </si>
  <si>
    <t>保健所通知宛名修正</t>
    <phoneticPr fontId="2"/>
  </si>
  <si>
    <t>長野県北佐久郡軽井沢町→佐久地方事務所長</t>
    <phoneticPr fontId="2"/>
  </si>
  <si>
    <t>宮城県住宅2</t>
  </si>
  <si>
    <t>理事長　三浦　隆夫</t>
    <phoneticPr fontId="2"/>
  </si>
  <si>
    <t>適判機関：一般財団法人 宮城県建築住宅センターを追加</t>
    <rPh sb="0" eb="4">
      <t>テキハンキカン</t>
    </rPh>
    <rPh sb="24" eb="26">
      <t>ツイカ</t>
    </rPh>
    <phoneticPr fontId="2"/>
  </si>
  <si>
    <r>
      <t>CSV_</t>
    </r>
    <r>
      <rPr>
        <sz val="10"/>
        <rFont val="ＭＳ ゴシック"/>
        <family val="3"/>
        <charset val="128"/>
      </rPr>
      <t>確認</t>
    </r>
    <r>
      <rPr>
        <sz val="10"/>
        <rFont val="Arial"/>
        <family val="2"/>
      </rPr>
      <t>_</t>
    </r>
    <r>
      <rPr>
        <sz val="10"/>
        <rFont val="ＭＳ ゴシック"/>
        <family val="3"/>
        <charset val="128"/>
      </rPr>
      <t>建築物</t>
    </r>
    <r>
      <rPr>
        <sz val="10"/>
        <rFont val="Arial"/>
        <family val="2"/>
      </rPr>
      <t>_</t>
    </r>
    <r>
      <rPr>
        <sz val="10"/>
        <rFont val="ＭＳ ゴシック"/>
        <family val="3"/>
        <charset val="128"/>
      </rPr>
      <t>概要データ：適判機関名を追加</t>
    </r>
    <rPh sb="17" eb="22">
      <t>テキハンキカンメイ</t>
    </rPh>
    <rPh sb="23" eb="25">
      <t>ツイカ</t>
    </rPh>
    <phoneticPr fontId="2"/>
  </si>
  <si>
    <t>cst_shinsei_REPORT_DEST_GYOUSEI_NAME_kakunin</t>
    <phoneticPr fontId="2"/>
  </si>
  <si>
    <t>cst_shinsei_REPORT_DEST_GYOUSEI_NAME_kakuninを作成、審査報告書の宛名に充てる</t>
    <rPh sb="45" eb="47">
      <t>サクセイ</t>
    </rPh>
    <rPh sb="48" eb="50">
      <t>シンサ</t>
    </rPh>
    <rPh sb="50" eb="53">
      <t>ホウコクショ</t>
    </rPh>
    <rPh sb="54" eb="56">
      <t>アテナ</t>
    </rPh>
    <rPh sb="57" eb="58">
      <t>ア</t>
    </rPh>
    <phoneticPr fontId="2"/>
  </si>
  <si>
    <t>理事長　宮内  常吉</t>
    <phoneticPr fontId="2"/>
  </si>
  <si>
    <t>千葉県技術センターの理事長を宮内常吉に変更</t>
  </si>
  <si>
    <t>ビル管、保健所通知の建築主欄を二人目を追加</t>
    <rPh sb="2" eb="3">
      <t>カン</t>
    </rPh>
    <rPh sb="4" eb="9">
      <t>ホケンジョツウチ</t>
    </rPh>
    <rPh sb="10" eb="13">
      <t>ケンチクヌシ</t>
    </rPh>
    <rPh sb="13" eb="14">
      <t>ラン</t>
    </rPh>
    <rPh sb="15" eb="18">
      <t>フタリメ</t>
    </rPh>
    <rPh sb="19" eb="21">
      <t>ツイカ</t>
    </rPh>
    <phoneticPr fontId="2"/>
  </si>
  <si>
    <t>二人目を非表示行に</t>
    <rPh sb="0" eb="3">
      <t>フタリメ</t>
    </rPh>
    <rPh sb="4" eb="7">
      <t>ヒヒョウジ</t>
    </rPh>
    <rPh sb="7" eb="8">
      <t>ギョウ</t>
    </rPh>
    <phoneticPr fontId="2"/>
  </si>
  <si>
    <t>様</t>
    <rPh sb="0" eb="1">
      <t>サマ</t>
    </rPh>
    <phoneticPr fontId="2"/>
  </si>
  <si>
    <t>月</t>
    <rPh sb="0" eb="1">
      <t>ツキ</t>
    </rPh>
    <phoneticPr fontId="2"/>
  </si>
  <si>
    <t>年</t>
    <rPh sb="0" eb="1">
      <t>ネン</t>
    </rPh>
    <phoneticPr fontId="2"/>
  </si>
  <si>
    <t>￥</t>
    <phoneticPr fontId="2"/>
  </si>
  <si>
    <t>cst_city_CITY_PUBLIC_OFFICE_ID__NAME</t>
    <phoneticPr fontId="2"/>
  </si>
  <si>
    <t>**city_CITY_PUBLIC_OFFICE_ID__DEPART_NAME</t>
    <phoneticPr fontId="2"/>
  </si>
  <si>
    <t>cst_city_CITY_PUBLIC_OFFICE_ID__DEPART_NAME</t>
    <phoneticPr fontId="2"/>
  </si>
  <si>
    <t>**city_CITY_PUBLIC_OFFICE_ID__FAX</t>
    <phoneticPr fontId="2"/>
  </si>
  <si>
    <t>cst_city_CITY_PUBLIC_OFFICE_ID__FAX</t>
    <phoneticPr fontId="2"/>
  </si>
  <si>
    <t>**city_CITY_PUBLIC_OFFICE_ID__SYUJI_NAME</t>
    <phoneticPr fontId="2"/>
  </si>
  <si>
    <t>cst_city_CITY_PUBLIC_OFFICE_ID__SYUJI_NAME</t>
    <phoneticPr fontId="2"/>
  </si>
  <si>
    <t>**city_CITY_PUBLIC_OFFICE_ID__GYOUSEI_NAME</t>
    <phoneticPr fontId="2"/>
  </si>
  <si>
    <t>cst_city_CITY_PUBLIC_OFFICE_ID__GYOUSEI_NAME</t>
    <phoneticPr fontId="2"/>
  </si>
  <si>
    <t>都道府県情報－１（事務所１）</t>
    <rPh sb="0" eb="4">
      <t>トドウフケン</t>
    </rPh>
    <rPh sb="4" eb="6">
      <t>ジョウホウ</t>
    </rPh>
    <rPh sb="9" eb="11">
      <t>ジム</t>
    </rPh>
    <rPh sb="11" eb="12">
      <t>ショ</t>
    </rPh>
    <phoneticPr fontId="2"/>
  </si>
  <si>
    <t>**city_KEN1_PUBLIC_OFFICE_ID__NAME</t>
    <phoneticPr fontId="2"/>
  </si>
  <si>
    <t>cst_city_KEN1_PUBLIC_OFFICE_ID__NAME</t>
    <phoneticPr fontId="2"/>
  </si>
  <si>
    <t>**city_KEN1_PUBLIC_OFFICE_ID__DEPART_NAME</t>
    <phoneticPr fontId="2"/>
  </si>
  <si>
    <t>cst_city_KEN1_PUBLIC_OFFICE_ID__DEPART_NAME</t>
    <phoneticPr fontId="2"/>
  </si>
  <si>
    <t>**city_KEN1_PUBLIC_OFFICE_ID__FAX</t>
    <phoneticPr fontId="2"/>
  </si>
  <si>
    <t>cst_city_KEN1_PUBLIC_OFFICE_ID__FAX</t>
    <phoneticPr fontId="2"/>
  </si>
  <si>
    <t>**city_KEN1_PUBLIC_OFFICE_ID__SYUJI_NAME</t>
    <phoneticPr fontId="2"/>
  </si>
  <si>
    <t>cst_city_KEN1_PUBLIC_OFFICE_ID__SYUJI_NAME</t>
    <phoneticPr fontId="2"/>
  </si>
  <si>
    <t>**city_KEN1_PUBLIC_OFFICE_ID__GYOUSEI_NAME</t>
    <phoneticPr fontId="2"/>
  </si>
  <si>
    <t>cst_city_KEN1_PUBLIC_OFFICE_ID__GYOUSEI_NAME</t>
    <phoneticPr fontId="2"/>
  </si>
  <si>
    <t>都道府県情報－２（事務所２）</t>
    <rPh sb="0" eb="4">
      <t>トドウフケン</t>
    </rPh>
    <rPh sb="4" eb="6">
      <t>ジョウホウ</t>
    </rPh>
    <rPh sb="9" eb="11">
      <t>ジム</t>
    </rPh>
    <rPh sb="11" eb="12">
      <t>ショ</t>
    </rPh>
    <phoneticPr fontId="2"/>
  </si>
  <si>
    <t>**city_KEN2_PUBLIC_OFFICE_ID__NAME</t>
    <phoneticPr fontId="2"/>
  </si>
  <si>
    <t>cst_city_KEN2_PUBLIC_OFFICE_ID__NAME</t>
    <phoneticPr fontId="2"/>
  </si>
  <si>
    <t>**city_KEN2_PUBLIC_OFFICE_ID__DEPART_NAME</t>
    <phoneticPr fontId="2"/>
  </si>
  <si>
    <t>cst_city_KEN2_PUBLIC_OFFICE_ID__DEPART_NAME</t>
    <phoneticPr fontId="2"/>
  </si>
  <si>
    <t>**city_KEN2_PUBLIC_OFFICE_ID__FAX</t>
    <phoneticPr fontId="2"/>
  </si>
  <si>
    <t>cst_city_KEN2_PUBLIC_OFFICE_ID__FAX</t>
    <phoneticPr fontId="2"/>
  </si>
  <si>
    <t>**city_KEN2_PUBLIC_OFFICE_ID__SYUJI_NAME</t>
    <phoneticPr fontId="2"/>
  </si>
  <si>
    <t>cst_city_KEN2_PUBLIC_OFFICE_ID__SYUJI_NAME</t>
    <phoneticPr fontId="2"/>
  </si>
  <si>
    <t>**city_KEN2_PUBLIC_OFFICE_ID__GYOUSEI_NAME</t>
    <phoneticPr fontId="2"/>
  </si>
  <si>
    <t>cst_city_KEN2_PUBLIC_OFFICE_ID__GYOUSEI_NAME</t>
    <phoneticPr fontId="2"/>
  </si>
  <si>
    <t>県庁オプション</t>
    <rPh sb="0" eb="2">
      <t>ケンチョウ</t>
    </rPh>
    <phoneticPr fontId="2"/>
  </si>
  <si>
    <t>**city_KEN_PUBLIC_OFFICE_ID__NAME</t>
    <phoneticPr fontId="2"/>
  </si>
  <si>
    <t>cst_city_KEN_PUBLIC_OFFICE_ID__NAME</t>
    <phoneticPr fontId="2"/>
  </si>
  <si>
    <t>**city_KEN_PUBLIC_OFFICE_ID__DEPART_NAME</t>
    <phoneticPr fontId="2"/>
  </si>
  <si>
    <t>cst_city_KEN_PUBLIC_OFFICE_ID__DEPART_NAME</t>
    <phoneticPr fontId="2"/>
  </si>
  <si>
    <t>**city_KEN_PUBLIC_OFFICE_ID__FAX</t>
    <phoneticPr fontId="2"/>
  </si>
  <si>
    <t>cst_city_KEN_PUBLIC_OFFICE_ID__FAX</t>
    <phoneticPr fontId="2"/>
  </si>
  <si>
    <t>**city_KEN_PUBLIC_OFFICE_ID__SYUJI_NAME</t>
    <phoneticPr fontId="2"/>
  </si>
  <si>
    <t>cst_city_KEN_PUBLIC_OFFICE_ID__SYUJI_NAME</t>
    <phoneticPr fontId="2"/>
  </si>
  <si>
    <t>**city_KEN_PUBLIC_OFFICE_ID__GYOUSEI_NAME</t>
    <phoneticPr fontId="2"/>
  </si>
  <si>
    <t>cst_city_KEN_PUBLIC_OFFICE_ID__GYOUSEI_NAME</t>
    <phoneticPr fontId="2"/>
  </si>
  <si>
    <t>通知先・報告先処理（Standard ※PackShinsei以前のモード時）</t>
    <rPh sb="0" eb="2">
      <t>ツウチ</t>
    </rPh>
    <rPh sb="2" eb="3">
      <t>サキ</t>
    </rPh>
    <rPh sb="4" eb="6">
      <t>ホウコク</t>
    </rPh>
    <rPh sb="6" eb="7">
      <t>サキ</t>
    </rPh>
    <rPh sb="7" eb="9">
      <t>ショリ</t>
    </rPh>
    <rPh sb="31" eb="33">
      <t>イゼン</t>
    </rPh>
    <rPh sb="37" eb="38">
      <t>ジ</t>
    </rPh>
    <phoneticPr fontId="2"/>
  </si>
  <si>
    <t>※PackShinseiは、Advanced, Evolution, Progress</t>
    <phoneticPr fontId="2"/>
  </si>
  <si>
    <t>引受通知先（共通）</t>
    <phoneticPr fontId="2"/>
  </si>
  <si>
    <t>**shinsei_HIKIUKE_TUUTI_SAKI</t>
  </si>
  <si>
    <t>報告先（確認用）</t>
    <phoneticPr fontId="2"/>
  </si>
  <si>
    <t>**shinsei_KAKUNINZUMI_HOUKOKU_SAKI</t>
  </si>
  <si>
    <t>報告先（中間用）</t>
    <phoneticPr fontId="2"/>
  </si>
  <si>
    <t>**shinsei_intermediate_HOUKOKU_SAKI</t>
  </si>
  <si>
    <t>報告先（完了用）</t>
    <phoneticPr fontId="2"/>
  </si>
  <si>
    <t>**shinsei_KAN_HOUKOKU_SAKI</t>
  </si>
  <si>
    <t>県庁扱い（有,無）</t>
    <rPh sb="0" eb="2">
      <t>ケンチョウ</t>
    </rPh>
    <rPh sb="2" eb="3">
      <t>アツカ</t>
    </rPh>
    <rPh sb="5" eb="6">
      <t>アリ</t>
    </rPh>
    <rPh sb="7" eb="8">
      <t>ナシ</t>
    </rPh>
    <phoneticPr fontId="2"/>
  </si>
  <si>
    <t>**shinsei_PREF_OFFICE_FLAG</t>
  </si>
  <si>
    <t>cst_shinsei_PREF_OFFICE_FLAG</t>
    <phoneticPr fontId="2"/>
  </si>
  <si>
    <t>（有, 無）</t>
    <phoneticPr fontId="2"/>
  </si>
  <si>
    <t>HLPA専用 事前審査画面内、項目</t>
    <rPh sb="4" eb="6">
      <t>センヨウ</t>
    </rPh>
    <rPh sb="7" eb="9">
      <t>ジゼン</t>
    </rPh>
    <rPh sb="9" eb="11">
      <t>シンサ</t>
    </rPh>
    <rPh sb="11" eb="13">
      <t>ガメン</t>
    </rPh>
    <rPh sb="13" eb="14">
      <t>ナイ</t>
    </rPh>
    <rPh sb="15" eb="17">
      <t>コウモク</t>
    </rPh>
    <phoneticPr fontId="2"/>
  </si>
  <si>
    <t>意匠担当者</t>
    <phoneticPr fontId="2"/>
  </si>
  <si>
    <t>shinsei_PROVO_TANTO_USER_ID</t>
    <phoneticPr fontId="2"/>
  </si>
  <si>
    <t>構造担当者</t>
    <phoneticPr fontId="2"/>
  </si>
  <si>
    <t>適合証明</t>
    <phoneticPr fontId="2"/>
  </si>
  <si>
    <t>1：有, 0：無</t>
    <rPh sb="2" eb="3">
      <t>アリ</t>
    </rPh>
    <rPh sb="7" eb="8">
      <t>ナシ</t>
    </rPh>
    <phoneticPr fontId="2"/>
  </si>
  <si>
    <t>有無</t>
    <rPh sb="0" eb="2">
      <t>ウム</t>
    </rPh>
    <phoneticPr fontId="2"/>
  </si>
  <si>
    <t>有, 無</t>
    <rPh sb="0" eb="1">
      <t>アリ</t>
    </rPh>
    <rPh sb="3" eb="4">
      <t>ナシ</t>
    </rPh>
    <phoneticPr fontId="2"/>
  </si>
  <si>
    <t>瑕疵保険</t>
    <phoneticPr fontId="2"/>
  </si>
  <si>
    <t>性能評価</t>
    <phoneticPr fontId="2"/>
  </si>
  <si>
    <t>設計事務所</t>
  </si>
  <si>
    <t xml:space="preserve"> - 設計事務所</t>
    <phoneticPr fontId="2"/>
  </si>
  <si>
    <t xml:space="preserve"> - 氏名</t>
    <phoneticPr fontId="2"/>
  </si>
  <si>
    <t xml:space="preserve"> - 電話番号</t>
    <phoneticPr fontId="2"/>
  </si>
  <si>
    <t xml:space="preserve"> - FAX</t>
    <phoneticPr fontId="2"/>
  </si>
  <si>
    <t xml:space="preserve"> - Mail</t>
    <phoneticPr fontId="2"/>
  </si>
  <si>
    <t>構造事務所</t>
  </si>
  <si>
    <t>現地調査日</t>
    <phoneticPr fontId="2"/>
  </si>
  <si>
    <t>事前相談日</t>
    <phoneticPr fontId="2"/>
  </si>
  <si>
    <t>shinsei_PROVO_DATE</t>
    <phoneticPr fontId="2"/>
  </si>
  <si>
    <t>仮受付希望日</t>
    <phoneticPr fontId="2"/>
  </si>
  <si>
    <t>仮受付日</t>
    <phoneticPr fontId="2"/>
  </si>
  <si>
    <t>shinsei_ACCEPT_DATE</t>
    <phoneticPr fontId="2"/>
  </si>
  <si>
    <t>構造審査終了日</t>
    <phoneticPr fontId="2"/>
  </si>
  <si>
    <t>意匠審査終了日</t>
    <phoneticPr fontId="2"/>
  </si>
  <si>
    <t>引受見込日</t>
    <phoneticPr fontId="2"/>
  </si>
  <si>
    <t>引受日</t>
    <phoneticPr fontId="2"/>
  </si>
  <si>
    <t>shinsei_HIKIUKE_DATE</t>
    <phoneticPr fontId="2"/>
  </si>
  <si>
    <t>済証希望日</t>
    <phoneticPr fontId="2"/>
  </si>
  <si>
    <t>別機関へ</t>
    <phoneticPr fontId="2"/>
  </si>
  <si>
    <t>意匠コメント</t>
    <phoneticPr fontId="2"/>
  </si>
  <si>
    <t>構造コメント</t>
    <phoneticPr fontId="2"/>
  </si>
  <si>
    <t>■ 引受処理</t>
    <rPh sb="2" eb="4">
      <t>ヒキウケ</t>
    </rPh>
    <rPh sb="4" eb="6">
      <t>ショリ</t>
    </rPh>
    <phoneticPr fontId="2"/>
  </si>
  <si>
    <t>交付・検査予定日</t>
    <rPh sb="0" eb="2">
      <t>コウフ</t>
    </rPh>
    <rPh sb="3" eb="5">
      <t>ケンサ</t>
    </rPh>
    <rPh sb="5" eb="8">
      <t>ヨテイビ</t>
    </rPh>
    <phoneticPr fontId="2"/>
  </si>
  <si>
    <t>cst_shinsei_HIKIUKE_KAKU_KOUFU_YOTEI_DATE</t>
    <phoneticPr fontId="2"/>
  </si>
  <si>
    <t>■ 概要（第二面）</t>
    <rPh sb="2" eb="4">
      <t>ガイヨウ</t>
    </rPh>
    <rPh sb="5" eb="6">
      <t>ダイ</t>
    </rPh>
    <rPh sb="6" eb="8">
      <t>ニメン</t>
    </rPh>
    <phoneticPr fontId="2"/>
  </si>
  <si>
    <t>建築主</t>
    <rPh sb="0" eb="2">
      <t>ケンチク</t>
    </rPh>
    <rPh sb="2" eb="3">
      <t>ヌシ</t>
    </rPh>
    <phoneticPr fontId="2"/>
  </si>
  <si>
    <t>建築主01</t>
    <rPh sb="0" eb="2">
      <t>ケンチク</t>
    </rPh>
    <rPh sb="2" eb="3">
      <t>ヌシ</t>
    </rPh>
    <phoneticPr fontId="2"/>
  </si>
  <si>
    <t>**owner_name1</t>
    <phoneticPr fontId="2"/>
  </si>
  <si>
    <t>建築主02</t>
    <rPh sb="0" eb="2">
      <t>ケンチク</t>
    </rPh>
    <rPh sb="2" eb="3">
      <t>ヌシ</t>
    </rPh>
    <phoneticPr fontId="2"/>
  </si>
  <si>
    <t>**owner_name2</t>
    <phoneticPr fontId="2"/>
  </si>
  <si>
    <t>建築主03</t>
    <rPh sb="0" eb="2">
      <t>ケンチク</t>
    </rPh>
    <rPh sb="2" eb="3">
      <t>ヌシ</t>
    </rPh>
    <phoneticPr fontId="2"/>
  </si>
  <si>
    <t>**owner_name3</t>
    <phoneticPr fontId="2"/>
  </si>
  <si>
    <t>建築主04</t>
    <rPh sb="0" eb="2">
      <t>ケンチク</t>
    </rPh>
    <rPh sb="2" eb="3">
      <t>ヌシ</t>
    </rPh>
    <phoneticPr fontId="2"/>
  </si>
  <si>
    <t>**owner_name4</t>
    <phoneticPr fontId="2"/>
  </si>
  <si>
    <t>建築主05</t>
    <rPh sb="0" eb="2">
      <t>ケンチク</t>
    </rPh>
    <rPh sb="2" eb="3">
      <t>ヌシ</t>
    </rPh>
    <phoneticPr fontId="2"/>
  </si>
  <si>
    <t>**owner_name5</t>
    <phoneticPr fontId="2"/>
  </si>
  <si>
    <t>建築主06</t>
    <rPh sb="0" eb="2">
      <t>ケンチク</t>
    </rPh>
    <rPh sb="2" eb="3">
      <t>ヌシ</t>
    </rPh>
    <phoneticPr fontId="2"/>
  </si>
  <si>
    <t>**owner_name6</t>
    <phoneticPr fontId="2"/>
  </si>
  <si>
    <t>建築主1 - 前処理</t>
    <rPh sb="0" eb="2">
      <t>ケンチク</t>
    </rPh>
    <rPh sb="2" eb="3">
      <t>ヌシ</t>
    </rPh>
    <rPh sb="7" eb="10">
      <t>マエショリ</t>
    </rPh>
    <phoneticPr fontId="2"/>
  </si>
  <si>
    <t>cst_owner_name1__add_sp3code</t>
    <phoneticPr fontId="2"/>
  </si>
  <si>
    <t>cst_Owner_Name1_Sama</t>
    <phoneticPr fontId="2"/>
  </si>
  <si>
    <t>氏名＋様</t>
    <rPh sb="0" eb="2">
      <t>シメイ</t>
    </rPh>
    <rPh sb="3" eb="4">
      <t>サマ</t>
    </rPh>
    <phoneticPr fontId="2"/>
  </si>
  <si>
    <t>cst_owner_name1__add_sama</t>
    <phoneticPr fontId="2"/>
  </si>
  <si>
    <t>*** 様</t>
    <rPh sb="4" eb="5">
      <t>サマ</t>
    </rPh>
    <phoneticPr fontId="2"/>
  </si>
  <si>
    <t>cst_owner_name1__add_sp3code_sama</t>
    <phoneticPr fontId="2"/>
  </si>
  <si>
    <t>SP3を改行＋様</t>
    <rPh sb="4" eb="6">
      <t>カイギョウ</t>
    </rPh>
    <rPh sb="7" eb="8">
      <t>サマ</t>
    </rPh>
    <phoneticPr fontId="2"/>
  </si>
  <si>
    <t>建築主2 - 前処理</t>
    <rPh sb="0" eb="2">
      <t>ケンチク</t>
    </rPh>
    <rPh sb="2" eb="3">
      <t>ヌシ</t>
    </rPh>
    <rPh sb="7" eb="10">
      <t>マエショリ</t>
    </rPh>
    <phoneticPr fontId="2"/>
  </si>
  <si>
    <t>cst_owner_name2__add_sp3code</t>
    <phoneticPr fontId="2"/>
  </si>
  <si>
    <t>cst_Owner_Name2_Sama</t>
    <phoneticPr fontId="2"/>
  </si>
  <si>
    <t>cst_owner_name2__add_sama</t>
    <phoneticPr fontId="2"/>
  </si>
  <si>
    <t>cst_owner_name2__add_sp3code_sama</t>
    <phoneticPr fontId="2"/>
  </si>
  <si>
    <t>建築主3 - 前処理</t>
    <rPh sb="0" eb="2">
      <t>ケンチク</t>
    </rPh>
    <rPh sb="2" eb="3">
      <t>ヌシ</t>
    </rPh>
    <rPh sb="7" eb="10">
      <t>マエショリ</t>
    </rPh>
    <phoneticPr fontId="2"/>
  </si>
  <si>
    <t>cst_owner_name3__add_sp3code</t>
    <phoneticPr fontId="2"/>
  </si>
  <si>
    <t>cst_Owner_Name3_Sama</t>
    <phoneticPr fontId="2"/>
  </si>
  <si>
    <t>cst_owner_name3__add_sama</t>
    <phoneticPr fontId="2"/>
  </si>
  <si>
    <t>cst_owner_name3__add_sp3code_sama</t>
    <phoneticPr fontId="2"/>
  </si>
  <si>
    <t>建築主4 - 前処理</t>
    <rPh sb="0" eb="2">
      <t>ケンチク</t>
    </rPh>
    <rPh sb="2" eb="3">
      <t>ヌシ</t>
    </rPh>
    <rPh sb="7" eb="10">
      <t>マエショリ</t>
    </rPh>
    <phoneticPr fontId="2"/>
  </si>
  <si>
    <t>cst_Owner_Name4_Sama</t>
    <phoneticPr fontId="2"/>
  </si>
  <si>
    <t>cst_owner_name4__add_sp3code</t>
    <phoneticPr fontId="2"/>
  </si>
  <si>
    <t>SP3を改行</t>
    <rPh sb="4" eb="6">
      <t>カイギョウ</t>
    </rPh>
    <phoneticPr fontId="2"/>
  </si>
  <si>
    <t>cst_owner_name4__add_sama</t>
    <phoneticPr fontId="2"/>
  </si>
  <si>
    <t>cst_owner_name4__add_sp3code_sama</t>
    <phoneticPr fontId="2"/>
  </si>
  <si>
    <t>建築主5 - 前処理</t>
    <rPh sb="0" eb="2">
      <t>ケンチク</t>
    </rPh>
    <rPh sb="2" eb="3">
      <t>ヌシ</t>
    </rPh>
    <rPh sb="7" eb="10">
      <t>マエショリ</t>
    </rPh>
    <phoneticPr fontId="2"/>
  </si>
  <si>
    <t>cst_Owner_Name5_Sama</t>
    <phoneticPr fontId="2"/>
  </si>
  <si>
    <t>cst_owner_name5__add_sp3code</t>
    <phoneticPr fontId="2"/>
  </si>
  <si>
    <t>cst_owner_name5__add_sama</t>
    <phoneticPr fontId="2"/>
  </si>
  <si>
    <t>cst_owner_name5__add_sp3code_sama</t>
    <phoneticPr fontId="2"/>
  </si>
  <si>
    <t>建築主6 - 前処理</t>
    <rPh sb="0" eb="2">
      <t>ケンチク</t>
    </rPh>
    <rPh sb="2" eb="3">
      <t>ヌシ</t>
    </rPh>
    <rPh sb="7" eb="10">
      <t>マエショリ</t>
    </rPh>
    <phoneticPr fontId="2"/>
  </si>
  <si>
    <t>cst_Owner_Name6_Sama</t>
    <phoneticPr fontId="2"/>
  </si>
  <si>
    <t>cst_owner_name6__add_sp3code</t>
    <phoneticPr fontId="2"/>
  </si>
  <si>
    <t>cst_owner_name6__add_sama</t>
    <phoneticPr fontId="2"/>
  </si>
  <si>
    <t>cst_owner_name6__add_sp3code_sama</t>
    <phoneticPr fontId="2"/>
  </si>
  <si>
    <t>ひとつのセルで全ての建築主を表示。（改行付＋様付）</t>
    <rPh sb="7" eb="8">
      <t>スベ</t>
    </rPh>
    <rPh sb="10" eb="12">
      <t>ケンチク</t>
    </rPh>
    <rPh sb="12" eb="13">
      <t>ヌシ</t>
    </rPh>
    <rPh sb="14" eb="16">
      <t>ヒョウジ</t>
    </rPh>
    <rPh sb="18" eb="20">
      <t>カイギョウ</t>
    </rPh>
    <rPh sb="20" eb="21">
      <t>ツキ</t>
    </rPh>
    <rPh sb="22" eb="23">
      <t>サマ</t>
    </rPh>
    <rPh sb="23" eb="24">
      <t>ツキ</t>
    </rPh>
    <phoneticPr fontId="2"/>
  </si>
  <si>
    <t>cst_owners_name__all_in_one_add_sp3code_sama</t>
  </si>
  <si>
    <t>スペース３で改行コードに変換処理付</t>
    <rPh sb="6" eb="8">
      <t>カイギョウ</t>
    </rPh>
    <rPh sb="12" eb="14">
      <t>ヘンカン</t>
    </rPh>
    <rPh sb="14" eb="16">
      <t>ショリ</t>
    </rPh>
    <rPh sb="16" eb="17">
      <t>ツキ</t>
    </rPh>
    <phoneticPr fontId="2"/>
  </si>
  <si>
    <t>ひとつのセルで全ての建築主を表示。（改行付）</t>
    <rPh sb="7" eb="8">
      <t>スベ</t>
    </rPh>
    <rPh sb="10" eb="12">
      <t>ケンチク</t>
    </rPh>
    <rPh sb="12" eb="13">
      <t>ヌシ</t>
    </rPh>
    <rPh sb="14" eb="16">
      <t>ヒョウジ</t>
    </rPh>
    <rPh sb="18" eb="20">
      <t>カイギョウ</t>
    </rPh>
    <rPh sb="20" eb="21">
      <t>ツキ</t>
    </rPh>
    <phoneticPr fontId="2"/>
  </si>
  <si>
    <t>cst_owners_name__all_in_one_add_sp3code</t>
  </si>
  <si>
    <t>申請者</t>
    <rPh sb="0" eb="3">
      <t>シンセイシャ</t>
    </rPh>
    <phoneticPr fontId="2"/>
  </si>
  <si>
    <t>フリガナ</t>
    <phoneticPr fontId="2"/>
  </si>
  <si>
    <t>役職</t>
    <rPh sb="0" eb="2">
      <t>ヤクショク</t>
    </rPh>
    <phoneticPr fontId="2"/>
  </si>
  <si>
    <t>氏名</t>
    <rPh sb="0" eb="2">
      <t>シメイ</t>
    </rPh>
    <phoneticPr fontId="2"/>
  </si>
  <si>
    <t>郵便番号</t>
    <rPh sb="0" eb="4">
      <t>ユウビンバンゴウ</t>
    </rPh>
    <phoneticPr fontId="2"/>
  </si>
  <si>
    <t>cst_shinsei_APPLICANT_name_all</t>
    <phoneticPr fontId="2"/>
  </si>
  <si>
    <t>建築主１</t>
    <rPh sb="0" eb="2">
      <t>ケンチク</t>
    </rPh>
    <rPh sb="2" eb="3">
      <t>ヌシ</t>
    </rPh>
    <phoneticPr fontId="2"/>
  </si>
  <si>
    <t>代表取締役</t>
    <rPh sb="0" eb="2">
      <t>ダイヒョウ</t>
    </rPh>
    <rPh sb="2" eb="5">
      <t>トリシマリヤク</t>
    </rPh>
    <phoneticPr fontId="2"/>
  </si>
  <si>
    <t>建築主２</t>
    <rPh sb="0" eb="2">
      <t>ケンチク</t>
    </rPh>
    <rPh sb="2" eb="3">
      <t>ヌシ</t>
    </rPh>
    <phoneticPr fontId="2"/>
  </si>
  <si>
    <t>cst_shinsei_owner2_CORP</t>
    <phoneticPr fontId="2"/>
  </si>
  <si>
    <t>**shinsei_owner2_NAME_KANA</t>
  </si>
  <si>
    <t>cst_shinsei_owner2_NAME_KANA</t>
    <phoneticPr fontId="2"/>
  </si>
  <si>
    <t>**shinsei_owner2_POST</t>
  </si>
  <si>
    <t>cst_shinsei_owner2_POST</t>
    <phoneticPr fontId="2"/>
  </si>
  <si>
    <t>**shinsei_owner2_NAME</t>
  </si>
  <si>
    <t>cst_shinsei_owner2_NAME</t>
    <phoneticPr fontId="2"/>
  </si>
  <si>
    <t>**shinsei_owner2_POST_CODE</t>
  </si>
  <si>
    <t>**shinsei_owner2__address</t>
  </si>
  <si>
    <t>cst_shinsei_owner2__address</t>
    <phoneticPr fontId="2"/>
  </si>
  <si>
    <t>**shinsei_owner2_TEL</t>
  </si>
  <si>
    <t>cst_shinsei_owner2_TEL</t>
    <phoneticPr fontId="2"/>
  </si>
  <si>
    <t>建築主３</t>
    <rPh sb="0" eb="2">
      <t>ケンチク</t>
    </rPh>
    <rPh sb="2" eb="3">
      <t>ヌシ</t>
    </rPh>
    <phoneticPr fontId="2"/>
  </si>
  <si>
    <t>**shinsei_owner3_CORP</t>
  </si>
  <si>
    <t>cst_shinsei_owner3_CORP</t>
  </si>
  <si>
    <t>**shinsei_owner3_NAME_KANA</t>
  </si>
  <si>
    <t>cst_shinsei_owner3_NAME_KANA</t>
  </si>
  <si>
    <t>**shinsei_owner3_POST</t>
  </si>
  <si>
    <t>cst_shinsei_owner3_POST</t>
  </si>
  <si>
    <t>**shinsei_owner3_NAME</t>
  </si>
  <si>
    <t>cst_shinsei_owner3_NAME</t>
  </si>
  <si>
    <t>**shinsei_owner3_POST_CODE</t>
  </si>
  <si>
    <t>**shinsei_owner3__address</t>
  </si>
  <si>
    <t>cst_shinsei_owner3__address</t>
  </si>
  <si>
    <t>**shinsei_owner3_TEL</t>
  </si>
  <si>
    <t>cst_shinsei_owner3_TEL</t>
  </si>
  <si>
    <t>建築主４</t>
    <rPh sb="0" eb="2">
      <t>ケンチク</t>
    </rPh>
    <rPh sb="2" eb="3">
      <t>ヌシ</t>
    </rPh>
    <phoneticPr fontId="2"/>
  </si>
  <si>
    <t>**shinsei_owner4_CORP</t>
  </si>
  <si>
    <t>cst_shinsei_owner4_CORP</t>
  </si>
  <si>
    <t>**shinsei_owner4_NAME_KANA</t>
  </si>
  <si>
    <t>cst_shinsei_owner4_NAME_KANA</t>
  </si>
  <si>
    <t>**shinsei_owner4_POST</t>
  </si>
  <si>
    <t>cst_shinsei_owner4_POST</t>
  </si>
  <si>
    <t>**shinsei_owner4_NAME</t>
  </si>
  <si>
    <t>cst_shinsei_owner4_NAME</t>
  </si>
  <si>
    <t>**shinsei_owner4_POST_CODE</t>
  </si>
  <si>
    <t>**shinsei_owner4__address</t>
  </si>
  <si>
    <t>cst_shinsei_owner4__address</t>
  </si>
  <si>
    <t>**shinsei_owner4_TEL</t>
  </si>
  <si>
    <t>cst_shinsei_owner4_TEL</t>
  </si>
  <si>
    <t>建築主５</t>
    <rPh sb="0" eb="2">
      <t>ケンチク</t>
    </rPh>
    <rPh sb="2" eb="3">
      <t>ヌシ</t>
    </rPh>
    <phoneticPr fontId="2"/>
  </si>
  <si>
    <t>町域</t>
    <rPh sb="0" eb="1">
      <t>チョウ</t>
    </rPh>
    <rPh sb="1" eb="2">
      <t>イキ</t>
    </rPh>
    <phoneticPr fontId="2"/>
  </si>
  <si>
    <t>my_ip</t>
    <phoneticPr fontId="2"/>
  </si>
  <si>
    <t>myoffice_OFFICE_NO</t>
    <phoneticPr fontId="2"/>
  </si>
  <si>
    <t>loginuser_LOGIN_ID</t>
    <phoneticPr fontId="2"/>
  </si>
  <si>
    <t>loginuser_NAME</t>
    <phoneticPr fontId="2"/>
  </si>
  <si>
    <t>**shinsei_UKETUKE_OFFICE_ID__COMPANY_NAME</t>
  </si>
  <si>
    <t>**shinsei_UKETUKE_OFFICE_ID__OFFICE_NAME</t>
  </si>
  <si>
    <t>**shinsei_UKETUKE_OFFICE_ID__POST_CODE</t>
  </si>
  <si>
    <t>**shinsei_UKETUKE_OFFICE_ID__ADDRESS</t>
  </si>
  <si>
    <t>**shinsei_UKETUKE_OFFICE_ID__ADDRESS2</t>
  </si>
  <si>
    <t>**shinsei_UKETUKE_OFFICE_ID__TEL</t>
  </si>
  <si>
    <t>**shinsei_UKETUKE_OFFICE_ID__FAX</t>
  </si>
  <si>
    <t>**shinsei_UKETUKE_OFFICE_ID__BANK_NAME</t>
  </si>
  <si>
    <t>**shinsei_UKETUKE_OFFICE_ID__BANK_BRANCH_NAME</t>
  </si>
  <si>
    <t>**shinsei_UKETUKE_OFFICE_ID__ACCOUNT_TYPE</t>
  </si>
  <si>
    <t>**shinsei_UKETUKE_OFFICE_ID__ACCOUNT_NO</t>
  </si>
  <si>
    <t>**shinsei_UKETUKE_OFFICE_ID__ID</t>
  </si>
  <si>
    <t>**shinsei_PROVO_TANTO_USER_ID</t>
  </si>
  <si>
    <t>**shinsei_STR_1ST_USER_ID</t>
  </si>
  <si>
    <t>**shinsei_STR_2ND_USER_ID</t>
  </si>
  <si>
    <t>**shinsei_INSPECTION_NO</t>
  </si>
  <si>
    <t>**shinsei_CITY_ID__ken</t>
  </si>
  <si>
    <t>**shinsei_CITY_ID__city</t>
  </si>
  <si>
    <t>**shinsei_CITY_ID__town</t>
  </si>
  <si>
    <t>**shinsei_CITY_ID__street</t>
  </si>
  <si>
    <t>**shinsei_KAKUNINZUMI_HOUKOKU_GYOSEI_NO</t>
  </si>
  <si>
    <t>**shinsei_REPORT_DEST_NAME</t>
  </si>
  <si>
    <t>**shinsei_REPORT_DEST_DEPART_NAME</t>
  </si>
  <si>
    <t>**shinsei_REPORT_DEST_FAX</t>
  </si>
  <si>
    <t>**shinsei_REPORT_DEST_SYUJI_NAME</t>
  </si>
  <si>
    <t>**shinsei_REPORT_DEST_GYOUSEI_NAME</t>
  </si>
  <si>
    <t>**shinsei_PROVO_STRUCT_TANTO_USER_ID</t>
  </si>
  <si>
    <t>**shinsei_FLAT35_FLAG</t>
  </si>
  <si>
    <t>**shinsei_FLAT35_FLAG__umu</t>
  </si>
  <si>
    <t>**shinsei_KASI_FLAG</t>
  </si>
  <si>
    <t>**shinsei_KASI_FLAG__umu</t>
  </si>
  <si>
    <t>**shinsei_HYOUKA_FLAG</t>
  </si>
  <si>
    <t>**shinsei_HYOUKA_FLAG__umu</t>
  </si>
  <si>
    <t>**shinsei_sekkeijimu_JIMU_NAME</t>
  </si>
  <si>
    <t>**shinsei_sekkeijimu_NAME</t>
  </si>
  <si>
    <t>**shinsei_sekkeijimu_TEL</t>
  </si>
  <si>
    <t>**shinsei_sekkeijimu_FAX</t>
  </si>
  <si>
    <t>**shinsei_sekkeijimu_EMAIL</t>
  </si>
  <si>
    <t>**shinsei_kouzoujimu_JIMU_NAME</t>
  </si>
  <si>
    <t>**shinsei_kouzoujimu_NAME</t>
  </si>
  <si>
    <t>**shinsei_kouzoujimu_TEL</t>
  </si>
  <si>
    <t>**shinsei_kouzoujimu_FAX</t>
  </si>
  <si>
    <t>約款の搭載（東京本部のみ）</t>
    <rPh sb="0" eb="2">
      <t>ヤッカン</t>
    </rPh>
    <rPh sb="3" eb="5">
      <t>トウサイ</t>
    </rPh>
    <rPh sb="6" eb="10">
      <t>トウキョウホンブ</t>
    </rPh>
    <phoneticPr fontId="2"/>
  </si>
  <si>
    <t>cst_owner2__char__add_char</t>
    <phoneticPr fontId="2"/>
  </si>
  <si>
    <t>中間・完了 - 引受通知書：建築主の表記を会社名で改行し、役職名&lt;空白&gt;氏名のレイアウトに変更</t>
    <rPh sb="0" eb="2">
      <t>チュウカン</t>
    </rPh>
    <rPh sb="3" eb="5">
      <t>カンリョウ</t>
    </rPh>
    <rPh sb="8" eb="10">
      <t>ヒキウケ</t>
    </rPh>
    <rPh sb="10" eb="13">
      <t>ツウチショ</t>
    </rPh>
    <rPh sb="14" eb="17">
      <t>ケンチクヌシ</t>
    </rPh>
    <rPh sb="18" eb="20">
      <t>ヒョウキ</t>
    </rPh>
    <rPh sb="21" eb="24">
      <t>カイシャメイ</t>
    </rPh>
    <rPh sb="25" eb="27">
      <t>カイギョウ</t>
    </rPh>
    <rPh sb="29" eb="32">
      <t>ヤクショクメイ</t>
    </rPh>
    <rPh sb="33" eb="35">
      <t>クウハク</t>
    </rPh>
    <rPh sb="36" eb="38">
      <t>シメイ</t>
    </rPh>
    <rPh sb="45" eb="47">
      <t>ヘンコウ</t>
    </rPh>
    <phoneticPr fontId="2"/>
  </si>
  <si>
    <t>約款</t>
  </si>
  <si>
    <t>約款（中間）</t>
    <phoneticPr fontId="2"/>
  </si>
  <si>
    <t>約款（完了）</t>
    <phoneticPr fontId="2"/>
  </si>
  <si>
    <t>建築物</t>
    <phoneticPr fontId="2"/>
  </si>
  <si>
    <t>昇降機</t>
    <phoneticPr fontId="2"/>
  </si>
  <si>
    <t>工作物</t>
    <phoneticPr fontId="2"/>
  </si>
  <si>
    <t>検査書類審査
の通知（引受）</t>
    <rPh sb="11" eb="13">
      <t>ヒキウケ</t>
    </rPh>
    <phoneticPr fontId="2"/>
  </si>
  <si>
    <t>限定
特定行政庁</t>
    <rPh sb="0" eb="2">
      <t>ゲンテイ</t>
    </rPh>
    <rPh sb="3" eb="5">
      <t>トクテイ</t>
    </rPh>
    <rPh sb="5" eb="8">
      <t>ギョウセイチョウ</t>
    </rPh>
    <phoneticPr fontId="2"/>
  </si>
  <si>
    <t>中間検査決裁書</t>
    <phoneticPr fontId="2"/>
  </si>
  <si>
    <t>物件管理表：罫線が欠ける場合があったのを修正</t>
    <rPh sb="0" eb="5">
      <t>ブッケンカンリヒョウ</t>
    </rPh>
    <rPh sb="6" eb="8">
      <t>ケイセン</t>
    </rPh>
    <rPh sb="9" eb="10">
      <t>カ</t>
    </rPh>
    <rPh sb="12" eb="14">
      <t>バアイ</t>
    </rPh>
    <rPh sb="20" eb="22">
      <t>シュウセイ</t>
    </rPh>
    <phoneticPr fontId="2"/>
  </si>
  <si>
    <t>統計報告 - 集計表出力：府県別集計（近畿版）に他機関の名前が表示されている問題を修正</t>
    <rPh sb="0" eb="4">
      <t>トウケイホウコク</t>
    </rPh>
    <rPh sb="7" eb="12">
      <t>シュウケイヒョウシュツリョク</t>
    </rPh>
    <rPh sb="13" eb="16">
      <t>フケンベツ</t>
    </rPh>
    <rPh sb="16" eb="18">
      <t>シュウケイ</t>
    </rPh>
    <rPh sb="19" eb="21">
      <t>キンキ</t>
    </rPh>
    <rPh sb="21" eb="22">
      <t>バン</t>
    </rPh>
    <rPh sb="24" eb="27">
      <t>タキカン</t>
    </rPh>
    <rPh sb="28" eb="30">
      <t>ナマエ</t>
    </rPh>
    <rPh sb="31" eb="33">
      <t>ヒョウジ</t>
    </rPh>
    <rPh sb="38" eb="40">
      <t>モンダイ</t>
    </rPh>
    <rPh sb="41" eb="43">
      <t>シュウセイ</t>
    </rPh>
    <phoneticPr fontId="2"/>
  </si>
  <si>
    <t>昇降機 - 手数料自動計算：「ホームEV, 小型EV」の判定を手数料詳細、右側にあった計算条件：型式部材製造者認定ではなく、分類のホームエレベーターに変更</t>
    <rPh sb="0" eb="3">
      <t>ショウコウキ</t>
    </rPh>
    <rPh sb="6" eb="9">
      <t>テスウリョウ</t>
    </rPh>
    <rPh sb="9" eb="13">
      <t>ジドウケイサン</t>
    </rPh>
    <rPh sb="22" eb="24">
      <t>コガタ</t>
    </rPh>
    <rPh sb="28" eb="30">
      <t>ハンテイ</t>
    </rPh>
    <rPh sb="31" eb="34">
      <t>テスウリョウ</t>
    </rPh>
    <rPh sb="34" eb="36">
      <t>ショウサイ</t>
    </rPh>
    <rPh sb="37" eb="39">
      <t>ミギガワ</t>
    </rPh>
    <rPh sb="43" eb="47">
      <t>ケイサンジョウケン</t>
    </rPh>
    <rPh sb="48" eb="57">
      <t>カタシキブザイセイゾウシャニンテイ</t>
    </rPh>
    <rPh sb="62" eb="64">
      <t>ブンルイ</t>
    </rPh>
    <rPh sb="75" eb="77">
      <t>ヘンコウ</t>
    </rPh>
    <phoneticPr fontId="2"/>
  </si>
  <si>
    <t>未作業</t>
    <rPh sb="0" eb="1">
      <t>ミ</t>
    </rPh>
    <rPh sb="1" eb="3">
      <t>サギョウ</t>
    </rPh>
    <phoneticPr fontId="2"/>
  </si>
  <si>
    <t>cst_shinsei_REPORT_DEST_SYUJI_NAME__dsp</t>
    <phoneticPr fontId="2"/>
  </si>
  <si>
    <t>引受通知書：宛名のリンクを設定</t>
    <rPh sb="0" eb="5">
      <t>ヒキウケツウチショ</t>
    </rPh>
    <rPh sb="6" eb="8">
      <t>アテナ</t>
    </rPh>
    <rPh sb="13" eb="15">
      <t>セッテイ</t>
    </rPh>
    <phoneticPr fontId="2"/>
  </si>
  <si>
    <t>cst_shinsei_BUILD_NAME</t>
    <phoneticPr fontId="2"/>
  </si>
  <si>
    <t>建物名称：検査時にある「最終名称」欄に入力しても反映しなかった問題を修正</t>
    <rPh sb="0" eb="4">
      <t>タテモノメイショウ</t>
    </rPh>
    <rPh sb="5" eb="8">
      <t>ケンサジ</t>
    </rPh>
    <rPh sb="12" eb="16">
      <t>サイシュウメイショウ</t>
    </rPh>
    <rPh sb="17" eb="18">
      <t>ラン</t>
    </rPh>
    <rPh sb="19" eb="21">
      <t>ニュウリョク</t>
    </rPh>
    <rPh sb="24" eb="26">
      <t>ハンエイ</t>
    </rPh>
    <rPh sb="31" eb="33">
      <t>モンダイ</t>
    </rPh>
    <rPh sb="34" eb="36">
      <t>シュウセイ</t>
    </rPh>
    <phoneticPr fontId="2"/>
  </si>
  <si>
    <t>同意受取日</t>
    <rPh sb="0" eb="2">
      <t>ドウイ</t>
    </rPh>
    <rPh sb="2" eb="5">
      <t>ウケトリビ</t>
    </rPh>
    <phoneticPr fontId="2"/>
  </si>
  <si>
    <t>**shinsei_FIRE_AGREE_RECEIVE_DATE</t>
    <phoneticPr fontId="2"/>
  </si>
  <si>
    <t>cst_shinsei_FIRE_AGREE_RECEIVE_DATE</t>
    <phoneticPr fontId="2"/>
  </si>
  <si>
    <t>完了検査済証：５．（５）対象棟数が右端に出てしまうのを修正</t>
    <rPh sb="0" eb="4">
      <t>カンリョウケンサ</t>
    </rPh>
    <rPh sb="4" eb="6">
      <t>ズミショウ</t>
    </rPh>
    <rPh sb="12" eb="16">
      <t>タイショウトウスウ</t>
    </rPh>
    <rPh sb="17" eb="19">
      <t>ミギハシ</t>
    </rPh>
    <rPh sb="20" eb="21">
      <t>デ</t>
    </rPh>
    <rPh sb="27" eb="29">
      <t>シュウセイ</t>
    </rPh>
    <phoneticPr fontId="2"/>
  </si>
  <si>
    <t>物件管理表：消防同意受取日が通知日と間違ってリンクされていたのを修正</t>
    <rPh sb="0" eb="5">
      <t>ブッケンカンリヒョウ</t>
    </rPh>
    <rPh sb="6" eb="10">
      <t>ショウボウドウイ</t>
    </rPh>
    <rPh sb="10" eb="13">
      <t>ウケトリビ</t>
    </rPh>
    <rPh sb="14" eb="17">
      <t>ツウチビ</t>
    </rPh>
    <rPh sb="18" eb="20">
      <t>マチガ</t>
    </rPh>
    <rPh sb="32" eb="34">
      <t>シュウセイ</t>
    </rPh>
    <phoneticPr fontId="2"/>
  </si>
  <si>
    <t>届出 - その他：名称が「軽微変更届」になっていなかったのを修正</t>
    <rPh sb="0" eb="2">
      <t>トドケデ</t>
    </rPh>
    <rPh sb="7" eb="8">
      <t>タ</t>
    </rPh>
    <rPh sb="9" eb="11">
      <t>メイショウ</t>
    </rPh>
    <rPh sb="13" eb="18">
      <t>ケイビヘンコウトドケ</t>
    </rPh>
    <rPh sb="30" eb="32">
      <t>シュウセイ</t>
    </rPh>
    <phoneticPr fontId="2"/>
  </si>
  <si>
    <t>特定のPCで工作物の引受承諾書の申請者欄と建築主１のバランスが異なる場合がある事への改善対応</t>
    <rPh sb="0" eb="2">
      <t>トクテイ</t>
    </rPh>
    <rPh sb="6" eb="9">
      <t>コウサクブツ</t>
    </rPh>
    <rPh sb="10" eb="15">
      <t>ヒキウケショウダクショ</t>
    </rPh>
    <rPh sb="16" eb="19">
      <t>シンセイシャ</t>
    </rPh>
    <rPh sb="19" eb="20">
      <t>ラン</t>
    </rPh>
    <rPh sb="21" eb="24">
      <t>ケンチクヌシ</t>
    </rPh>
    <rPh sb="31" eb="32">
      <t>コト</t>
    </rPh>
    <rPh sb="34" eb="36">
      <t>バアイ</t>
    </rPh>
    <rPh sb="39" eb="40">
      <t>コト</t>
    </rPh>
    <rPh sb="42" eb="44">
      <t>カイゼン</t>
    </rPh>
    <rPh sb="44" eb="46">
      <t>タイオウ</t>
    </rPh>
    <phoneticPr fontId="2"/>
  </si>
  <si>
    <t>■ 決裁書の処理</t>
    <rPh sb="2" eb="5">
      <t>ケッサイショ</t>
    </rPh>
    <rPh sb="6" eb="8">
      <t>ショリ</t>
    </rPh>
    <phoneticPr fontId="2"/>
  </si>
  <si>
    <t>両面印刷ができない支店の為に裏面の記述を非表示にする</t>
    <rPh sb="0" eb="2">
      <t>リョウメン</t>
    </rPh>
    <rPh sb="2" eb="4">
      <t>インサツ</t>
    </rPh>
    <rPh sb="9" eb="11">
      <t>シテン</t>
    </rPh>
    <rPh sb="12" eb="13">
      <t>タメ</t>
    </rPh>
    <rPh sb="14" eb="16">
      <t>ウラメン</t>
    </rPh>
    <rPh sb="17" eb="19">
      <t>キジュツ</t>
    </rPh>
    <rPh sb="20" eb="23">
      <t>ヒヒョウジ</t>
    </rPh>
    <phoneticPr fontId="2"/>
  </si>
  <si>
    <t>非表示対象支店：東京本部(ID=1)、大阪本店(ID=2)、九州支店(ID=4)</t>
    <rPh sb="0" eb="3">
      <t>ヒヒョウジ</t>
    </rPh>
    <rPh sb="3" eb="5">
      <t>タイショウ</t>
    </rPh>
    <rPh sb="5" eb="7">
      <t>シテン</t>
    </rPh>
    <rPh sb="8" eb="12">
      <t>トウキョウホンブ</t>
    </rPh>
    <rPh sb="19" eb="23">
      <t>オオサカホンテン</t>
    </rPh>
    <rPh sb="30" eb="34">
      <t>キュウシュウシテン</t>
    </rPh>
    <phoneticPr fontId="2"/>
  </si>
  <si>
    <t>文言１</t>
    <rPh sb="0" eb="2">
      <t>モンゴン</t>
    </rPh>
    <phoneticPr fontId="2"/>
  </si>
  <si>
    <t>文言２</t>
    <rPh sb="0" eb="2">
      <t>モンゴン</t>
    </rPh>
    <phoneticPr fontId="2"/>
  </si>
  <si>
    <t>文言３</t>
    <rPh sb="0" eb="2">
      <t>モンゴン</t>
    </rPh>
    <phoneticPr fontId="2"/>
  </si>
  <si>
    <t>select_KESSAI_text01</t>
    <phoneticPr fontId="2"/>
  </si>
  <si>
    <t>select_KESSAI_text02</t>
    <phoneticPr fontId="2"/>
  </si>
  <si>
    <t>select_KESSAI_text03</t>
    <phoneticPr fontId="2"/>
  </si>
  <si>
    <t>確認決裁書 (表面のみ)</t>
  </si>
  <si>
    <t>確認決裁書(EV) (表面のみ)</t>
  </si>
  <si>
    <t>確認決裁書(工) (表面のみ)</t>
  </si>
  <si>
    <t>確認決裁書(EV)</t>
    <phoneticPr fontId="2"/>
  </si>
  <si>
    <t>確認決裁書(工)</t>
    <phoneticPr fontId="2"/>
  </si>
  <si>
    <t>中間検査決裁書 (表面のみ)</t>
  </si>
  <si>
    <t>完了検査決裁書 (表面のみ)</t>
  </si>
  <si>
    <t>完了検査決裁書(EV) (表面のみ)</t>
  </si>
  <si>
    <t>完了検査決裁書(工) (表面のみ)</t>
  </si>
  <si>
    <t>両面コピーができない支店用</t>
    <rPh sb="0" eb="2">
      <t>リョウメン</t>
    </rPh>
    <rPh sb="10" eb="12">
      <t>シテン</t>
    </rPh>
    <rPh sb="12" eb="13">
      <t>ヨウ</t>
    </rPh>
    <phoneticPr fontId="2"/>
  </si>
  <si>
    <t>決裁書：両面コピーができない支店（東京・大阪・九州）は裏面の記述が無いシートを出力する様に修正</t>
    <rPh sb="0" eb="3">
      <t>ケッサイショ</t>
    </rPh>
    <rPh sb="4" eb="6">
      <t>リョウメン</t>
    </rPh>
    <rPh sb="14" eb="16">
      <t>シテン</t>
    </rPh>
    <rPh sb="17" eb="19">
      <t>トウキョウ</t>
    </rPh>
    <rPh sb="20" eb="22">
      <t>オオサカ</t>
    </rPh>
    <rPh sb="23" eb="25">
      <t>キュウシュウ</t>
    </rPh>
    <rPh sb="27" eb="29">
      <t>ウラメン</t>
    </rPh>
    <rPh sb="30" eb="32">
      <t>キジュツ</t>
    </rPh>
    <rPh sb="33" eb="34">
      <t>ナ</t>
    </rPh>
    <rPh sb="39" eb="41">
      <t>シュツリョク</t>
    </rPh>
    <rPh sb="43" eb="44">
      <t>ヨウ</t>
    </rPh>
    <rPh sb="45" eb="47">
      <t>シュウセイ</t>
    </rPh>
    <phoneticPr fontId="2"/>
  </si>
  <si>
    <t>一部帳票の初期表示が上部が切れていたのを調整</t>
    <rPh sb="0" eb="2">
      <t>イチブ</t>
    </rPh>
    <rPh sb="2" eb="4">
      <t>チョウヒョウ</t>
    </rPh>
    <rPh sb="5" eb="9">
      <t>ショキヒョウジ</t>
    </rPh>
    <rPh sb="10" eb="12">
      <t>ジョウブ</t>
    </rPh>
    <rPh sb="13" eb="14">
      <t>キ</t>
    </rPh>
    <rPh sb="20" eb="22">
      <t>チョウセイ</t>
    </rPh>
    <phoneticPr fontId="2"/>
  </si>
  <si>
    <t>市町村マスタの修正</t>
    <rPh sb="0" eb="3">
      <t>シチョウソン</t>
    </rPh>
    <rPh sb="7" eb="9">
      <t>シュウセイ</t>
    </rPh>
    <phoneticPr fontId="2"/>
  </si>
  <si>
    <t>市町村マスタ：愛知県の報告先名称が間違っていたのを修正</t>
    <rPh sb="0" eb="3">
      <t>シチョウソン</t>
    </rPh>
    <rPh sb="7" eb="10">
      <t>アイチケン</t>
    </rPh>
    <rPh sb="11" eb="14">
      <t>ホウコクサキ</t>
    </rPh>
    <rPh sb="14" eb="16">
      <t>メイショウ</t>
    </rPh>
    <rPh sb="17" eb="19">
      <t>マチガ</t>
    </rPh>
    <rPh sb="25" eb="27">
      <t>シュウセイ</t>
    </rPh>
    <phoneticPr fontId="2"/>
  </si>
  <si>
    <t>社員管理：表示順列を追加</t>
    <rPh sb="0" eb="4">
      <t>シャインカンリ</t>
    </rPh>
    <rPh sb="5" eb="8">
      <t>ヒョウジジュン</t>
    </rPh>
    <rPh sb="8" eb="9">
      <t>レツ</t>
    </rPh>
    <rPh sb="10" eb="12">
      <t>ツイカ</t>
    </rPh>
    <phoneticPr fontId="2"/>
  </si>
  <si>
    <t>市町村マスタ：長崎県の報告書の修正</t>
    <rPh sb="0" eb="3">
      <t>シチョウソン</t>
    </rPh>
    <rPh sb="7" eb="10">
      <t>ナガサキケン</t>
    </rPh>
    <rPh sb="11" eb="14">
      <t>ホウコクショ</t>
    </rPh>
    <rPh sb="15" eb="17">
      <t>シュウセイ</t>
    </rPh>
    <phoneticPr fontId="2"/>
  </si>
  <si>
    <t>千葉県袖ケ浦市の保健所の宛名を修正（同別の市も同様に修正）</t>
    <rPh sb="0" eb="3">
      <t>チバケン</t>
    </rPh>
    <rPh sb="3" eb="7">
      <t>ソデガウラシ</t>
    </rPh>
    <rPh sb="8" eb="11">
      <t>ホケンジョ</t>
    </rPh>
    <rPh sb="12" eb="14">
      <t>アテナ</t>
    </rPh>
    <rPh sb="15" eb="17">
      <t>シュウセイ</t>
    </rPh>
    <rPh sb="18" eb="19">
      <t>ドウ</t>
    </rPh>
    <rPh sb="19" eb="20">
      <t>ベツ</t>
    </rPh>
    <rPh sb="21" eb="22">
      <t>シ</t>
    </rPh>
    <rPh sb="23" eb="25">
      <t>ドウヨウ</t>
    </rPh>
    <rPh sb="26" eb="28">
      <t>シュウセイ</t>
    </rPh>
    <phoneticPr fontId="2"/>
  </si>
  <si>
    <t>料金表：九州の特別料金の「イーグル企画」が抜けていた為、追加</t>
    <rPh sb="0" eb="3">
      <t>リョウキンヒョウ</t>
    </rPh>
    <rPh sb="4" eb="6">
      <t>キュウシュウ</t>
    </rPh>
    <rPh sb="7" eb="11">
      <t>トクベツリョウキン</t>
    </rPh>
    <rPh sb="17" eb="19">
      <t>キカク</t>
    </rPh>
    <rPh sb="21" eb="22">
      <t>ヌ</t>
    </rPh>
    <rPh sb="26" eb="27">
      <t>タメ</t>
    </rPh>
    <rPh sb="28" eb="30">
      <t>ツイカ</t>
    </rPh>
    <phoneticPr fontId="2"/>
  </si>
  <si>
    <t>社員管理 - リスト：表示順を追加</t>
    <rPh sb="0" eb="4">
      <t>シャインカンリ</t>
    </rPh>
    <rPh sb="11" eb="14">
      <t>ヒョウジジュン</t>
    </rPh>
    <rPh sb="15" eb="17">
      <t>ツイカ</t>
    </rPh>
    <phoneticPr fontId="2"/>
  </si>
  <si>
    <t>市町村マスタ：工作物、昇降機の時の埼玉県、千葉県の通知先が市役所になっていたのを修正</t>
    <rPh sb="0" eb="3">
      <t>シチョウソン</t>
    </rPh>
    <rPh sb="7" eb="10">
      <t>コウサクブツ</t>
    </rPh>
    <rPh sb="11" eb="14">
      <t>ショウコウキ</t>
    </rPh>
    <rPh sb="15" eb="16">
      <t>トキ</t>
    </rPh>
    <rPh sb="17" eb="20">
      <t>サイタマケン</t>
    </rPh>
    <rPh sb="21" eb="24">
      <t>チバケン</t>
    </rPh>
    <rPh sb="25" eb="28">
      <t>ツウチサキ</t>
    </rPh>
    <rPh sb="29" eb="32">
      <t>シヤクショ</t>
    </rPh>
    <rPh sb="40" eb="42">
      <t>シュウセイ</t>
    </rPh>
    <phoneticPr fontId="2"/>
  </si>
  <si>
    <t>九州支店の特別料金、イーグル企画用の請求先の登録</t>
    <rPh sb="0" eb="4">
      <t>キュウシュウシテン</t>
    </rPh>
    <rPh sb="5" eb="9">
      <t>トクベツリョウキン</t>
    </rPh>
    <rPh sb="14" eb="16">
      <t>キカク</t>
    </rPh>
    <rPh sb="16" eb="17">
      <t>ヨウ</t>
    </rPh>
    <rPh sb="18" eb="21">
      <t>セイキュウサキ</t>
    </rPh>
    <rPh sb="22" eb="24">
      <t>トウロク</t>
    </rPh>
    <phoneticPr fontId="2"/>
  </si>
  <si>
    <t>消防署の宛名のルールを再調整：消防局（消防長）、本部長（消防本部消防長）</t>
    <rPh sb="0" eb="3">
      <t>ショウボウショ</t>
    </rPh>
    <rPh sb="4" eb="6">
      <t>アテナ</t>
    </rPh>
    <rPh sb="11" eb="14">
      <t>サイチョウセイ</t>
    </rPh>
    <rPh sb="15" eb="18">
      <t>ショウボウキョク</t>
    </rPh>
    <rPh sb="19" eb="22">
      <t>ショウボウチョウ</t>
    </rPh>
    <rPh sb="24" eb="27">
      <t>ホンブチョウ</t>
    </rPh>
    <rPh sb="28" eb="32">
      <t>ショウボウホンブ</t>
    </rPh>
    <rPh sb="32" eb="35">
      <t>ショウボウチョウ</t>
    </rPh>
    <phoneticPr fontId="2"/>
  </si>
  <si>
    <t>長崎県下の消防署の宛名の修正</t>
    <rPh sb="0" eb="3">
      <t>ナガサキケン</t>
    </rPh>
    <rPh sb="3" eb="4">
      <t>カ</t>
    </rPh>
    <rPh sb="5" eb="8">
      <t>ショウボウショ</t>
    </rPh>
    <rPh sb="9" eb="11">
      <t>アテナ</t>
    </rPh>
    <rPh sb="12" eb="14">
      <t>シュウセイ</t>
    </rPh>
    <phoneticPr fontId="2"/>
  </si>
  <si>
    <t>● 市町村マスタ：</t>
    <phoneticPr fontId="2"/>
  </si>
  <si>
    <t>・ 東京都多摩建築指導事務所管轄の報告先名称が、「東京都知事」になっていたのを「東京都多摩建築指導事務所長」に修正</t>
    <phoneticPr fontId="2"/>
  </si>
  <si>
    <t>・ 千葉県木更津市・君津市・富津市・袖ヶ浦市の浄化槽通知の宛名を、『君津健康福祉センター長』に修正</t>
    <phoneticPr fontId="2"/>
  </si>
  <si>
    <t>● 第二面 - 設計者・代理者欄：</t>
    <phoneticPr fontId="2"/>
  </si>
  <si>
    <t>・ 「他者からコピー」ボタンのコピー元の選択肢に設計者と代理者の両方を含める様に修正</t>
    <phoneticPr fontId="2"/>
  </si>
  <si>
    <t>消防 - 同意送付日</t>
    <rPh sb="7" eb="10">
      <t>ソウフビ</t>
    </rPh>
    <phoneticPr fontId="2"/>
  </si>
  <si>
    <t>消防 - 通知日</t>
    <rPh sb="7" eb="8">
      <t>ヒ</t>
    </rPh>
    <phoneticPr fontId="2"/>
  </si>
  <si>
    <t>入力チェックシート：消防通知日、同意送付日の未入力チェックを追加</t>
    <rPh sb="0" eb="2">
      <t>ニュウリョク</t>
    </rPh>
    <rPh sb="10" eb="15">
      <t>ショウボウツウチビ</t>
    </rPh>
    <rPh sb="16" eb="21">
      <t>ドウイソウフビ</t>
    </rPh>
    <rPh sb="22" eb="25">
      <t>ミニュウリョク</t>
    </rPh>
    <rPh sb="30" eb="32">
      <t>ツイカ</t>
    </rPh>
    <phoneticPr fontId="2"/>
  </si>
  <si>
    <t>入力チェックシート：引受時-同意送付日未入力チェック、交付時-通知日未入力チェックがわかれていなかった問題を修正</t>
    <rPh sb="0" eb="2">
      <t>ニュウリョク</t>
    </rPh>
    <rPh sb="10" eb="13">
      <t>ヒキウケジ</t>
    </rPh>
    <rPh sb="14" eb="19">
      <t>ドウイソウフビ</t>
    </rPh>
    <rPh sb="19" eb="22">
      <t>ミニュウリョク</t>
    </rPh>
    <rPh sb="27" eb="29">
      <t>コウフ</t>
    </rPh>
    <rPh sb="29" eb="30">
      <t>ジ</t>
    </rPh>
    <rPh sb="31" eb="34">
      <t>ツウチビ</t>
    </rPh>
    <rPh sb="34" eb="37">
      <t>ミニュウリョク</t>
    </rPh>
    <rPh sb="51" eb="53">
      <t>モンダイ</t>
    </rPh>
    <rPh sb="54" eb="56">
      <t>シュウセイ</t>
    </rPh>
    <phoneticPr fontId="2"/>
  </si>
  <si>
    <t>建築士・建築士事務所データベース：検索ページでスクリプトエラーが表示される場合があるのを修正</t>
    <rPh sb="0" eb="3">
      <t>ケンチクシ</t>
    </rPh>
    <rPh sb="4" eb="7">
      <t>ケンチクシ</t>
    </rPh>
    <rPh sb="7" eb="10">
      <t>ジムショ</t>
    </rPh>
    <rPh sb="17" eb="19">
      <t>ケンサク</t>
    </rPh>
    <rPh sb="32" eb="34">
      <t>ヒョウジ</t>
    </rPh>
    <rPh sb="37" eb="39">
      <t>バアイ</t>
    </rPh>
    <rPh sb="44" eb="46">
      <t>シュウセイ</t>
    </rPh>
    <phoneticPr fontId="2"/>
  </si>
  <si>
    <t>公益財団法人 兵庫県住宅建築総合センター：理事長変更対応</t>
    <rPh sb="21" eb="24">
      <t>リジチョウ</t>
    </rPh>
    <rPh sb="24" eb="28">
      <t>ヘンコウタイオウ</t>
    </rPh>
    <phoneticPr fontId="2"/>
  </si>
  <si>
    <t>引受送付書：送付先の位置をC列からB列に変更</t>
    <rPh sb="0" eb="5">
      <t>ヒキウケソウフショ</t>
    </rPh>
    <rPh sb="6" eb="9">
      <t>ソウフサキ</t>
    </rPh>
    <rPh sb="10" eb="12">
      <t>イチ</t>
    </rPh>
    <rPh sb="14" eb="15">
      <t>レツ</t>
    </rPh>
    <rPh sb="18" eb="19">
      <t>レツ</t>
    </rPh>
    <rPh sb="20" eb="22">
      <t>ヘンコウ</t>
    </rPh>
    <phoneticPr fontId="2"/>
  </si>
  <si>
    <t>請求書：申請者（建築主）に「様」を付加する様に修正</t>
    <rPh sb="0" eb="3">
      <t>セイキュウショ</t>
    </rPh>
    <rPh sb="4" eb="7">
      <t>シンセイシャ</t>
    </rPh>
    <rPh sb="8" eb="11">
      <t>ケンチクヌシ</t>
    </rPh>
    <rPh sb="14" eb="15">
      <t>サマ</t>
    </rPh>
    <rPh sb="17" eb="19">
      <t>フカ</t>
    </rPh>
    <rPh sb="21" eb="22">
      <t>ヨウ</t>
    </rPh>
    <rPh sb="23" eb="25">
      <t>シュウセイ</t>
    </rPh>
    <phoneticPr fontId="2"/>
  </si>
  <si>
    <t>昇降機 - 建築物の確認申請情報欄：交付番号が表示されている場合は、「確認番号」→「受付番号」に変更</t>
    <phoneticPr fontId="2"/>
  </si>
  <si>
    <t>中間情報が記載されていた完了引受承諾書を削除</t>
    <rPh sb="0" eb="4">
      <t>チュウカンジョウホウ</t>
    </rPh>
    <rPh sb="5" eb="7">
      <t>キサイ</t>
    </rPh>
    <rPh sb="12" eb="14">
      <t>カンリョウ</t>
    </rPh>
    <rPh sb="14" eb="16">
      <t>ヒキウケ</t>
    </rPh>
    <rPh sb="16" eb="19">
      <t>ショウダクショ</t>
    </rPh>
    <rPh sb="20" eb="22">
      <t>サクジョ</t>
    </rPh>
    <phoneticPr fontId="2"/>
  </si>
  <si>
    <t>cst_owner_all__char_row_sama</t>
    <phoneticPr fontId="2"/>
  </si>
  <si>
    <t>建築主（改行, 様付）の連名表記の前処理（それぞれの建築主に対する改行コードと空白行付加処理）</t>
    <rPh sb="0" eb="3">
      <t>ケンチクヌシ</t>
    </rPh>
    <rPh sb="4" eb="6">
      <t>カイギョウ</t>
    </rPh>
    <rPh sb="8" eb="9">
      <t>サマ</t>
    </rPh>
    <rPh sb="9" eb="10">
      <t>ツキ</t>
    </rPh>
    <rPh sb="12" eb="14">
      <t>レンメイ</t>
    </rPh>
    <rPh sb="14" eb="16">
      <t>ヒョウキ</t>
    </rPh>
    <rPh sb="17" eb="20">
      <t>マエショリ</t>
    </rPh>
    <rPh sb="26" eb="29">
      <t>ケンチクヌシ</t>
    </rPh>
    <rPh sb="30" eb="31">
      <t>タイ</t>
    </rPh>
    <rPh sb="33" eb="35">
      <t>カイギョウ</t>
    </rPh>
    <rPh sb="39" eb="42">
      <t>クウハクギョウ</t>
    </rPh>
    <rPh sb="42" eb="44">
      <t>フカ</t>
    </rPh>
    <rPh sb="44" eb="46">
      <t>ショリ</t>
    </rPh>
    <phoneticPr fontId="2"/>
  </si>
  <si>
    <t>cst_owner2__char_sama__add_char_row</t>
    <phoneticPr fontId="2"/>
  </si>
  <si>
    <t>cst_owner3__char_sama__add_char_row</t>
    <phoneticPr fontId="2"/>
  </si>
  <si>
    <t>cst_owner4__char_sama__add_char_row</t>
    <phoneticPr fontId="2"/>
  </si>
  <si>
    <t>cst_owner5__char_sama__add_char_row</t>
    <phoneticPr fontId="2"/>
  </si>
  <si>
    <t>cst_owner6__char_sama__add_char_row</t>
    <phoneticPr fontId="2"/>
  </si>
  <si>
    <t>cst_owner7__char_sama__add_char_row</t>
    <phoneticPr fontId="2"/>
  </si>
  <si>
    <t>cst_owner8__char_sama__add_char_row</t>
    <phoneticPr fontId="2"/>
  </si>
  <si>
    <t>cst_owner9__char_sama__add_char_row</t>
    <phoneticPr fontId="2"/>
  </si>
  <si>
    <t>建築主１～建築主９（様付）行を空ける ※ 済証用</t>
    <rPh sb="0" eb="2">
      <t>ケンチク</t>
    </rPh>
    <rPh sb="2" eb="3">
      <t>ヌシ</t>
    </rPh>
    <rPh sb="5" eb="7">
      <t>ケンチク</t>
    </rPh>
    <rPh sb="7" eb="8">
      <t>ヌシ</t>
    </rPh>
    <rPh sb="10" eb="11">
      <t>サマ</t>
    </rPh>
    <rPh sb="11" eb="12">
      <t>ツ</t>
    </rPh>
    <rPh sb="13" eb="14">
      <t>ギョウ</t>
    </rPh>
    <rPh sb="15" eb="16">
      <t>ア</t>
    </rPh>
    <rPh sb="21" eb="23">
      <t>ズミショウ</t>
    </rPh>
    <rPh sb="23" eb="24">
      <t>ヨウ</t>
    </rPh>
    <phoneticPr fontId="2"/>
  </si>
  <si>
    <t>申請者が2名以上出力される時、二人目との間を一行あける様に修正※確認済証・合格証・検査済証</t>
    <rPh sb="27" eb="28">
      <t>ヨウ</t>
    </rPh>
    <rPh sb="29" eb="31">
      <t>シュウセイ</t>
    </rPh>
    <phoneticPr fontId="2"/>
  </si>
  <si>
    <t>消防通知：連名・ひとりの切替用コンボボックス追加</t>
    <rPh sb="0" eb="4">
      <t>ショウボウツウチ</t>
    </rPh>
    <rPh sb="5" eb="7">
      <t>レンメイ</t>
    </rPh>
    <rPh sb="12" eb="15">
      <t>キリカエヨウ</t>
    </rPh>
    <rPh sb="22" eb="24">
      <t>ツイカ</t>
    </rPh>
    <phoneticPr fontId="2"/>
  </si>
  <si>
    <t>建築物確認済証、報告書の適判通知書交付者欄を次の行に移動し大きく表示する様に修正</t>
    <rPh sb="0" eb="3">
      <t>ケンチクブツ</t>
    </rPh>
    <rPh sb="3" eb="7">
      <t>カクニンズミショウ</t>
    </rPh>
    <rPh sb="8" eb="11">
      <t>ホウコクショ</t>
    </rPh>
    <rPh sb="12" eb="14">
      <t>テキハン</t>
    </rPh>
    <rPh sb="14" eb="17">
      <t>ツウチショ</t>
    </rPh>
    <rPh sb="17" eb="20">
      <t>コウフシャ</t>
    </rPh>
    <rPh sb="20" eb="21">
      <t>ラン</t>
    </rPh>
    <rPh sb="22" eb="23">
      <t>ツギ</t>
    </rPh>
    <rPh sb="24" eb="25">
      <t>ギョウ</t>
    </rPh>
    <rPh sb="26" eb="28">
      <t>イドウ</t>
    </rPh>
    <rPh sb="29" eb="30">
      <t>オオ</t>
    </rPh>
    <rPh sb="32" eb="34">
      <t>ヒョウジ</t>
    </rPh>
    <rPh sb="36" eb="37">
      <t>ヨウ</t>
    </rPh>
    <rPh sb="38" eb="40">
      <t>シュウセイ</t>
    </rPh>
    <phoneticPr fontId="2"/>
  </si>
  <si>
    <t>物件管理表：適判受付日追加。「通知日」を「事前通知日」に、「依頼日」を「判定依頼日」に項目名変更。</t>
  </si>
  <si>
    <t>建築物確認報告書：「対象以外の部分の面積」の文言が欠けていたのを修正</t>
    <rPh sb="0" eb="3">
      <t>ケンチクブツ</t>
    </rPh>
    <rPh sb="3" eb="8">
      <t>カクニンホウコクショ</t>
    </rPh>
    <rPh sb="10" eb="12">
      <t>タイショウ</t>
    </rPh>
    <rPh sb="12" eb="14">
      <t>イガイ</t>
    </rPh>
    <rPh sb="15" eb="17">
      <t>ブブン</t>
    </rPh>
    <rPh sb="18" eb="20">
      <t>メンセキ</t>
    </rPh>
    <rPh sb="22" eb="24">
      <t>モンゴン</t>
    </rPh>
    <rPh sb="25" eb="26">
      <t>カ</t>
    </rPh>
    <rPh sb="32" eb="34">
      <t>シュウセイ</t>
    </rPh>
    <phoneticPr fontId="2"/>
  </si>
  <si>
    <t>市町村マスタ - 奈良県：行政区分が「その他」の昇降機の場合は都道府県情報２をみるように修正（奈良県知事）</t>
    <rPh sb="0" eb="3">
      <t>シチョウソン</t>
    </rPh>
    <rPh sb="9" eb="12">
      <t>ナラケン</t>
    </rPh>
    <rPh sb="13" eb="17">
      <t>ギョウセイクブン</t>
    </rPh>
    <rPh sb="21" eb="22">
      <t>タ</t>
    </rPh>
    <rPh sb="24" eb="27">
      <t>ショウコウキ</t>
    </rPh>
    <rPh sb="28" eb="30">
      <t>バアイ</t>
    </rPh>
    <rPh sb="31" eb="35">
      <t>トドウフケン</t>
    </rPh>
    <rPh sb="35" eb="37">
      <t>ジョウホウ</t>
    </rPh>
    <rPh sb="44" eb="46">
      <t>シュウセイ</t>
    </rPh>
    <rPh sb="47" eb="52">
      <t>ナラケンチジ</t>
    </rPh>
    <phoneticPr fontId="2"/>
  </si>
  <si>
    <t>建築物の検査済証：発行者欄の代表者の文字が会社名に比べて小さく表示されていた問題を修正</t>
    <rPh sb="9" eb="12">
      <t>ハッコウシャ</t>
    </rPh>
    <rPh sb="12" eb="13">
      <t>ラン</t>
    </rPh>
    <rPh sb="14" eb="17">
      <t>ダイヒョウシャ</t>
    </rPh>
    <rPh sb="18" eb="20">
      <t>モジ</t>
    </rPh>
    <rPh sb="21" eb="24">
      <t>カイシャメイ</t>
    </rPh>
    <rPh sb="25" eb="26">
      <t>クラ</t>
    </rPh>
    <rPh sb="28" eb="29">
      <t>チイ</t>
    </rPh>
    <rPh sb="31" eb="33">
      <t>ヒョウジ</t>
    </rPh>
    <rPh sb="38" eb="40">
      <t>モンダイ</t>
    </rPh>
    <rPh sb="41" eb="43">
      <t>シュウセイ</t>
    </rPh>
    <phoneticPr fontId="2"/>
  </si>
  <si>
    <t>決裁書（建築物）：預かり日欄に受付日をリンクする様に修正</t>
    <rPh sb="0" eb="3">
      <t>ケッサイショ</t>
    </rPh>
    <rPh sb="4" eb="7">
      <t>ケンチクブツ</t>
    </rPh>
    <rPh sb="9" eb="10">
      <t>アズ</t>
    </rPh>
    <rPh sb="12" eb="13">
      <t>ビ</t>
    </rPh>
    <rPh sb="13" eb="14">
      <t>ラン</t>
    </rPh>
    <rPh sb="15" eb="18">
      <t>ウケツケビ</t>
    </rPh>
    <rPh sb="24" eb="25">
      <t>ヨウ</t>
    </rPh>
    <rPh sb="26" eb="28">
      <t>シュウセイ</t>
    </rPh>
    <phoneticPr fontId="2"/>
  </si>
  <si>
    <t>申請者02</t>
    <rPh sb="0" eb="3">
      <t>シンセイシャ</t>
    </rPh>
    <phoneticPr fontId="2"/>
  </si>
  <si>
    <t>**shinsei_applicant02_JIMU_NAME</t>
    <phoneticPr fontId="2"/>
  </si>
  <si>
    <t>**shinsei_applicant02_POST</t>
    <phoneticPr fontId="2"/>
  </si>
  <si>
    <t>氏名</t>
    <phoneticPr fontId="2"/>
  </si>
  <si>
    <t>**shinsei_applicant02_NAME</t>
    <phoneticPr fontId="2"/>
  </si>
  <si>
    <t>txt</t>
    <phoneticPr fontId="2"/>
  </si>
  <si>
    <t>郵便番号</t>
    <phoneticPr fontId="2"/>
  </si>
  <si>
    <t>**shinsei_applicant02_ZIP</t>
    <phoneticPr fontId="2"/>
  </si>
  <si>
    <t>***-****</t>
    <phoneticPr fontId="2"/>
  </si>
  <si>
    <t>所在地</t>
    <phoneticPr fontId="2"/>
  </si>
  <si>
    <t>**shinsei_applicant02__address</t>
    <phoneticPr fontId="2"/>
  </si>
  <si>
    <t>電話番号</t>
    <phoneticPr fontId="2"/>
  </si>
  <si>
    <t>**shinsei_applicant02_TEL</t>
    <phoneticPr fontId="2"/>
  </si>
  <si>
    <t>**-****-****</t>
    <phoneticPr fontId="2"/>
  </si>
  <si>
    <t>申請者03</t>
    <rPh sb="0" eb="3">
      <t>シンセイシャ</t>
    </rPh>
    <phoneticPr fontId="2"/>
  </si>
  <si>
    <t>**shinsei_applicant03_JIMU_NAME</t>
    <phoneticPr fontId="2"/>
  </si>
  <si>
    <t>**shinsei_applicant03_POST</t>
  </si>
  <si>
    <t>**shinsei_applicant03_NAME</t>
    <phoneticPr fontId="2"/>
  </si>
  <si>
    <t>**shinsei_applicant03_ZIP</t>
    <phoneticPr fontId="2"/>
  </si>
  <si>
    <t>**shinsei_applicant03__address</t>
    <phoneticPr fontId="2"/>
  </si>
  <si>
    <t>電話番号</t>
    <phoneticPr fontId="2"/>
  </si>
  <si>
    <t>**shinsei_applicant03_TEL</t>
    <phoneticPr fontId="2"/>
  </si>
  <si>
    <t>申請者04</t>
    <rPh sb="0" eb="3">
      <t>シンセイシャ</t>
    </rPh>
    <phoneticPr fontId="2"/>
  </si>
  <si>
    <t>**shinsei_applicant04_JIMU_NAME</t>
    <phoneticPr fontId="2"/>
  </si>
  <si>
    <t>**shinsei_applicant04_POST</t>
    <phoneticPr fontId="2"/>
  </si>
  <si>
    <t>**shinsei_applicant04_NAME</t>
    <phoneticPr fontId="2"/>
  </si>
  <si>
    <t>**shinsei_applicant04_ZIP</t>
    <phoneticPr fontId="2"/>
  </si>
  <si>
    <t>所在地</t>
    <phoneticPr fontId="2"/>
  </si>
  <si>
    <t>**shinsei_applicant04__address</t>
    <phoneticPr fontId="2"/>
  </si>
  <si>
    <t>**shinsei_applicant04_TEL</t>
    <phoneticPr fontId="2"/>
  </si>
  <si>
    <t>申請者05</t>
    <rPh sb="0" eb="3">
      <t>シンセイシャ</t>
    </rPh>
    <phoneticPr fontId="2"/>
  </si>
  <si>
    <t>**shinsei_applicant05_JIMU_NAME</t>
    <phoneticPr fontId="2"/>
  </si>
  <si>
    <t>**shinsei_applicant05_POST</t>
  </si>
  <si>
    <t>**shinsei_applicant05_NAME</t>
    <phoneticPr fontId="2"/>
  </si>
  <si>
    <t>**shinsei_applicant05_ZIP</t>
    <phoneticPr fontId="2"/>
  </si>
  <si>
    <t>**shinsei_applicant05__address</t>
    <phoneticPr fontId="2"/>
  </si>
  <si>
    <t>**shinsei_applicant05_TEL</t>
    <phoneticPr fontId="2"/>
  </si>
  <si>
    <t>申請者06</t>
    <rPh sb="0" eb="3">
      <t>シンセイシャ</t>
    </rPh>
    <phoneticPr fontId="2"/>
  </si>
  <si>
    <t>**shinsei_applicant06_JIMU_NAME</t>
    <phoneticPr fontId="2"/>
  </si>
  <si>
    <t>**shinsei_applicant06_POST</t>
  </si>
  <si>
    <t>**shinsei_applicant06_NAME</t>
    <phoneticPr fontId="2"/>
  </si>
  <si>
    <t>**shinsei_applicant06_ZIP</t>
    <phoneticPr fontId="2"/>
  </si>
  <si>
    <t>**shinsei_applicant06__address</t>
    <phoneticPr fontId="2"/>
  </si>
  <si>
    <t>**shinsei_applicant06_TEL</t>
    <phoneticPr fontId="2"/>
  </si>
  <si>
    <t>申請者07</t>
    <rPh sb="0" eb="3">
      <t>シンセイシャ</t>
    </rPh>
    <phoneticPr fontId="2"/>
  </si>
  <si>
    <t>**shinsei_applicant07_JIMU_NAME</t>
    <phoneticPr fontId="2"/>
  </si>
  <si>
    <t>**shinsei_applicant07_POST</t>
  </si>
  <si>
    <t>氏名</t>
    <phoneticPr fontId="2"/>
  </si>
  <si>
    <t>**shinsei_applicant07_NAME</t>
    <phoneticPr fontId="2"/>
  </si>
  <si>
    <t>**shinsei_applicant07_ZIP</t>
    <phoneticPr fontId="2"/>
  </si>
  <si>
    <t>所在地</t>
    <phoneticPr fontId="2"/>
  </si>
  <si>
    <t>**shinsei_applicant07__address</t>
    <phoneticPr fontId="2"/>
  </si>
  <si>
    <t>電話番号</t>
    <phoneticPr fontId="2"/>
  </si>
  <si>
    <t>**shinsei_applicant07_TEL</t>
    <phoneticPr fontId="2"/>
  </si>
  <si>
    <t>申請者（会社名&lt;スペース&gt;役職&lt;スペース&gt;氏名）</t>
    <rPh sb="0" eb="3">
      <t>シンセイシャ</t>
    </rPh>
    <rPh sb="4" eb="7">
      <t>カイシャメイ</t>
    </rPh>
    <rPh sb="13" eb="15">
      <t>ヤクショク</t>
    </rPh>
    <rPh sb="21" eb="23">
      <t>シメイ</t>
    </rPh>
    <phoneticPr fontId="2"/>
  </si>
  <si>
    <t>申請者（会社名&lt;スペース&gt;役職&lt;スペース&gt;氏名）（様付）</t>
    <rPh sb="0" eb="3">
      <t>シンセイシャ</t>
    </rPh>
    <rPh sb="4" eb="7">
      <t>カイシャメイ</t>
    </rPh>
    <rPh sb="13" eb="15">
      <t>ヤクショク</t>
    </rPh>
    <rPh sb="21" eb="23">
      <t>シメイ</t>
    </rPh>
    <rPh sb="25" eb="26">
      <t>サマ</t>
    </rPh>
    <rPh sb="26" eb="27">
      <t>ツキ</t>
    </rPh>
    <phoneticPr fontId="2"/>
  </si>
  <si>
    <t>cst_applicant2__space</t>
    <phoneticPr fontId="2"/>
  </si>
  <si>
    <t>申請者１</t>
    <rPh sb="0" eb="3">
      <t>シンセイシャ</t>
    </rPh>
    <phoneticPr fontId="2"/>
  </si>
  <si>
    <t>申請者２</t>
    <rPh sb="0" eb="3">
      <t>シンセイシャ</t>
    </rPh>
    <phoneticPr fontId="2"/>
  </si>
  <si>
    <t>申請者３</t>
    <rPh sb="0" eb="3">
      <t>シンセイシャ</t>
    </rPh>
    <phoneticPr fontId="2"/>
  </si>
  <si>
    <t>申請者４</t>
    <rPh sb="0" eb="3">
      <t>シンセイシャ</t>
    </rPh>
    <phoneticPr fontId="2"/>
  </si>
  <si>
    <t>申請者５</t>
    <rPh sb="0" eb="3">
      <t>シンセイシャ</t>
    </rPh>
    <phoneticPr fontId="2"/>
  </si>
  <si>
    <t>申請者６</t>
    <rPh sb="0" eb="3">
      <t>シンセイシャ</t>
    </rPh>
    <phoneticPr fontId="2"/>
  </si>
  <si>
    <t>申請者７</t>
    <rPh sb="0" eb="3">
      <t>シンセイシャ</t>
    </rPh>
    <phoneticPr fontId="2"/>
  </si>
  <si>
    <t>cst_applicant3__space</t>
    <phoneticPr fontId="2"/>
  </si>
  <si>
    <t>cst_applicant4__space</t>
    <phoneticPr fontId="2"/>
  </si>
  <si>
    <t>cst_applicant5__space</t>
    <phoneticPr fontId="2"/>
  </si>
  <si>
    <t>cst_applicant6__space</t>
    <phoneticPr fontId="2"/>
  </si>
  <si>
    <t>cst_applicant7__space</t>
    <phoneticPr fontId="2"/>
  </si>
  <si>
    <t>cst_applicant1__space</t>
    <phoneticPr fontId="2"/>
  </si>
  <si>
    <t>cst_applicant1__space_sama</t>
  </si>
  <si>
    <t>cst_applicant1__space_sama</t>
    <phoneticPr fontId="2"/>
  </si>
  <si>
    <t>cst_applicant2__space_sama</t>
    <phoneticPr fontId="2"/>
  </si>
  <si>
    <t>cst_applicant3__space_sama</t>
    <phoneticPr fontId="2"/>
  </si>
  <si>
    <t>cst_applicant4__space_sama</t>
    <phoneticPr fontId="2"/>
  </si>
  <si>
    <t>cst_applicant5__space_sama</t>
    <phoneticPr fontId="2"/>
  </si>
  <si>
    <t>cst_applicant6__space_sama</t>
    <phoneticPr fontId="2"/>
  </si>
  <si>
    <t>cst_applicant7__space_sama</t>
    <phoneticPr fontId="2"/>
  </si>
  <si>
    <t>cst_applicant1__char</t>
    <phoneticPr fontId="2"/>
  </si>
  <si>
    <t>cst_applicant2__char</t>
    <phoneticPr fontId="2"/>
  </si>
  <si>
    <t>cst_applicant3__char</t>
    <phoneticPr fontId="2"/>
  </si>
  <si>
    <t>cst_applicant4__char</t>
    <phoneticPr fontId="2"/>
  </si>
  <si>
    <t>cst_applicant5__char</t>
    <phoneticPr fontId="2"/>
  </si>
  <si>
    <t>cst_applicant6__char</t>
    <phoneticPr fontId="2"/>
  </si>
  <si>
    <t>cst_applicant7__char</t>
    <phoneticPr fontId="2"/>
  </si>
  <si>
    <t>cst_applicant1__char_sama</t>
  </si>
  <si>
    <t>cst_applicant1__char_sama</t>
    <phoneticPr fontId="2"/>
  </si>
  <si>
    <t>cst_applicant2__char_sama</t>
    <phoneticPr fontId="2"/>
  </si>
  <si>
    <t>cst_applicant3__char_sama</t>
    <phoneticPr fontId="2"/>
  </si>
  <si>
    <t>cst_applicant4__char_sama</t>
    <phoneticPr fontId="2"/>
  </si>
  <si>
    <t>cst_applicant5__char_sama</t>
    <phoneticPr fontId="2"/>
  </si>
  <si>
    <t>cst_applicant6__char_sama</t>
    <phoneticPr fontId="2"/>
  </si>
  <si>
    <t>cst_applicant7__char_sama</t>
    <phoneticPr fontId="2"/>
  </si>
  <si>
    <t>申請者（会社名&lt;改行&gt;役職&lt;スペース&gt;氏名）</t>
    <rPh sb="4" eb="7">
      <t>カイシャメイ</t>
    </rPh>
    <rPh sb="8" eb="10">
      <t>カイギョウ</t>
    </rPh>
    <rPh sb="11" eb="13">
      <t>ヤクショク</t>
    </rPh>
    <rPh sb="19" eb="21">
      <t>シメイ</t>
    </rPh>
    <phoneticPr fontId="2"/>
  </si>
  <si>
    <t>申請者（会社名&lt;改行&gt;役職&lt;スペース&gt;氏名）（様付）</t>
    <rPh sb="4" eb="7">
      <t>カイシャメイ</t>
    </rPh>
    <rPh sb="8" eb="10">
      <t>カイギョウ</t>
    </rPh>
    <rPh sb="11" eb="13">
      <t>ヤクショク</t>
    </rPh>
    <rPh sb="19" eb="21">
      <t>シメイ</t>
    </rPh>
    <rPh sb="23" eb="24">
      <t>サマ</t>
    </rPh>
    <rPh sb="24" eb="25">
      <t>ツキ</t>
    </rPh>
    <phoneticPr fontId="2"/>
  </si>
  <si>
    <t>申請者２用</t>
    <rPh sb="0" eb="3">
      <t>シンセイシャ</t>
    </rPh>
    <rPh sb="4" eb="5">
      <t>ヨウ</t>
    </rPh>
    <phoneticPr fontId="2"/>
  </si>
  <si>
    <t>申請者３用</t>
    <rPh sb="4" eb="5">
      <t>ヨウ</t>
    </rPh>
    <phoneticPr fontId="2"/>
  </si>
  <si>
    <t>申請者４用</t>
    <rPh sb="4" eb="5">
      <t>ヨウ</t>
    </rPh>
    <phoneticPr fontId="2"/>
  </si>
  <si>
    <t>申請者５用</t>
    <rPh sb="4" eb="5">
      <t>ヨウ</t>
    </rPh>
    <phoneticPr fontId="2"/>
  </si>
  <si>
    <t>申請者６用</t>
    <rPh sb="4" eb="5">
      <t>ヨウ</t>
    </rPh>
    <phoneticPr fontId="2"/>
  </si>
  <si>
    <t>申請者７用</t>
    <rPh sb="4" eb="5">
      <t>ヨウ</t>
    </rPh>
    <phoneticPr fontId="2"/>
  </si>
  <si>
    <t>cst_applicant1__check</t>
    <phoneticPr fontId="2"/>
  </si>
  <si>
    <t>cst_applicant2__check</t>
    <phoneticPr fontId="2"/>
  </si>
  <si>
    <t>cst_applicant3__check</t>
    <phoneticPr fontId="2"/>
  </si>
  <si>
    <t>cst_applicant4__check</t>
    <phoneticPr fontId="2"/>
  </si>
  <si>
    <t>cst_applicant5__check</t>
    <phoneticPr fontId="2"/>
  </si>
  <si>
    <t>cst_applicant6__check</t>
    <phoneticPr fontId="2"/>
  </si>
  <si>
    <t>cst_applicant1_address</t>
    <phoneticPr fontId="2"/>
  </si>
  <si>
    <t>cst_shinsei_owner1_CORP</t>
  </si>
  <si>
    <t>cst_shinsei_owner1_NAME_KANA</t>
  </si>
  <si>
    <t>cst_shinsei_owner1_POST</t>
  </si>
  <si>
    <t>cst_shinsei_owner1_NAME</t>
  </si>
  <si>
    <t>cst_shinsei_owner1_ZIP</t>
  </si>
  <si>
    <t>cst_shinsei_owner1__address</t>
  </si>
  <si>
    <t>cst_shinsei_owner1_TEL</t>
  </si>
  <si>
    <t>cst_shinsei_owner2_ZIP</t>
  </si>
  <si>
    <t>cst_shinsei_owner3_ZIP</t>
  </si>
  <si>
    <t>cst_shinsei_owner4_ZIP</t>
  </si>
  <si>
    <t>cst_shinsei_owner5_ZIP</t>
  </si>
  <si>
    <t>cst_shinsei_owner6_ZIP</t>
  </si>
  <si>
    <t>cst_shinsei_owner7_ZIP</t>
  </si>
  <si>
    <t>cst_shinsei_owner8_ZIP</t>
  </si>
  <si>
    <t>cst_shinsei_owner9_ZIP</t>
  </si>
  <si>
    <t>cst_shinsei_applicant1_CORP</t>
  </si>
  <si>
    <t>cst_shinsei_applicant1_NAME_KANA</t>
  </si>
  <si>
    <t>cst_shinsei_applicant1_POST</t>
  </si>
  <si>
    <t>cst_shinsei_applicant1_NAME</t>
  </si>
  <si>
    <t>cst_shinsei_applicant1_ZIP</t>
  </si>
  <si>
    <t>cst_shinsei_applicant1__address</t>
  </si>
  <si>
    <t>cst_shinsei_applicant1_TEL</t>
  </si>
  <si>
    <t>cst_shinsei_applicant2_CORP</t>
  </si>
  <si>
    <t>cst_shinsei_applicant2_POST</t>
  </si>
  <si>
    <t>cst_shinsei_applicant2_NAME</t>
  </si>
  <si>
    <t>cst_shinsei_applicant2_ZIP</t>
  </si>
  <si>
    <t>cst_shinsei_applicant2__address</t>
  </si>
  <si>
    <t>cst_shinsei_applicant2_TEL</t>
  </si>
  <si>
    <t>cst_shinsei_applicant3_CORP</t>
  </si>
  <si>
    <t>cst_shinsei_applicant3_POST</t>
  </si>
  <si>
    <t>cst_shinsei_applicant3_NAME</t>
  </si>
  <si>
    <t>cst_shinsei_applicant3_ZIP</t>
  </si>
  <si>
    <t>cst_shinsei_applicant3__address</t>
  </si>
  <si>
    <t>cst_shinsei_applicant3_TEL</t>
  </si>
  <si>
    <t>cst_shinsei_applicant4_CORP</t>
  </si>
  <si>
    <t>cst_shinsei_applicant4_POST</t>
  </si>
  <si>
    <t>cst_shinsei_applicant4_NAME</t>
  </si>
  <si>
    <t>cst_shinsei_applicant4_ZIP</t>
  </si>
  <si>
    <t>cst_shinsei_applicant4__address</t>
  </si>
  <si>
    <t>cst_shinsei_applicant4_TEL</t>
  </si>
  <si>
    <t>cst_shinsei_applicant5_CORP</t>
  </si>
  <si>
    <t>cst_shinsei_applicant5_POST</t>
  </si>
  <si>
    <t>cst_shinsei_applicant5_NAME</t>
  </si>
  <si>
    <t>cst_shinsei_applicant5_ZIP</t>
  </si>
  <si>
    <t>cst_shinsei_applicant5__address</t>
  </si>
  <si>
    <t>cst_shinsei_applicant5_TEL</t>
  </si>
  <si>
    <t>cst_shinsei_applicant6_CORP</t>
  </si>
  <si>
    <t>cst_shinsei_applicant6_POST</t>
  </si>
  <si>
    <t>cst_shinsei_applicant6_NAME</t>
  </si>
  <si>
    <t>cst_shinsei_applicant6_ZIP</t>
  </si>
  <si>
    <t>cst_shinsei_applicant6__address</t>
  </si>
  <si>
    <t>cst_shinsei_applicant6_TEL</t>
  </si>
  <si>
    <t>cst_shinsei_applicant7_CORP</t>
  </si>
  <si>
    <t>cst_shinsei_applicant7_POST</t>
  </si>
  <si>
    <t>cst_shinsei_applicant7_NAME</t>
  </si>
  <si>
    <t>cst_shinsei_applicant7_ZIP</t>
  </si>
  <si>
    <t>cst_shinsei_applicant7__address</t>
  </si>
  <si>
    <t>cst_shinsei_applicant7_TEL</t>
  </si>
  <si>
    <t>cst_applicant2_address__add_char</t>
    <phoneticPr fontId="2"/>
  </si>
  <si>
    <t>cst_applicant3_address__add_char</t>
    <phoneticPr fontId="2"/>
  </si>
  <si>
    <t>cst_applicant4_address__add_char</t>
    <phoneticPr fontId="2"/>
  </si>
  <si>
    <t>cst_applicant5_address__add_char</t>
    <phoneticPr fontId="2"/>
  </si>
  <si>
    <t>cst_applicant6_address__add_char</t>
    <phoneticPr fontId="2"/>
  </si>
  <si>
    <t>cst_applicant7_address__add_char</t>
    <phoneticPr fontId="2"/>
  </si>
  <si>
    <t>cst_applicant2__space__add_char</t>
    <phoneticPr fontId="2"/>
  </si>
  <si>
    <t>cst_applicant3__space__add_char</t>
    <phoneticPr fontId="2"/>
  </si>
  <si>
    <t>cst_applicant4__space__add_char</t>
    <phoneticPr fontId="2"/>
  </si>
  <si>
    <t>cst_applicant5__space__add_char</t>
    <phoneticPr fontId="2"/>
  </si>
  <si>
    <t>cst_applicant6__space__add_char</t>
    <phoneticPr fontId="2"/>
  </si>
  <si>
    <t>cst_applicant7__space__add_char</t>
    <phoneticPr fontId="2"/>
  </si>
  <si>
    <t>cst_applicant2__space_sama__add_char</t>
    <phoneticPr fontId="2"/>
  </si>
  <si>
    <t>cst_applicant3__space_sama__add_char</t>
    <phoneticPr fontId="2"/>
  </si>
  <si>
    <t>cst_applicant4__space_sama__add_char</t>
    <phoneticPr fontId="2"/>
  </si>
  <si>
    <t>cst_applicant5__space_sama__add_char</t>
    <phoneticPr fontId="2"/>
  </si>
  <si>
    <t>cst_applicant6__space_sama__add_char</t>
    <phoneticPr fontId="2"/>
  </si>
  <si>
    <t>cst_applicant7__space_sama__add_char</t>
    <phoneticPr fontId="2"/>
  </si>
  <si>
    <t>cst_applicant2__char__add_char</t>
    <phoneticPr fontId="2"/>
  </si>
  <si>
    <t>cst_applicant3__char__add_char</t>
    <phoneticPr fontId="2"/>
  </si>
  <si>
    <t>cst_applicant4__char__add_char</t>
    <phoneticPr fontId="2"/>
  </si>
  <si>
    <t>cst_applicant5__char__add_char</t>
    <phoneticPr fontId="2"/>
  </si>
  <si>
    <t>cst_applicant6__char__add_char</t>
    <phoneticPr fontId="2"/>
  </si>
  <si>
    <t>cst_applicant7__char__add_char</t>
    <phoneticPr fontId="2"/>
  </si>
  <si>
    <t>cst_applicant2__char_sama__add_char</t>
    <phoneticPr fontId="2"/>
  </si>
  <si>
    <t>cst_applicant3__char_sama__add_char</t>
    <phoneticPr fontId="2"/>
  </si>
  <si>
    <t>cst_applicant4__char_sama__add_char</t>
    <phoneticPr fontId="2"/>
  </si>
  <si>
    <t>cst_applicant5__char_sama__add_char</t>
    <phoneticPr fontId="2"/>
  </si>
  <si>
    <t>cst_applicant6__char_sama__add_char</t>
    <phoneticPr fontId="2"/>
  </si>
  <si>
    <t>cst_applicant7__char_sama__add_char</t>
    <phoneticPr fontId="2"/>
  </si>
  <si>
    <t>cst_applicant2__char_sama__add_char_row</t>
    <phoneticPr fontId="2"/>
  </si>
  <si>
    <t>cst_applicant3__char_sama__add_char_row</t>
    <phoneticPr fontId="2"/>
  </si>
  <si>
    <t>cst_applicant4__char_sama__add_char_row</t>
    <phoneticPr fontId="2"/>
  </si>
  <si>
    <t>cst_applicant5__char_sama__add_char_row</t>
    <phoneticPr fontId="2"/>
  </si>
  <si>
    <t>cst_applicant6__char_sama__add_char_row</t>
    <phoneticPr fontId="2"/>
  </si>
  <si>
    <t>cst_applicant7__char_sama__add_char_row</t>
    <phoneticPr fontId="2"/>
  </si>
  <si>
    <t>cst_applicant_address_all</t>
    <phoneticPr fontId="2"/>
  </si>
  <si>
    <t>cst_applicant_all__space</t>
    <phoneticPr fontId="2"/>
  </si>
  <si>
    <t>cst_applicant_all__space_sama</t>
    <phoneticPr fontId="2"/>
  </si>
  <si>
    <t>cst_applicant_all__char</t>
    <phoneticPr fontId="2"/>
  </si>
  <si>
    <t>cst_applicant_all__char_sama</t>
    <phoneticPr fontId="2"/>
  </si>
  <si>
    <t>cst_applicant_all__char_row_sama</t>
    <phoneticPr fontId="2"/>
  </si>
  <si>
    <t>申請者の連名の場合の住所出力の前処理（それぞれの申請者に対する改行コード付加処理）</t>
    <rPh sb="4" eb="6">
      <t>レンメイ</t>
    </rPh>
    <rPh sb="7" eb="9">
      <t>バアイ</t>
    </rPh>
    <rPh sb="10" eb="12">
      <t>ジュウショ</t>
    </rPh>
    <rPh sb="12" eb="14">
      <t>シュツリョク</t>
    </rPh>
    <rPh sb="15" eb="18">
      <t>マエショリ</t>
    </rPh>
    <rPh sb="28" eb="29">
      <t>タイ</t>
    </rPh>
    <rPh sb="31" eb="33">
      <t>カイギョウ</t>
    </rPh>
    <rPh sb="36" eb="40">
      <t>フカショリ</t>
    </rPh>
    <phoneticPr fontId="2"/>
  </si>
  <si>
    <t>申請者（スペース）の連名表記の前処理（それぞれの申請者に対する改行コード付加処理）</t>
    <rPh sb="10" eb="12">
      <t>レンメイ</t>
    </rPh>
    <rPh sb="12" eb="14">
      <t>ヒョウキ</t>
    </rPh>
    <rPh sb="15" eb="18">
      <t>マエショリ</t>
    </rPh>
    <rPh sb="28" eb="29">
      <t>タイ</t>
    </rPh>
    <rPh sb="31" eb="33">
      <t>カイギョウ</t>
    </rPh>
    <rPh sb="36" eb="38">
      <t>フカ</t>
    </rPh>
    <rPh sb="38" eb="40">
      <t>ショリ</t>
    </rPh>
    <phoneticPr fontId="2"/>
  </si>
  <si>
    <t>申請者（スペース, 様付）の連名表記の前処理（それぞれの申請者に対する改行コード付加処理）</t>
    <rPh sb="10" eb="11">
      <t>サマ</t>
    </rPh>
    <rPh sb="11" eb="12">
      <t>ツキ</t>
    </rPh>
    <rPh sb="14" eb="16">
      <t>レンメイ</t>
    </rPh>
    <rPh sb="16" eb="18">
      <t>ヒョウキ</t>
    </rPh>
    <rPh sb="19" eb="22">
      <t>マエショリ</t>
    </rPh>
    <rPh sb="32" eb="33">
      <t>タイ</t>
    </rPh>
    <rPh sb="35" eb="37">
      <t>カイギョウ</t>
    </rPh>
    <rPh sb="40" eb="42">
      <t>フカ</t>
    </rPh>
    <rPh sb="42" eb="44">
      <t>ショリ</t>
    </rPh>
    <phoneticPr fontId="2"/>
  </si>
  <si>
    <t>申請者（改行）の連名表記の前処理（それぞれの申請者に対する改行コード付加処理）</t>
    <rPh sb="4" eb="6">
      <t>カイギョウ</t>
    </rPh>
    <rPh sb="8" eb="10">
      <t>レンメイ</t>
    </rPh>
    <rPh sb="10" eb="12">
      <t>ヒョウキ</t>
    </rPh>
    <rPh sb="13" eb="16">
      <t>マエショリ</t>
    </rPh>
    <rPh sb="26" eb="27">
      <t>タイ</t>
    </rPh>
    <rPh sb="29" eb="31">
      <t>カイギョウ</t>
    </rPh>
    <rPh sb="34" eb="36">
      <t>フカ</t>
    </rPh>
    <rPh sb="36" eb="38">
      <t>ショリ</t>
    </rPh>
    <phoneticPr fontId="2"/>
  </si>
  <si>
    <t>申請者（改行, 様付）の連名表記の前処理（それぞれの申請者に対する改行コード付加処理）</t>
    <rPh sb="4" eb="6">
      <t>カイギョウ</t>
    </rPh>
    <rPh sb="8" eb="9">
      <t>サマ</t>
    </rPh>
    <rPh sb="9" eb="10">
      <t>ツキ</t>
    </rPh>
    <rPh sb="12" eb="14">
      <t>レンメイ</t>
    </rPh>
    <rPh sb="14" eb="16">
      <t>ヒョウキ</t>
    </rPh>
    <rPh sb="17" eb="20">
      <t>マエショリ</t>
    </rPh>
    <rPh sb="30" eb="31">
      <t>タイ</t>
    </rPh>
    <rPh sb="33" eb="35">
      <t>カイギョウ</t>
    </rPh>
    <rPh sb="38" eb="40">
      <t>フカ</t>
    </rPh>
    <rPh sb="40" eb="42">
      <t>ショリ</t>
    </rPh>
    <phoneticPr fontId="2"/>
  </si>
  <si>
    <t>申請者（改行, 様付）の連名表記の前処理（それぞれの申請者に対する改行コードと空白行付加処理）</t>
    <rPh sb="4" eb="6">
      <t>カイギョウ</t>
    </rPh>
    <rPh sb="8" eb="9">
      <t>サマ</t>
    </rPh>
    <rPh sb="9" eb="10">
      <t>ツキ</t>
    </rPh>
    <rPh sb="12" eb="14">
      <t>レンメイ</t>
    </rPh>
    <rPh sb="14" eb="16">
      <t>ヒョウキ</t>
    </rPh>
    <rPh sb="17" eb="20">
      <t>マエショリ</t>
    </rPh>
    <rPh sb="30" eb="31">
      <t>タイ</t>
    </rPh>
    <rPh sb="33" eb="35">
      <t>カイギョウ</t>
    </rPh>
    <rPh sb="39" eb="42">
      <t>クウハクギョウ</t>
    </rPh>
    <rPh sb="42" eb="44">
      <t>フカ</t>
    </rPh>
    <rPh sb="44" eb="46">
      <t>ショリ</t>
    </rPh>
    <phoneticPr fontId="2"/>
  </si>
  <si>
    <t>全ての申請者の住所をひとつにまとめて表示</t>
    <rPh sb="0" eb="1">
      <t>スベ</t>
    </rPh>
    <rPh sb="7" eb="9">
      <t>ジュウショ</t>
    </rPh>
    <rPh sb="18" eb="20">
      <t>ヒョウジ</t>
    </rPh>
    <phoneticPr fontId="2"/>
  </si>
  <si>
    <t>申請者１～申請者９</t>
    <phoneticPr fontId="2"/>
  </si>
  <si>
    <t>全ての申請者（会社名&lt;スペース&gt;役職&lt;スペース&gt;氏名）をひとつにまとめて表示</t>
    <rPh sb="0" eb="1">
      <t>スベ</t>
    </rPh>
    <phoneticPr fontId="2"/>
  </si>
  <si>
    <t>申請者１～申請者９（様付）</t>
    <rPh sb="10" eb="11">
      <t>サマ</t>
    </rPh>
    <rPh sb="11" eb="12">
      <t>ツ</t>
    </rPh>
    <phoneticPr fontId="2"/>
  </si>
  <si>
    <t>全ての申請者（会社名&lt;改行&gt;役職&lt;スペース&gt;氏名）をひとつにまとめて表示</t>
    <rPh sb="0" eb="1">
      <t>スベ</t>
    </rPh>
    <rPh sb="11" eb="13">
      <t>カイギョウ</t>
    </rPh>
    <phoneticPr fontId="2"/>
  </si>
  <si>
    <t>申請者１～申請者９（様付）行を空ける ※ 済証用</t>
    <rPh sb="10" eb="11">
      <t>サマ</t>
    </rPh>
    <rPh sb="11" eb="12">
      <t>ツ</t>
    </rPh>
    <rPh sb="13" eb="14">
      <t>ギョウ</t>
    </rPh>
    <rPh sb="15" eb="16">
      <t>ア</t>
    </rPh>
    <rPh sb="21" eb="23">
      <t>ズミショウ</t>
    </rPh>
    <rPh sb="23" eb="24">
      <t>ヨウ</t>
    </rPh>
    <phoneticPr fontId="2"/>
  </si>
  <si>
    <t>工作物 - 確認引受承諾書：①申請者氏名欄が二名以上いても出力されない問題を修正</t>
  </si>
  <si>
    <t>通知書交付者 - 該当する場合の処理</t>
    <rPh sb="0" eb="3">
      <t>ツウチショ</t>
    </rPh>
    <rPh sb="3" eb="5">
      <t>コウフ</t>
    </rPh>
    <rPh sb="5" eb="6">
      <t>シャ</t>
    </rPh>
    <rPh sb="9" eb="11">
      <t>ガイトウ</t>
    </rPh>
    <rPh sb="13" eb="15">
      <t>バアイ</t>
    </rPh>
    <rPh sb="16" eb="18">
      <t>ショリ</t>
    </rPh>
    <phoneticPr fontId="2"/>
  </si>
  <si>
    <t>通知書交付者 - 該当しない場合の処理</t>
    <rPh sb="0" eb="3">
      <t>ツウチショ</t>
    </rPh>
    <rPh sb="3" eb="5">
      <t>コウフ</t>
    </rPh>
    <rPh sb="5" eb="6">
      <t>シャ</t>
    </rPh>
    <rPh sb="9" eb="11">
      <t>ガイトウ</t>
    </rPh>
    <rPh sb="14" eb="16">
      <t>バアイ</t>
    </rPh>
    <rPh sb="17" eb="19">
      <t>ショリ</t>
    </rPh>
    <phoneticPr fontId="2"/>
  </si>
  <si>
    <t>cst_shinsei__REPORT_STRUCTRESULT_KOUFU_NAME_No</t>
    <phoneticPr fontId="2"/>
  </si>
  <si>
    <t>cst_shinsei_CHARGE_ID__RECEIPT_PRICE__text</t>
    <phoneticPr fontId="2"/>
  </si>
  <si>
    <t>don_OFFICE_FAX__health_notify_date</t>
    <phoneticPr fontId="2"/>
  </si>
  <si>
    <t>don_OFFICE_TANTOU__health_notify_date</t>
    <phoneticPr fontId="2"/>
  </si>
  <si>
    <t>don_SEARCH_RESOLT__health_notify_date</t>
    <phoneticPr fontId="2"/>
  </si>
  <si>
    <t>**shinsei_CHARGE_ID__bill__date</t>
  </si>
  <si>
    <t>**shinsei_CHARGE_ID__BASE_DATE</t>
  </si>
  <si>
    <t>**shinsei_CHARGE_ID__RECEIPT_DATE</t>
  </si>
  <si>
    <t>**shinsei_CHARGE_ID__RECEIPT_TO</t>
  </si>
  <si>
    <t>**shinsei_CHARGE_ID__DENPYOU_NO</t>
  </si>
  <si>
    <t>**shinsei_CHARGE_ID__cust__zip</t>
  </si>
  <si>
    <t>**shinsei_CHARGE_ID__cust__address</t>
  </si>
  <si>
    <t>**shinsei_CHARGE_ID__cust__caption</t>
  </si>
  <si>
    <t>**shinsei_CHARGE_ID__cust__tel</t>
  </si>
  <si>
    <t>**shinsei_CHARGE_ID__NOTE</t>
  </si>
  <si>
    <t>**shinsei_CHARGE_ID__RECEIPT_PRICE</t>
  </si>
  <si>
    <t>**shinsei_CHARGE_ID__BASIC_CHARGE</t>
  </si>
  <si>
    <t>**shinsei_CHARGE_ID__TIIKIWARIMASHI_SURYOU</t>
  </si>
  <si>
    <t>**shinsei_CHARGE_ID__TIIKIWARIMASHI_TANKA</t>
  </si>
  <si>
    <t>**shinsei_CHARGE_ID__TIIKIWARIMASHI_CHARGE</t>
  </si>
  <si>
    <t>**shinsei_CHARGE_ID__meisai01_ITEM_NAME</t>
  </si>
  <si>
    <t>**shinsei_CHARGE_ID__meisai01_SURYOU</t>
  </si>
  <si>
    <t>**shinsei_CHARGE_ID__meisai01_TANKA</t>
  </si>
  <si>
    <t>**shinsei_CHARGE_ID__meisai01_SYOUKEI</t>
  </si>
  <si>
    <t>**shinsei_CHARGE_ID__meisai02_ITEM_NAME</t>
  </si>
  <si>
    <t>**shinsei_CHARGE_ID__meisai02_SURYOU</t>
  </si>
  <si>
    <t>**shinsei_CHARGE_ID__meisai02_TANKA</t>
  </si>
  <si>
    <t>**shinsei_CHARGE_ID__meisai02_SYOUKEI</t>
  </si>
  <si>
    <t>**shinsei_CHARGE_ID__meisai03_ITEM_NAME</t>
  </si>
  <si>
    <t>**shinsei_CHARGE_ID__meisai03_SURYOU</t>
  </si>
  <si>
    <t>**shinsei_CHARGE_ID__meisai03_TANKA</t>
  </si>
  <si>
    <t>**shinsei_CHARGE_ID__meisai03_SYOUKEI</t>
  </si>
  <si>
    <t>**shinsei_CHARGE_ID__meisai04_ITEM_NAME</t>
  </si>
  <si>
    <t>**shinsei_CHARGE_ID__meisai04_SURYOU</t>
  </si>
  <si>
    <t>**shinsei_CHARGE_ID__meisai04_TANKA</t>
  </si>
  <si>
    <t>**shinsei_CHARGE_ID__meisai04_SYOUKEI</t>
  </si>
  <si>
    <t>**shinsei_CHARGE_ID__meisai05_ITEM_NAME</t>
  </si>
  <si>
    <t>**shinsei_CHARGE_ID__meisai05_SURYOU</t>
  </si>
  <si>
    <t>**shinsei_CHARGE_ID__meisai05_TANKA</t>
  </si>
  <si>
    <t>**shinsei_CHARGE_ID__meisai05_SYOUKEI</t>
  </si>
  <si>
    <t>**shinsei_CHARGE_ID__meisai06_ITEM_NAME</t>
  </si>
  <si>
    <t>**shinsei_CHARGE_ID__meisai06_SURYOU</t>
  </si>
  <si>
    <t>**shinsei_CHARGE_ID__meisai06_TANKA</t>
  </si>
  <si>
    <t>**shinsei_CHARGE_ID__meisai06_SYOUKEI</t>
  </si>
  <si>
    <t>**shinsei_CHARGE_ID__meisai07_ITEM_NAME</t>
  </si>
  <si>
    <t>**shinsei_CHARGE_ID__meisai07_SURYOU</t>
  </si>
  <si>
    <t>**shinsei_CHARGE_ID__meisai07_TANKA</t>
  </si>
  <si>
    <t>**shinsei_CHARGE_ID__meisai07_SYOUKEI</t>
  </si>
  <si>
    <t>**shinsei_CHARGE_ID__meisai08_ITEM_NAME</t>
  </si>
  <si>
    <t>**shinsei_CHARGE_ID__meisai08_SURYOU</t>
  </si>
  <si>
    <t>**shinsei_CHARGE_ID__meisai08_TANKA</t>
  </si>
  <si>
    <t>**shinsei_CHARGE_ID__meisai08_SYOUKEI</t>
  </si>
  <si>
    <t>**shinsei_CHARGE_ID__meisai09_ITEM_NAME</t>
  </si>
  <si>
    <t>**shinsei_CHARGE_ID__meisai09_SURYOU</t>
  </si>
  <si>
    <t>**shinsei_CHARGE_ID__meisai09_TANKA</t>
  </si>
  <si>
    <t>**shinsei_CHARGE_ID__meisai09_SYOUKEI</t>
  </si>
  <si>
    <t>**shinsei_CHARGE_ID__meisai10_ITEM_NAME</t>
  </si>
  <si>
    <t>**shinsei_CHARGE_ID__meisai10_SURYOU</t>
  </si>
  <si>
    <t>**shinsei_CHARGE_ID__meisai10_TANKA</t>
  </si>
  <si>
    <t>**shinsei_CHARGE_ID__meisai10_SYOUKEI</t>
  </si>
  <si>
    <t>**shinsei_CHARGE_ID__meisai11_ITEM_NAME</t>
  </si>
  <si>
    <t>**shinsei_CHARGE_ID__meisai11_SURYOU</t>
  </si>
  <si>
    <t>**shinsei_CHARGE_ID__meisai11_TANKA</t>
  </si>
  <si>
    <t>**shinsei_CHARGE_ID__meisai11_SYOUKEI</t>
  </si>
  <si>
    <t>**shinsei_CHARGE_ID__income01_INCOME_DATE</t>
  </si>
  <si>
    <t>**shinsei_CHARGE_ID__income02_INCOME_DATE</t>
  </si>
  <si>
    <t>**shinsei_CHARGE_ID__income03_INCOME_DATE</t>
  </si>
  <si>
    <t>**shinsei_CHARGE_ID__income01_INCOME_MONEY</t>
  </si>
  <si>
    <t>**shinsei_CHARGE_ID__income02_INCOME_MONEY</t>
  </si>
  <si>
    <t>**shinsei_CHARGE_ID__income03_INCOME_MONEY</t>
  </si>
  <si>
    <t>**shinsei_CHARGE_ID2__BILL_TYPE</t>
  </si>
  <si>
    <t>**shinsei_CHARGE_ID2__CASH_FLAG</t>
  </si>
  <si>
    <t>**shinsei_CHARGE_ID2__ENABLED</t>
  </si>
  <si>
    <t>**shinsei_CHARGE_ID2__BASE_DATE</t>
  </si>
  <si>
    <t>**shinsei_CHARGE_ID2__bill__no</t>
  </si>
  <si>
    <t>**shinsei_CHARGE_ID2__bill__date</t>
  </si>
  <si>
    <t>**shinsei_CHARGE_ID2__cust__zip</t>
  </si>
  <si>
    <t>**shinsei_CHARGE_ID2__cust__address</t>
  </si>
  <si>
    <t>**shinsei_CHARGE_ID2__cust__caption</t>
  </si>
  <si>
    <t>**shinsei_CHARGE_ID2__cust__tel</t>
  </si>
  <si>
    <t>**shinsei_CHARGE_ID2__RECEIPT_AREA</t>
  </si>
  <si>
    <t>**shinsei_CHARGE_ID2__ZERO_FLAG</t>
  </si>
  <si>
    <t>**shinsei_CHARGE_ID2__RECEIPT_PRICE</t>
  </si>
  <si>
    <t>**shinsei_CHARGE_ID2__RECEIPT_TO</t>
  </si>
  <si>
    <t>**shinsei_CHARGE_ID2__RECEIPT_DATE</t>
  </si>
  <si>
    <t>**shinsei_CHARGE_ID2__DENPYOU_PRICE</t>
  </si>
  <si>
    <t>**shinsei_CHARGE_ID2__DENPYOU_NO</t>
  </si>
  <si>
    <t>**shinsei_CHARGE_ID2__NOTE</t>
  </si>
  <si>
    <t>**shinsei_CHARGE_ID2__BASIC_CHARGE</t>
  </si>
  <si>
    <t>**shinsei_CHARGE_ID2__TIIKIWARIMASHI_CHARGE</t>
  </si>
  <si>
    <t>**shinsei_CHARGE_ID2__meisai01_ITEM_NAME</t>
  </si>
  <si>
    <t>**shinsei_CHARGE_ID2__meisai01_SYOUKEI</t>
  </si>
  <si>
    <t>**shinsei_CHARGE_ID2__meisai02_ITEM_NAME</t>
  </si>
  <si>
    <t>**shinsei_CHARGE_ID2__meisai02_SYOUKEI</t>
  </si>
  <si>
    <t>**shinsei_CHARGE_ID2__meisai03_ITEM_NAME</t>
  </si>
  <si>
    <t>**shinsei_CHARGE_ID2__meisai03_SYOUKEI</t>
  </si>
  <si>
    <t>**shinsei_CHARGE_ID2__meisai04_ITEM_NAME</t>
  </si>
  <si>
    <t>**shinsei_CHARGE_ID2__meisai04_SYOUKEI</t>
  </si>
  <si>
    <t>**shinsei_CHARGE_ID2__meisai05_ITEM_NAME</t>
  </si>
  <si>
    <t>**shinsei_CHARGE_ID2__meisai05_SYOUKEI</t>
  </si>
  <si>
    <t>**shinsei_CHARGE_ID2__meisai06_ITEM_NAME</t>
  </si>
  <si>
    <t>**shinsei_CHARGE_ID2__meisai06_SYOUKEI</t>
  </si>
  <si>
    <t>**shinsei_CHARGE_ID2__meisai07_ITEM_NAME</t>
  </si>
  <si>
    <t>**shinsei_CHARGE_ID2__meisai07_SYOUKEI</t>
  </si>
  <si>
    <t>**shinsei_CHARGE_ID2__meisai08_ITEM_NAME</t>
  </si>
  <si>
    <t>**shinsei_CHARGE_ID2__meisai08_SYOUKEI</t>
  </si>
  <si>
    <t>**shinsei_CHARGE_ID2__meisai09_ITEM_NAME</t>
  </si>
  <si>
    <t>**shinsei_CHARGE_ID2__meisai09_SYOUKEI</t>
  </si>
  <si>
    <t>**shinsei_CHARGE_ID2__meisai10_ITEM_NAME</t>
  </si>
  <si>
    <t>**shinsei_CHARGE_ID2__meisai10_SYOUKEI</t>
  </si>
  <si>
    <t>**shinsei_CHARGE_ID2__meisai11_ITEM_NAME</t>
  </si>
  <si>
    <t>**shinsei_CHARGE_ID2__meisai11_SYOUKEI</t>
  </si>
  <si>
    <t>**shinsei_CHARGE_ID2__STR_CHARGE</t>
  </si>
  <si>
    <t>**shinsei_CHARGE_ID3__BILL_TYPE</t>
  </si>
  <si>
    <t>**shinsei_CHARGE_ID3__CASH_FLAG</t>
  </si>
  <si>
    <t>**shinsei_CHARGE_ID3__ENABLED</t>
  </si>
  <si>
    <t>**shinsei_CHARGE_ID3__BASE_DATE</t>
  </si>
  <si>
    <t>**shinsei_CHARGE_ID3__bill__no</t>
  </si>
  <si>
    <t>**shinsei_CHARGE_ID3__bill__date</t>
  </si>
  <si>
    <t>**shinsei_CHARGE_ID3__cust__zip</t>
  </si>
  <si>
    <t>**shinsei_CHARGE_ID3__cust__address</t>
  </si>
  <si>
    <t>**shinsei_CHARGE_ID3__cust__caption</t>
  </si>
  <si>
    <t>**shinsei_CHARGE_ID3__cust__tel</t>
  </si>
  <si>
    <t>**shinsei_CHARGE_ID3__RECEIPT_AREA</t>
  </si>
  <si>
    <t>**shinsei_CHARGE_ID3__ZERO_FLAG</t>
  </si>
  <si>
    <t>**shinsei_CHARGE_ID3__RECEIPT_PRICE</t>
  </si>
  <si>
    <t>**shinsei_CHARGE_ID3__RECEIPT_TO</t>
  </si>
  <si>
    <t>**shinsei_CHARGE_ID3__RECEIPT_DATE</t>
  </si>
  <si>
    <t>**shinsei_CHARGE_ID3__DENPYOU_PRICE</t>
  </si>
  <si>
    <t>**shinsei_CHARGE_ID3__DENPYOU_NO</t>
  </si>
  <si>
    <t>**shinsei_CHARGE_ID3__NOTE</t>
  </si>
  <si>
    <t>**shinsei_CHARGE_ID3__BASIC_CHARGE</t>
  </si>
  <si>
    <t>**shinsei_CHARGE_ID3__TIIKIWARIMASHI_CHARGE</t>
  </si>
  <si>
    <t>**shinsei_CHARGE_ID3__meisai01_ITEM_NAME</t>
  </si>
  <si>
    <t>**shinsei_CHARGE_ID3__meisai01_SYOUKEI</t>
  </si>
  <si>
    <t>**shinsei_CHARGE_ID3__meisai02_ITEM_NAME</t>
  </si>
  <si>
    <t>**shinsei_CHARGE_ID3__meisai02_SYOUKEI</t>
  </si>
  <si>
    <t>**shinsei_CHARGE_ID3__meisai03_ITEM_NAME</t>
  </si>
  <si>
    <t>**shinsei_CHARGE_ID3__meisai03_SYOUKEI</t>
  </si>
  <si>
    <t>**shinsei_CHARGE_ID3__meisai04_ITEM_NAME</t>
  </si>
  <si>
    <t>**shinsei_CHARGE_ID3__meisai04_SYOUKEI</t>
  </si>
  <si>
    <t>**shinsei_CHARGE_ID3__meisai05_ITEM_NAME</t>
  </si>
  <si>
    <t>**shinsei_CHARGE_ID3__meisai05_SYOUKEI</t>
  </si>
  <si>
    <t>**shinsei_CHARGE_ID3__meisai06_ITEM_NAME</t>
  </si>
  <si>
    <t>**shinsei_CHARGE_ID3__meisai06_SYOUKEI</t>
  </si>
  <si>
    <t>**shinsei_CHARGE_ID3__meisai07_ITEM_NAME</t>
  </si>
  <si>
    <t>**shinsei_CHARGE_ID3__meisai07_SYOUKEI</t>
  </si>
  <si>
    <t>**shinsei_CHARGE_ID3__meisai08_ITEM_NAME</t>
  </si>
  <si>
    <t>**shinsei_sekkei11_NAME</t>
  </si>
  <si>
    <t>cst_shinsei_sekkei11_NAME</t>
  </si>
  <si>
    <t>**shinsei_sekkei11_JIMU_SIKAKU</t>
  </si>
  <si>
    <t>cst_shinsei_sekkei11_JIMU_SIKAKU</t>
  </si>
  <si>
    <t>**shinsei_sekkei11_JIMU_TOUROKU_KIKAN</t>
  </si>
  <si>
    <t>cst_shinsei_sekkei11_JIMU_TOUROKU_KIKAN</t>
  </si>
  <si>
    <t>**shinsei_sekkei11_JIMU_NO</t>
  </si>
  <si>
    <t>cst_shinsei_sekkei11_JIMU_NO</t>
  </si>
  <si>
    <t>【ﾊ.建築士事務所名】</t>
    <phoneticPr fontId="2"/>
  </si>
  <si>
    <t>**shinsei_sekkei11_JIMU_NAME</t>
  </si>
  <si>
    <t>cst_shinsei_sekkei11_JIMU_NAME</t>
  </si>
  <si>
    <t>**shinsei_sekkei11_POST_CODE</t>
  </si>
  <si>
    <t>cst_shinsei_sekkei11_POST_CODE</t>
  </si>
  <si>
    <t>**shinsei_sekkei11__address</t>
  </si>
  <si>
    <t>cst_shinsei_sekkei11__address</t>
  </si>
  <si>
    <t>【ﾍ.電話番号】</t>
    <phoneticPr fontId="2"/>
  </si>
  <si>
    <t>**shinsei_sekkei11_TEL</t>
  </si>
  <si>
    <t>cst_shinsei_sekkei11_TEL</t>
  </si>
  <si>
    <t>工事監理者</t>
    <rPh sb="0" eb="2">
      <t>コウジ</t>
    </rPh>
    <rPh sb="2" eb="5">
      <t>カンリシャ</t>
    </rPh>
    <phoneticPr fontId="2"/>
  </si>
  <si>
    <t>資格</t>
    <phoneticPr fontId="2"/>
  </si>
  <si>
    <t>cst_shinsei_KANRI_SIKAKU</t>
    <phoneticPr fontId="2"/>
  </si>
  <si>
    <t>cst_shinsei_KANRI_TOUROKU_KIKAN</t>
    <phoneticPr fontId="2"/>
  </si>
  <si>
    <t>-許可番号</t>
    <phoneticPr fontId="2"/>
  </si>
  <si>
    <t>cst_shinsei_KANRI_KENSETUSI_NO</t>
    <phoneticPr fontId="2"/>
  </si>
  <si>
    <t>氏名</t>
    <phoneticPr fontId="2"/>
  </si>
  <si>
    <t>cst_shinsei_KANRI_NAME</t>
    <phoneticPr fontId="2"/>
  </si>
  <si>
    <t>cst_shinsei_KANRI_JIMU_SIKAKU</t>
    <phoneticPr fontId="2"/>
  </si>
  <si>
    <t>cst_shinsei_KANRI_JIMU_TOUROKU_KIKAN</t>
    <phoneticPr fontId="2"/>
  </si>
  <si>
    <t>cst_shinsei_KANRI_JIMU_NO</t>
    <phoneticPr fontId="2"/>
  </si>
  <si>
    <t>建築士事務所名</t>
    <phoneticPr fontId="2"/>
  </si>
  <si>
    <t>建築士事務所名</t>
    <phoneticPr fontId="2"/>
  </si>
  <si>
    <t>cst_shinsei_KANRI_JIMU_NAME</t>
    <phoneticPr fontId="2"/>
  </si>
  <si>
    <t>郵便番号</t>
    <phoneticPr fontId="2"/>
  </si>
  <si>
    <t>cst_shinsei_KANRI_POST_CODE</t>
    <phoneticPr fontId="2"/>
  </si>
  <si>
    <t>所在地</t>
    <phoneticPr fontId="2"/>
  </si>
  <si>
    <t>所在地</t>
    <phoneticPr fontId="2"/>
  </si>
  <si>
    <t>cst_shinsei_KANRI__address</t>
    <phoneticPr fontId="2"/>
  </si>
  <si>
    <t>電話番号</t>
    <phoneticPr fontId="2"/>
  </si>
  <si>
    <t>cst_shinsei_KANRI_TEL</t>
    <phoneticPr fontId="2"/>
  </si>
  <si>
    <t>その他の工事監理者1</t>
    <rPh sb="2" eb="3">
      <t>タ</t>
    </rPh>
    <rPh sb="4" eb="6">
      <t>コウジ</t>
    </rPh>
    <rPh sb="6" eb="9">
      <t>カンリシャ</t>
    </rPh>
    <phoneticPr fontId="2"/>
  </si>
  <si>
    <t>**shinsei_KANRI1_SIKAKU</t>
  </si>
  <si>
    <t>cst_shinsei_KANRI1_SIKAKU</t>
  </si>
  <si>
    <t>**shinsei_KANRI1_TOUROKU_KIKAN</t>
  </si>
  <si>
    <t>cst_shinsei_KANRI1_TOUROKU_KIKAN</t>
  </si>
  <si>
    <t>**shinsei_KANRI1_KENSETUSI_NO</t>
  </si>
  <si>
    <t>cst_shinsei_KANRI1_KENSETUSI_NO</t>
  </si>
  <si>
    <t>**shinsei_KANRI1_NAME</t>
  </si>
  <si>
    <t>cst_shinsei_KANRI1_NAME</t>
  </si>
  <si>
    <t>**shinsei_KANRI1_JIMU_SIKAKU</t>
  </si>
  <si>
    <t>cst_shinsei_KANRI1_JIMU_SIKAKU</t>
  </si>
  <si>
    <t>**shinsei_KANRI1_JIMU_TOUROKU_KIKAN</t>
  </si>
  <si>
    <t>cst_shinsei_KANRI1_JIMU_TOUROKU_KIKAN</t>
  </si>
  <si>
    <t>**shinsei_KANRI1_JIMU_NO</t>
  </si>
  <si>
    <t>cst_shinsei_KANRI1_JIMU_NO</t>
  </si>
  <si>
    <t>建築士事務所名</t>
    <phoneticPr fontId="2"/>
  </si>
  <si>
    <t>**shinsei_KANRI1_JIMU_NAME</t>
  </si>
  <si>
    <t>cst_shinsei_KANRI1_JIMU_NAME</t>
  </si>
  <si>
    <t>**shinsei_KANRI1_POST_CODE</t>
  </si>
  <si>
    <t>cst_shinsei_KANRI1_POST_CODE</t>
  </si>
  <si>
    <t>**shinsei_KANRI1__address</t>
  </si>
  <si>
    <t>cst_shinsei_KANRI1__address</t>
  </si>
  <si>
    <t>電話番号</t>
    <phoneticPr fontId="2"/>
  </si>
  <si>
    <t>**shinsei_KANRI1_TEL</t>
  </si>
  <si>
    <t>cst_shinsei_KANRI1_TEL</t>
  </si>
  <si>
    <t>その他の工事監理者2</t>
    <rPh sb="2" eb="3">
      <t>タ</t>
    </rPh>
    <rPh sb="4" eb="6">
      <t>コウジ</t>
    </rPh>
    <rPh sb="6" eb="9">
      <t>カンリシャ</t>
    </rPh>
    <phoneticPr fontId="2"/>
  </si>
  <si>
    <t>**shinsei_KANRI2_SIKAKU</t>
  </si>
  <si>
    <t>cst_shinsei_KANRI2_SIKAKU</t>
  </si>
  <si>
    <t>**shinsei_KANRI2_TOUROKU_KIKAN</t>
  </si>
  <si>
    <t>cst_shinsei_KANRI2_TOUROKU_KIKAN</t>
  </si>
  <si>
    <t>-許可番号</t>
    <phoneticPr fontId="2"/>
  </si>
  <si>
    <t>**shinsei_KANRI2_KENSETUSI_NO</t>
  </si>
  <si>
    <t>cst_shinsei_KANRI2_KENSETUSI_NO</t>
    <phoneticPr fontId="2"/>
  </si>
  <si>
    <t>**shinsei_KANRI2_NAME</t>
  </si>
  <si>
    <t>cst_shinsei_KANRI2_NAME</t>
  </si>
  <si>
    <t>**shinsei_KANRI2_JIMU_SIKAKU</t>
  </si>
  <si>
    <t>cst_shinsei_KANRI2_JIMU_SIKAKU</t>
  </si>
  <si>
    <t>**shinsei_KANRI2_JIMU_TOUROKU_KIKAN</t>
  </si>
  <si>
    <t>cst_shinsei_KANRI2_JIMU_TOUROKU_KIKAN</t>
  </si>
  <si>
    <t>**shinsei_KANRI2_JIMU_NO</t>
  </si>
  <si>
    <t>cst_shinsei_KANRI2_JIMU_NO</t>
  </si>
  <si>
    <t>建築士事務所名</t>
    <phoneticPr fontId="2"/>
  </si>
  <si>
    <t>**shinsei_KANRI2_JIMU_NAME</t>
  </si>
  <si>
    <t>cst_shinsei_KANRI2_JIMU_NAME</t>
  </si>
  <si>
    <t>**shinsei_KANRI2_POST_CODE</t>
  </si>
  <si>
    <t>cst_shinsei_KANRI2_POST_CODE</t>
  </si>
  <si>
    <t>**shinsei_KANRI2__address</t>
  </si>
  <si>
    <t>cst_shinsei_KANRI2__address</t>
  </si>
  <si>
    <t>**shinsei_KANRI2_TEL</t>
  </si>
  <si>
    <t>cst_shinsei_KANRI2_TEL</t>
  </si>
  <si>
    <t>その他の工事監理者3</t>
    <rPh sb="2" eb="3">
      <t>タ</t>
    </rPh>
    <rPh sb="4" eb="6">
      <t>コウジ</t>
    </rPh>
    <rPh sb="6" eb="9">
      <t>カンリシャ</t>
    </rPh>
    <phoneticPr fontId="2"/>
  </si>
  <si>
    <t>**shinsei_KANRI3_SIKAKU</t>
  </si>
  <si>
    <t>cst_shinsei_KANRI3_SIKAKU</t>
  </si>
  <si>
    <t>**shinsei_KANRI3_TOUROKU_KIKAN</t>
  </si>
  <si>
    <t>cst_shinsei_KANRI3_TOUROKU_KIKAN</t>
  </si>
  <si>
    <t>-許可番号</t>
    <phoneticPr fontId="2"/>
  </si>
  <si>
    <t>**shinsei_KANRI3_KENSETUSI_NO</t>
  </si>
  <si>
    <t>cst_shinsei_KANRI3_KENSETUSI_NO</t>
  </si>
  <si>
    <t>氏名</t>
    <phoneticPr fontId="2"/>
  </si>
  <si>
    <t>**shinsei_KANRI3_NAME</t>
  </si>
  <si>
    <t>cst_shinsei_KANRI3_NAME</t>
  </si>
  <si>
    <t>【建築士事務所資格】</t>
    <phoneticPr fontId="2"/>
  </si>
  <si>
    <t>-資格</t>
    <phoneticPr fontId="2"/>
  </si>
  <si>
    <t>**shinsei_KANRI3_JIMU_SIKAKU</t>
  </si>
  <si>
    <t>cst_shinsei_KANRI3_JIMU_SIKAKU</t>
  </si>
  <si>
    <t>**shinsei_KANRI3_JIMU_TOUROKU_KIKAN</t>
  </si>
  <si>
    <t>cst_shinsei_KANRI3_JIMU_TOUROKU_KIKAN</t>
  </si>
  <si>
    <t>**shinsei_KANRI3_JIMU_NO</t>
  </si>
  <si>
    <t>cst_shinsei_KANRI3_JIMU_NO</t>
  </si>
  <si>
    <t>**shinsei_KANRI3_JIMU_NAME</t>
  </si>
  <si>
    <t>cst_shinsei_KANRI3_JIMU_NAME</t>
  </si>
  <si>
    <t>郵便番号</t>
    <phoneticPr fontId="2"/>
  </si>
  <si>
    <t>**shinsei_KANRI3_POST_CODE</t>
  </si>
  <si>
    <t>cst_shinsei_KANRI3_POST_CODE</t>
  </si>
  <si>
    <t>所在地</t>
    <phoneticPr fontId="2"/>
  </si>
  <si>
    <t>**shinsei_KANRI3__address</t>
  </si>
  <si>
    <t>cst_shinsei_KANRI3__address</t>
  </si>
  <si>
    <t>**shinsei_KANRI3_TEL</t>
  </si>
  <si>
    <t>cst_shinsei_KANRI3_TEL</t>
  </si>
  <si>
    <t>その他の工事監理者4</t>
    <rPh sb="2" eb="3">
      <t>タ</t>
    </rPh>
    <rPh sb="4" eb="6">
      <t>コウジ</t>
    </rPh>
    <rPh sb="6" eb="9">
      <t>カンリシャ</t>
    </rPh>
    <phoneticPr fontId="2"/>
  </si>
  <si>
    <t>**shinsei_kanri04_SIKAKU</t>
  </si>
  <si>
    <t>cst_shinsei_kanri04_SIKAKU</t>
  </si>
  <si>
    <t>**shinsei_kanri04_TOUROKU_KIKAN</t>
  </si>
  <si>
    <t>cst_shinsei_kanri04_TOUROKU_KIKAN</t>
  </si>
  <si>
    <t>**shinsei_kanri04_KENSETUSI_NO</t>
  </si>
  <si>
    <t>cst_shinsei_kanri04_KENSETUSI_NO</t>
  </si>
  <si>
    <t>**shinsei_kanri04_NAME</t>
  </si>
  <si>
    <t>cst_shinsei_kanri04_NAME</t>
  </si>
  <si>
    <t>【建築士事務所資格】</t>
    <phoneticPr fontId="2"/>
  </si>
  <si>
    <t>-資格</t>
    <phoneticPr fontId="2"/>
  </si>
  <si>
    <t>**shinsei_kanri04_JIMU_SIKAKU</t>
  </si>
  <si>
    <t>cst_shinsei_kanri04_JIMU_SIKAKU</t>
  </si>
  <si>
    <t>**shinsei_kanri04_JIMU_TOUROKU_KIKAN</t>
  </si>
  <si>
    <t>cst_shinsei_kanri04_JIMU_TOUROKU_KIKAN</t>
  </si>
  <si>
    <t>**shinsei_kanri04_JIMU_NO</t>
  </si>
  <si>
    <t>cst_shinsei_kanri04_JIMU_NO</t>
  </si>
  <si>
    <t>**shinsei_kanri04_JIMU_NAME</t>
  </si>
  <si>
    <t>cst_shinsei_kanri04_JIMU_NAME</t>
  </si>
  <si>
    <t>**shinsei_kanri04_POST_CODE</t>
  </si>
  <si>
    <t>cst_shinsei_kanri04_POST_CODE</t>
  </si>
  <si>
    <t>**shinsei_kanri04__address</t>
  </si>
  <si>
    <t>cst_shinsei_kanri04__address</t>
  </si>
  <si>
    <t>電話番号</t>
    <phoneticPr fontId="2"/>
  </si>
  <si>
    <t>**shinsei_kanri04_TEL</t>
  </si>
  <si>
    <t>cst_shinsei_kanri04_TEL</t>
  </si>
  <si>
    <t>その他の工事監理者5</t>
    <rPh sb="2" eb="3">
      <t>タ</t>
    </rPh>
    <rPh sb="4" eb="6">
      <t>コウジ</t>
    </rPh>
    <rPh sb="6" eb="9">
      <t>カンリシャ</t>
    </rPh>
    <phoneticPr fontId="2"/>
  </si>
  <si>
    <t>資格</t>
    <phoneticPr fontId="2"/>
  </si>
  <si>
    <t>-資格</t>
    <phoneticPr fontId="2"/>
  </si>
  <si>
    <t>**shinsei_kanri05_SIKAKU</t>
  </si>
  <si>
    <t>cst_shinsei_kanri05_SIKAKU</t>
  </si>
  <si>
    <t>-登録</t>
    <phoneticPr fontId="2"/>
  </si>
  <si>
    <t>**shinsei_kanri05_TOUROKU_KIKAN</t>
  </si>
  <si>
    <t>cst_shinsei_kanri05_TOUROKU_KIKAN</t>
  </si>
  <si>
    <t>**shinsei_kanri05_KENSETUSI_NO</t>
  </si>
  <si>
    <t>cst_shinsei_kanri05_KENSETUSI_NO</t>
  </si>
  <si>
    <t>**shinsei_kanri05_NAME</t>
  </si>
  <si>
    <t>cst_shinsei_kanri05_NAME</t>
  </si>
  <si>
    <t>**shinsei_kanri05_JIMU_SIKAKU</t>
  </si>
  <si>
    <t>cst_shinsei_kanri05_JIMU_SIKAKU</t>
  </si>
  <si>
    <t>**shinsei_kanri05_JIMU_TOUROKU_KIKAN</t>
  </si>
  <si>
    <t>cst_shinsei_kanri05_JIMU_TOUROKU_KIKAN</t>
  </si>
  <si>
    <t>-許可番号</t>
    <phoneticPr fontId="2"/>
  </si>
  <si>
    <t>**shinsei_kanri05_JIMU_NO</t>
  </si>
  <si>
    <t>cst_shinsei_kanri05_JIMU_NO</t>
  </si>
  <si>
    <t>建築士事務所名</t>
    <phoneticPr fontId="2"/>
  </si>
  <si>
    <t>**shinsei_kanri05_JIMU_NAME</t>
  </si>
  <si>
    <t>cst_shinsei_kanri05_JIMU_NAME</t>
  </si>
  <si>
    <t>郵便番号</t>
    <phoneticPr fontId="2"/>
  </si>
  <si>
    <t>**shinsei_kanri05_POST_CODE</t>
  </si>
  <si>
    <t>cst_shinsei_kanri05_POST_CODE</t>
  </si>
  <si>
    <t>所在地</t>
    <phoneticPr fontId="2"/>
  </si>
  <si>
    <t>**shinsei_kanri05__address</t>
  </si>
  <si>
    <t>cst_shinsei_kanri05__address</t>
  </si>
  <si>
    <t>**shinsei_kanri05_TEL</t>
  </si>
  <si>
    <t>cst_shinsei_kanri05_TEL</t>
  </si>
  <si>
    <t>その他の工事監理者6</t>
    <rPh sb="2" eb="3">
      <t>タ</t>
    </rPh>
    <rPh sb="4" eb="6">
      <t>コウジ</t>
    </rPh>
    <rPh sb="6" eb="9">
      <t>カンリシャ</t>
    </rPh>
    <phoneticPr fontId="2"/>
  </si>
  <si>
    <t>**shinsei_kanri06_SIKAKU</t>
  </si>
  <si>
    <t>cst_shinsei_kanri06_SIKAKU</t>
  </si>
  <si>
    <t>-登録</t>
    <phoneticPr fontId="2"/>
  </si>
  <si>
    <t>**shinsei_kanri06_TOUROKU_KIKAN</t>
  </si>
  <si>
    <t>cst_shinsei_kanri06_TOUROKU_KIKAN</t>
  </si>
  <si>
    <t>-許可番号</t>
    <phoneticPr fontId="2"/>
  </si>
  <si>
    <t>**shinsei_kanri06_KENSETUSI_NO</t>
  </si>
  <si>
    <t>cst_shinsei_kanri06_KENSETUSI_NO</t>
  </si>
  <si>
    <t>**shinsei_kanri06_NAME</t>
  </si>
  <si>
    <t>cst_shinsei_kanri06_NAME</t>
  </si>
  <si>
    <t>【建築士事務所資格】</t>
    <phoneticPr fontId="2"/>
  </si>
  <si>
    <t>**shinsei_kanri06_JIMU_SIKAKU</t>
  </si>
  <si>
    <t>cst_shinsei_kanri06_JIMU_SIKAKU</t>
  </si>
  <si>
    <t>**shinsei_kanri06_JIMU_TOUROKU_KIKAN</t>
  </si>
  <si>
    <t>cst_shinsei_kanri06_JIMU_TOUROKU_KIKAN</t>
  </si>
  <si>
    <t>**shinsei_kanri06_JIMU_NO</t>
  </si>
  <si>
    <t>cst_shinsei_kanri06_JIMU_NO</t>
  </si>
  <si>
    <t>**shinsei_kanri06_JIMU_NAME</t>
  </si>
  <si>
    <t>cst_shinsei_kanri06_JIMU_NAME</t>
  </si>
  <si>
    <t>**shinsei_kanri06_POST_CODE</t>
  </si>
  <si>
    <t>cst_shinsei_kanri06_POST_CODE</t>
  </si>
  <si>
    <t>**shinsei_kanri06__address</t>
  </si>
  <si>
    <t>cst_shinsei_kanri06__address</t>
  </si>
  <si>
    <t>電話番号</t>
    <phoneticPr fontId="2"/>
  </si>
  <si>
    <t>**shinsei_kanri06_TEL</t>
  </si>
  <si>
    <t>cst_shinsei_kanri06_TEL</t>
  </si>
  <si>
    <t>その他の工事監理者7</t>
    <rPh sb="2" eb="3">
      <t>タ</t>
    </rPh>
    <rPh sb="4" eb="6">
      <t>コウジ</t>
    </rPh>
    <rPh sb="6" eb="9">
      <t>カンリシャ</t>
    </rPh>
    <phoneticPr fontId="2"/>
  </si>
  <si>
    <t>資格</t>
    <phoneticPr fontId="2"/>
  </si>
  <si>
    <t>-資格</t>
    <phoneticPr fontId="2"/>
  </si>
  <si>
    <t>**shinsei_kanri07_SIKAKU</t>
  </si>
  <si>
    <t>cst_shinsei_kanri07_SIKAKU</t>
  </si>
  <si>
    <t>-登録</t>
    <phoneticPr fontId="2"/>
  </si>
  <si>
    <t>**shinsei_kanri07_TOUROKU_KIKAN</t>
  </si>
  <si>
    <t>cst_shinsei_kanri07_TOUROKU_KIKAN</t>
  </si>
  <si>
    <t>-許可番号</t>
    <phoneticPr fontId="2"/>
  </si>
  <si>
    <t>**shinsei_kanri07_KENSETUSI_NO</t>
  </si>
  <si>
    <t>cst_shinsei_kanri07_KENSETUSI_NO</t>
  </si>
  <si>
    <t>**shinsei_kanri07_NAME</t>
  </si>
  <si>
    <t>cst_shinsei_kanri07_NAME</t>
  </si>
  <si>
    <t>**shinsei_kanri07_JIMU_SIKAKU</t>
  </si>
  <si>
    <t>cst_shinsei_kanri07_JIMU_SIKAKU</t>
  </si>
  <si>
    <t>**shinsei_kanri07_JIMU_TOUROKU_KIKAN</t>
  </si>
  <si>
    <t>cst_shinsei_kanri07_JIMU_TOUROKU_KIKAN</t>
  </si>
  <si>
    <t>**shinsei_kanri07_JIMU_NO</t>
  </si>
  <si>
    <t>cst_shinsei_kanri07_JIMU_NO</t>
  </si>
  <si>
    <t>**shinsei_kanri07_JIMU_NAME</t>
  </si>
  <si>
    <t>cst_shinsei_kanri07_JIMU_NAME</t>
  </si>
  <si>
    <t>郵便番号</t>
    <phoneticPr fontId="2"/>
  </si>
  <si>
    <t>**shinsei_kanri07_POST_CODE</t>
  </si>
  <si>
    <t>cst_shinsei_kanri07_POST_CODE</t>
  </si>
  <si>
    <t>所在地</t>
    <phoneticPr fontId="2"/>
  </si>
  <si>
    <t>**shinsei_kanri07__address</t>
  </si>
  <si>
    <t>cst_shinsei_kanri07__address</t>
  </si>
  <si>
    <t>**shinsei_kanri07_TEL</t>
  </si>
  <si>
    <t>cst_shinsei_kanri07_TEL</t>
  </si>
  <si>
    <t>その他の工事監理者8</t>
    <rPh sb="2" eb="3">
      <t>タ</t>
    </rPh>
    <rPh sb="4" eb="6">
      <t>コウジ</t>
    </rPh>
    <rPh sb="6" eb="9">
      <t>カンリシャ</t>
    </rPh>
    <phoneticPr fontId="2"/>
  </si>
  <si>
    <t>**shinsei_kanri08_SIKAKU</t>
  </si>
  <si>
    <t>cst_shinsei_kanri08_SIKAKU</t>
  </si>
  <si>
    <t>**shinsei_kanri08_TOUROKU_KIKAN</t>
  </si>
  <si>
    <t>cst_shinsei_kanri08_TOUROKU_KIKAN</t>
  </si>
  <si>
    <t>**shinsei_kanri08_KENSETUSI_NO</t>
  </si>
  <si>
    <t>cst_shinsei_kanri08_KENSETUSI_NO</t>
  </si>
  <si>
    <t>氏名</t>
    <phoneticPr fontId="2"/>
  </si>
  <si>
    <t>**shinsei_kanri08_NAME</t>
  </si>
  <si>
    <t>cst_shinsei_kanri08_NAME</t>
  </si>
  <si>
    <t>【建築士事務所資格】</t>
    <phoneticPr fontId="2"/>
  </si>
  <si>
    <t>**shinsei_kanri08_JIMU_SIKAKU</t>
  </si>
  <si>
    <t>cst_shinsei_kanri08_JIMU_SIKAKU</t>
  </si>
  <si>
    <t>**shinsei_kanri08_JIMU_TOUROKU_KIKAN</t>
  </si>
  <si>
    <t>cst_shinsei_kanri08_JIMU_TOUROKU_KIKAN</t>
  </si>
  <si>
    <t>**shinsei_kanri08_JIMU_NO</t>
  </si>
  <si>
    <t>cst_shinsei_kanri08_JIMU_NO</t>
  </si>
  <si>
    <t>**shinsei_kanri08_JIMU_NAME</t>
  </si>
  <si>
    <t>cst_shinsei_kanri08_JIMU_NAME</t>
  </si>
  <si>
    <t>**shinsei_kanri08_POST_CODE</t>
  </si>
  <si>
    <t>cst_shinsei_kanri08_POST_CODE</t>
  </si>
  <si>
    <t>所在地</t>
    <phoneticPr fontId="2"/>
  </si>
  <si>
    <t>**shinsei_kanri08__address</t>
  </si>
  <si>
    <t>cst_shinsei_kanri08__address</t>
  </si>
  <si>
    <t>電話番号</t>
    <phoneticPr fontId="2"/>
  </si>
  <si>
    <t>**shinsei_kanri08_TEL</t>
  </si>
  <si>
    <t>cst_shinsei_kanri08_TEL</t>
  </si>
  <si>
    <t>その他の工事監理者9</t>
    <rPh sb="2" eb="3">
      <t>タ</t>
    </rPh>
    <rPh sb="4" eb="6">
      <t>コウジ</t>
    </rPh>
    <rPh sb="6" eb="9">
      <t>カンリシャ</t>
    </rPh>
    <phoneticPr fontId="2"/>
  </si>
  <si>
    <t>**shinsei_kanri09_SIKAKU</t>
  </si>
  <si>
    <t>cst_shinsei_kanri09_SIKAKU</t>
  </si>
  <si>
    <t>-登録</t>
    <phoneticPr fontId="2"/>
  </si>
  <si>
    <t>**shinsei_kanri09_TOUROKU_KIKAN</t>
  </si>
  <si>
    <t>cst_shinsei_kanri09_TOUROKU_KIKAN</t>
  </si>
  <si>
    <t>-許可番号</t>
    <phoneticPr fontId="2"/>
  </si>
  <si>
    <t>**shinsei_kanri09_KENSETUSI_NO</t>
  </si>
  <si>
    <t>cst_shinsei_kanri09_KENSETUSI_NO</t>
  </si>
  <si>
    <t>**shinsei_kanri09_NAME</t>
  </si>
  <si>
    <t>cst_shinsei_kanri09_NAME</t>
  </si>
  <si>
    <t>**shinsei_kanri09_JIMU_SIKAKU</t>
  </si>
  <si>
    <t>cst_shinsei_kanri09_JIMU_SIKAKU</t>
  </si>
  <si>
    <t>**shinsei_kanri09_JIMU_TOUROKU_KIKAN</t>
  </si>
  <si>
    <t>cst_shinsei_kanri09_JIMU_TOUROKU_KIKAN</t>
  </si>
  <si>
    <t>**shinsei_kanri09_JIMU_NO</t>
  </si>
  <si>
    <t>cst_shinsei_kanri09_JIMU_NO</t>
  </si>
  <si>
    <t>建築士事務所名</t>
    <phoneticPr fontId="2"/>
  </si>
  <si>
    <t>**shinsei_kanri09_JIMU_NAME</t>
  </si>
  <si>
    <t>cst_shinsei_kanri09_JIMU_NAME</t>
  </si>
  <si>
    <t>郵便番号</t>
    <phoneticPr fontId="2"/>
  </si>
  <si>
    <t>**shinsei_kanri09_POST_CODE</t>
  </si>
  <si>
    <t>cst_shinsei_kanri09_POST_CODE</t>
  </si>
  <si>
    <t>所在地</t>
    <phoneticPr fontId="2"/>
  </si>
  <si>
    <t>**shinsei_kanri09__address</t>
  </si>
  <si>
    <t>cst_shinsei_kanri09__address</t>
  </si>
  <si>
    <t>電話番号</t>
    <phoneticPr fontId="2"/>
  </si>
  <si>
    <t>**shinsei_kanri09_TEL</t>
  </si>
  <si>
    <t>cst_shinsei_kanri09_TEL</t>
  </si>
  <si>
    <t>その他の工事監理者10</t>
    <rPh sb="2" eb="3">
      <t>タ</t>
    </rPh>
    <rPh sb="4" eb="6">
      <t>コウジ</t>
    </rPh>
    <rPh sb="6" eb="9">
      <t>カンリシャ</t>
    </rPh>
    <phoneticPr fontId="2"/>
  </si>
  <si>
    <t>**shinsei_kanri10_SIKAKU</t>
  </si>
  <si>
    <t>cst_shinsei_kanri10_SIKAKU</t>
  </si>
  <si>
    <t>**shinsei_kanri10_TOUROKU_KIKAN</t>
  </si>
  <si>
    <t>cst_shinsei_kanri10_TOUROKU_KIKAN</t>
  </si>
  <si>
    <t>-許可番号</t>
    <phoneticPr fontId="2"/>
  </si>
  <si>
    <t>**shinsei_kanri10_KENSETUSI_NO</t>
  </si>
  <si>
    <t>cst_shinsei_kanri10_KENSETUSI_NO</t>
  </si>
  <si>
    <t>氏名</t>
    <phoneticPr fontId="2"/>
  </si>
  <si>
    <t>**shinsei_kanri10_NAME</t>
  </si>
  <si>
    <t>cst_shinsei_kanri10_NAME</t>
  </si>
  <si>
    <t>**shinsei_kanri10_JIMU_SIKAKU</t>
  </si>
  <si>
    <t>cst_shinsei_kanri10_JIMU_SIKAKU</t>
  </si>
  <si>
    <t>**shinsei_kanri10_JIMU_TOUROKU_KIKAN</t>
  </si>
  <si>
    <t>cst_shinsei_kanri10_JIMU_TOUROKU_KIKAN</t>
  </si>
  <si>
    <t>**shinsei_kanri10_JIMU_NO</t>
  </si>
  <si>
    <t>cst_shinsei_kanri10_JIMU_NO</t>
  </si>
  <si>
    <t>**shinsei_kanri10_JIMU_NAME</t>
  </si>
  <si>
    <t>cst_shinsei_kanri10_JIMU_NAME</t>
  </si>
  <si>
    <t>**shinsei_kanri10_POST_CODE</t>
  </si>
  <si>
    <t>cst_shinsei_kanri10_POST_CODE</t>
  </si>
  <si>
    <t>**shinsei_kanri10__address</t>
  </si>
  <si>
    <t>cst_shinsei_kanri10__address</t>
  </si>
  <si>
    <t>**shinsei_kanri10_TEL</t>
  </si>
  <si>
    <t>cst_shinsei_kanri10_TEL</t>
  </si>
  <si>
    <t>その他の工事監理者11</t>
    <rPh sb="2" eb="3">
      <t>タ</t>
    </rPh>
    <rPh sb="4" eb="6">
      <t>コウジ</t>
    </rPh>
    <rPh sb="6" eb="9">
      <t>カンリシャ</t>
    </rPh>
    <phoneticPr fontId="2"/>
  </si>
  <si>
    <t>資格</t>
    <phoneticPr fontId="2"/>
  </si>
  <si>
    <t>-資格</t>
    <phoneticPr fontId="2"/>
  </si>
  <si>
    <t>**shinsei_kanri11_SIKAKU</t>
  </si>
  <si>
    <t>cst_shinsei_kanri11_SIKAKU</t>
  </si>
  <si>
    <t>**shinsei_kanri11_TOUROKU_KIKAN</t>
  </si>
  <si>
    <t>cst_shinsei_kanri11_TOUROKU_KIKAN</t>
  </si>
  <si>
    <t>-許可番号</t>
    <phoneticPr fontId="2"/>
  </si>
  <si>
    <t>**shinsei_kanri11_KENSETUSI_NO</t>
  </si>
  <si>
    <t>cst_shinsei_kanri11_KENSETUSI_NO</t>
  </si>
  <si>
    <t>氏名</t>
    <phoneticPr fontId="2"/>
  </si>
  <si>
    <t>**shinsei_kanri11_NAME</t>
  </si>
  <si>
    <t>cst_shinsei_kanri11_NAME</t>
  </si>
  <si>
    <t>**shinsei_kanri11_JIMU_SIKAKU</t>
  </si>
  <si>
    <t>cst_shinsei_kanri11_JIMU_SIKAKU</t>
  </si>
  <si>
    <t>**shinsei_kanri11_JIMU_TOUROKU_KIKAN</t>
  </si>
  <si>
    <t>cst_shinsei_kanri11_JIMU_TOUROKU_KIKAN</t>
  </si>
  <si>
    <t>**shinsei_kanri11_JIMU_NO</t>
  </si>
  <si>
    <t>cst_shinsei_kanri11_JIMU_NO</t>
  </si>
  <si>
    <t>建築士事務所名</t>
    <phoneticPr fontId="2"/>
  </si>
  <si>
    <t>**shinsei_kanri11_JIMU_NAME</t>
  </si>
  <si>
    <t>cst_shinsei_kanri11_JIMU_NAME</t>
  </si>
  <si>
    <t>**shinsei_kanri11_POST_CODE</t>
  </si>
  <si>
    <t>cst_shinsei_kanri11_POST_CODE</t>
  </si>
  <si>
    <t>所在地</t>
    <phoneticPr fontId="2"/>
  </si>
  <si>
    <t>**shinsei_kanri11__address</t>
  </si>
  <si>
    <t>cst_shinsei_kanri11__address</t>
  </si>
  <si>
    <t>電話番号</t>
    <phoneticPr fontId="2"/>
  </si>
  <si>
    <t>**shinsei_kanri11_TEL</t>
  </si>
  <si>
    <t>cst_shinsei_kanri11_TEL</t>
  </si>
  <si>
    <t>工事施工者</t>
    <rPh sb="0" eb="2">
      <t>コウジ</t>
    </rPh>
    <rPh sb="2" eb="5">
      <t>セコウシャ</t>
    </rPh>
    <phoneticPr fontId="2"/>
  </si>
  <si>
    <t>**shinsei_SEKOU_NAME</t>
  </si>
  <si>
    <t>cst_shinsei_SEKOU_NAME</t>
    <phoneticPr fontId="2"/>
  </si>
  <si>
    <t>建設業の許可</t>
    <rPh sb="0" eb="3">
      <t>ケンセツギョウ</t>
    </rPh>
    <rPh sb="4" eb="6">
      <t>キョカ</t>
    </rPh>
    <phoneticPr fontId="2"/>
  </si>
  <si>
    <t>cst_shinsei_SEKOU_JIMU_TOUROKU_KIKAN</t>
    <phoneticPr fontId="2"/>
  </si>
  <si>
    <t>許可番号</t>
    <rPh sb="0" eb="2">
      <t>キョカ</t>
    </rPh>
    <rPh sb="2" eb="4">
      <t>バンゴウ</t>
    </rPh>
    <phoneticPr fontId="2"/>
  </si>
  <si>
    <t>cst_shinsei_SEKOU_JIMU_NO</t>
    <phoneticPr fontId="2"/>
  </si>
  <si>
    <t>営業所名</t>
    <phoneticPr fontId="2"/>
  </si>
  <si>
    <t>cst_shinsei_SEKOU_JIMU_NAME</t>
    <phoneticPr fontId="2"/>
  </si>
  <si>
    <t>所在地</t>
    <phoneticPr fontId="2"/>
  </si>
  <si>
    <t>cst_shinsei_SEKOU__address</t>
    <phoneticPr fontId="2"/>
  </si>
  <si>
    <t>所在地（住所２のみ）</t>
    <rPh sb="4" eb="6">
      <t>ジュウショ</t>
    </rPh>
    <phoneticPr fontId="2"/>
  </si>
  <si>
    <t>cst_shinsei_SEKOU_ADDRESS</t>
    <phoneticPr fontId="2"/>
  </si>
  <si>
    <t>電話番号</t>
    <phoneticPr fontId="2"/>
  </si>
  <si>
    <t>**shinsei_CHARGE_ID3__meisai08_SYOUKEI</t>
  </si>
  <si>
    <t>**shinsei_CHARGE_ID3__meisai09_ITEM_NAME</t>
  </si>
  <si>
    <t>**shinsei_CHARGE_ID3__meisai09_SYOUKEI</t>
  </si>
  <si>
    <t>**shinsei_CHARGE_ID3__meisai10_ITEM_NAME</t>
  </si>
  <si>
    <t>**shinsei_CHARGE_ID3__meisai10_SYOUKEI</t>
  </si>
  <si>
    <t>**shinsei_CHARGE_ID3__meisai11_ITEM_NAME</t>
  </si>
  <si>
    <t>**shinsei_CHARGE_ID3__meisai11_SYOUKEI</t>
  </si>
  <si>
    <t>**shinsei_CHARGE_ID3__STR_CHARGE</t>
  </si>
  <si>
    <t>**shinsei_CHARGE_ID__BILL_TYPE</t>
    <phoneticPr fontId="2"/>
  </si>
  <si>
    <t>**shinsei_STR_TOTAL_CHARGE</t>
    <phoneticPr fontId="2"/>
  </si>
  <si>
    <t>**shinsei_CHARGE_ID__STR_CHARGE_WARIMASHI</t>
    <phoneticPr fontId="2"/>
  </si>
  <si>
    <t>**shinsei_FD_FLAG</t>
    <phoneticPr fontId="2"/>
  </si>
  <si>
    <t>**charge_BASE_DATE</t>
    <phoneticPr fontId="2"/>
  </si>
  <si>
    <t>**charge_cust__caption</t>
    <phoneticPr fontId="2"/>
  </si>
  <si>
    <t>**charge_RECEIPT_PRICE</t>
    <phoneticPr fontId="2"/>
  </si>
  <si>
    <t>**charge_RECEIPT_TO</t>
    <phoneticPr fontId="2"/>
  </si>
  <si>
    <t>**charge_RECEIPT_DATE</t>
    <phoneticPr fontId="2"/>
  </si>
  <si>
    <t>**charge_NOTE</t>
    <phoneticPr fontId="2"/>
  </si>
  <si>
    <t>**charge_DETAIL_BIKO</t>
    <phoneticPr fontId="2"/>
  </si>
  <si>
    <t>**charge_BASIC_CHARGE</t>
    <phoneticPr fontId="2"/>
  </si>
  <si>
    <t>**charge_STR_SIHARAI_DATE</t>
    <phoneticPr fontId="2"/>
  </si>
  <si>
    <t>**charge_STR_CHARGE</t>
    <phoneticPr fontId="2"/>
  </si>
  <si>
    <t>**charge_STR_CHARGE_WARIMASHI</t>
    <phoneticPr fontId="2"/>
  </si>
  <si>
    <t>**charge_TIIKIWARIMASHI_CHARGE</t>
    <phoneticPr fontId="2"/>
  </si>
  <si>
    <t>**charge_meisai01_ITEM_NAME</t>
    <phoneticPr fontId="2"/>
  </si>
  <si>
    <t>**charge_meisai01_SYOUKEI</t>
    <phoneticPr fontId="2"/>
  </si>
  <si>
    <t>**charge_meisai02_ITEM_NAME</t>
    <phoneticPr fontId="2"/>
  </si>
  <si>
    <t>**charge_meisai02_SYOUKEI</t>
    <phoneticPr fontId="2"/>
  </si>
  <si>
    <t>**charge_meisai03_ITEM_NAME</t>
    <phoneticPr fontId="2"/>
  </si>
  <si>
    <t>**charge_meisai03_SYOUKEI</t>
    <phoneticPr fontId="2"/>
  </si>
  <si>
    <t>**charge_meisai04_ITEM_NAME</t>
    <phoneticPr fontId="2"/>
  </si>
  <si>
    <t>**charge_meisai04_SYOUKEI</t>
    <phoneticPr fontId="2"/>
  </si>
  <si>
    <t>**charge_meisai05_ITEM_NAME</t>
    <phoneticPr fontId="2"/>
  </si>
  <si>
    <t>**charge_meisai05_SYOUKEI</t>
    <phoneticPr fontId="2"/>
  </si>
  <si>
    <t>**charge_meisai06_ITEM_NAME</t>
    <phoneticPr fontId="2"/>
  </si>
  <si>
    <t>**charge_meisai06_SYOUKEI</t>
    <phoneticPr fontId="2"/>
  </si>
  <si>
    <t>**charge_meisai07_ITEM_NAME</t>
    <phoneticPr fontId="2"/>
  </si>
  <si>
    <t>**charge_meisai07_SYOUKEI</t>
    <phoneticPr fontId="2"/>
  </si>
  <si>
    <t>**charge_meisai08_ITEM_NAME</t>
    <phoneticPr fontId="2"/>
  </si>
  <si>
    <t>**charge_meisai08_SYOUKEI</t>
    <phoneticPr fontId="2"/>
  </si>
  <si>
    <t>**charge_meisai09_ITEM_NAME</t>
    <phoneticPr fontId="2"/>
  </si>
  <si>
    <t>**charge_meisai09_SYOUKEI</t>
    <phoneticPr fontId="2"/>
  </si>
  <si>
    <t>**charge_meisai10_ITEM_NAME</t>
    <phoneticPr fontId="2"/>
  </si>
  <si>
    <t>**charge_meisai10_SYOUKEI</t>
    <phoneticPr fontId="2"/>
  </si>
  <si>
    <t>**charge_meisai11_ITEM_NAME</t>
    <phoneticPr fontId="2"/>
  </si>
  <si>
    <t>**charge_meisai11_SYOUKEI</t>
    <phoneticPr fontId="2"/>
  </si>
  <si>
    <t>**charge_income01_INCOME_DATE</t>
    <phoneticPr fontId="2"/>
  </si>
  <si>
    <t>**charge_income02_INCOME_DATE</t>
    <phoneticPr fontId="2"/>
  </si>
  <si>
    <t>**charge_income03_INCOME_DATE</t>
    <phoneticPr fontId="2"/>
  </si>
  <si>
    <t>**charge_income01_INCOME_MONEY</t>
    <phoneticPr fontId="2"/>
  </si>
  <si>
    <t>**charge_income02_INCOME_MONEY</t>
    <phoneticPr fontId="2"/>
  </si>
  <si>
    <t>**charge_income03_INCOME_MONEY</t>
    <phoneticPr fontId="2"/>
  </si>
  <si>
    <t>**charge_strtower01_CHARGE</t>
    <phoneticPr fontId="2"/>
  </si>
  <si>
    <t>**charge_strtower01_CHARGE_WARIMASHI</t>
    <phoneticPr fontId="2"/>
  </si>
  <si>
    <t>**charge_strtower01_CHARGE_TOTAL</t>
    <phoneticPr fontId="2"/>
  </si>
  <si>
    <t>**charge_strtower02_CHARGE</t>
    <phoneticPr fontId="2"/>
  </si>
  <si>
    <t>**charge_strtower02_CHARGE_WARIMASHI</t>
    <phoneticPr fontId="2"/>
  </si>
  <si>
    <t>**charge_strtower02_CHARGE_TOTAL</t>
    <phoneticPr fontId="2"/>
  </si>
  <si>
    <t>**charge_strtower03_CHARGE</t>
    <phoneticPr fontId="2"/>
  </si>
  <si>
    <t>**charge_strtower03_CHARGE_WARIMASHI</t>
    <phoneticPr fontId="2"/>
  </si>
  <si>
    <t>**charge_strtower03_CHARGE_TOTAL</t>
    <phoneticPr fontId="2"/>
  </si>
  <si>
    <t>**charge_strtower04_CHARGE</t>
    <phoneticPr fontId="2"/>
  </si>
  <si>
    <t>**charge_strtower04_CHARGE_WARIMASHI</t>
    <phoneticPr fontId="2"/>
  </si>
  <si>
    <t>**charge_strtower04_CHARGE_TOTAL</t>
    <phoneticPr fontId="2"/>
  </si>
  <si>
    <t>**charge_strtower05_CHARGE</t>
    <phoneticPr fontId="2"/>
  </si>
  <si>
    <t>**charge_strtower05_CHARGE_WARIMASHI</t>
    <phoneticPr fontId="2"/>
  </si>
  <si>
    <t>**charge_strtower05_CHARGE_TOTAL</t>
    <phoneticPr fontId="2"/>
  </si>
  <si>
    <t>**charge_strtower06_CHARGE</t>
    <phoneticPr fontId="2"/>
  </si>
  <si>
    <t>**charge_strtower06_CHARGE_WARIMASHI</t>
    <phoneticPr fontId="2"/>
  </si>
  <si>
    <t>**charge_strtower06_CHARGE_TOTAL</t>
    <phoneticPr fontId="2"/>
  </si>
  <si>
    <t>**charge_strtower07_CHARGE</t>
    <phoneticPr fontId="2"/>
  </si>
  <si>
    <t>**charge_strtower07_CHARGE_WARIMASHI</t>
    <phoneticPr fontId="2"/>
  </si>
  <si>
    <t>**charge_strtower07_CHARGE_TOTAL</t>
    <phoneticPr fontId="2"/>
  </si>
  <si>
    <t>**charge_strtower08_CHARGE_WARIMASHI</t>
    <phoneticPr fontId="2"/>
  </si>
  <si>
    <t>**charge_strtower08_CHARGE</t>
    <phoneticPr fontId="2"/>
  </si>
  <si>
    <t>**charge_strtower08_CHARGE_TOTAL</t>
    <phoneticPr fontId="2"/>
  </si>
  <si>
    <t>**charge_strtower09_CHARGE</t>
    <phoneticPr fontId="2"/>
  </si>
  <si>
    <t>**charge_strtower09_CHARGE_WARIMASHI</t>
    <phoneticPr fontId="2"/>
  </si>
  <si>
    <t>**charge_strtower09_CHARGE_TOTAL</t>
    <phoneticPr fontId="2"/>
  </si>
  <si>
    <t>**charge_strtower10_CHARGE</t>
    <phoneticPr fontId="2"/>
  </si>
  <si>
    <t>**charge_strtower10_CHARGE_WARIMASHI</t>
    <phoneticPr fontId="2"/>
  </si>
  <si>
    <t>**charge_strtower10_CHARGE_TOTAL</t>
    <phoneticPr fontId="2"/>
  </si>
  <si>
    <t>**charge_strtower11_CHARGE</t>
    <phoneticPr fontId="2"/>
  </si>
  <si>
    <t>**charge_strtower11_CHARGE_WARIMASHI</t>
    <phoneticPr fontId="2"/>
  </si>
  <si>
    <t>**charge_strtower11_CHARGE_TOTAL</t>
    <phoneticPr fontId="2"/>
  </si>
  <si>
    <t>**charge_strtower12_CHARGE</t>
    <phoneticPr fontId="2"/>
  </si>
  <si>
    <t>**charge_strtower12_CHARGE_WARIMASHI</t>
    <phoneticPr fontId="2"/>
  </si>
  <si>
    <t>**charge_strtower12_CHARGE_TOTAL</t>
    <phoneticPr fontId="2"/>
  </si>
  <si>
    <t>**charge_strtower13_CHARGE</t>
    <phoneticPr fontId="2"/>
  </si>
  <si>
    <t>**charge_strtower13_CHARGE_WARIMASHI</t>
    <phoneticPr fontId="2"/>
  </si>
  <si>
    <t>**charge_strtower13_CHARGE_TOTAL</t>
    <phoneticPr fontId="2"/>
  </si>
  <si>
    <t>**charge_strtower14_CHARGE</t>
    <phoneticPr fontId="2"/>
  </si>
  <si>
    <t>**charge_strtower14_CHARGE_WARIMASHI</t>
    <phoneticPr fontId="2"/>
  </si>
  <si>
    <t>**charge_strtower14_CHARGE_TOTAL</t>
    <phoneticPr fontId="2"/>
  </si>
  <si>
    <t>**charge_strtower15_CHARGE</t>
    <phoneticPr fontId="2"/>
  </si>
  <si>
    <t>**charge_strtower15_CHARGE_WARIMASHI</t>
    <phoneticPr fontId="2"/>
  </si>
  <si>
    <t>**charge_strtower15_CHARGE_TOTAL</t>
    <phoneticPr fontId="2"/>
  </si>
  <si>
    <t>**charge_strtower16_CHARGE</t>
    <phoneticPr fontId="2"/>
  </si>
  <si>
    <t>**charge_strtower16_CHARGE_WARIMASHI</t>
    <phoneticPr fontId="2"/>
  </si>
  <si>
    <t>**charge_strtower16_CHARGE_TOTAL</t>
    <phoneticPr fontId="2"/>
  </si>
  <si>
    <t>**charge_strtower17_CHARGE</t>
    <phoneticPr fontId="2"/>
  </si>
  <si>
    <t>**charge_strtower17_CHARGE_WARIMASHI</t>
    <phoneticPr fontId="2"/>
  </si>
  <si>
    <t>**charge_strtower17_CHARGE_TOTAL</t>
    <phoneticPr fontId="2"/>
  </si>
  <si>
    <t>**charge_strtower18_CHARGE</t>
    <phoneticPr fontId="2"/>
  </si>
  <si>
    <t>**charge_strtower18_CHARGE_WARIMASHI</t>
    <phoneticPr fontId="2"/>
  </si>
  <si>
    <t>**charge_strtower18_CHARGE_TOTAL</t>
    <phoneticPr fontId="2"/>
  </si>
  <si>
    <t>**charge_strtower19_CHARGE</t>
    <phoneticPr fontId="2"/>
  </si>
  <si>
    <t>**charge_strtower19_CHARGE_WARIMASHI</t>
    <phoneticPr fontId="2"/>
  </si>
  <si>
    <t>**charge_strtower19_CHARGE_TOTAL</t>
    <phoneticPr fontId="2"/>
  </si>
  <si>
    <t>**charge_strtower20_CHARGE</t>
    <phoneticPr fontId="2"/>
  </si>
  <si>
    <t>**charge_strtower20_CHARGE_WARIMASHI</t>
    <phoneticPr fontId="2"/>
  </si>
  <si>
    <t>**charge_strtower20_CHARGE_TOTAL</t>
    <phoneticPr fontId="2"/>
  </si>
  <si>
    <t>**charge_strtower21_CHARGE</t>
    <phoneticPr fontId="2"/>
  </si>
  <si>
    <t>**charge_strtower21_CHARGE_WARIMASHI</t>
    <phoneticPr fontId="2"/>
  </si>
  <si>
    <t>**charge_strtower21_CHARGE_TOTAL</t>
    <phoneticPr fontId="2"/>
  </si>
  <si>
    <t>**charge_strtower22_CHARGE</t>
    <phoneticPr fontId="2"/>
  </si>
  <si>
    <t>**charge_strtower22_CHARGE_WARIMASHI</t>
    <phoneticPr fontId="2"/>
  </si>
  <si>
    <t>**charge_strtower22_CHARGE_TOTAL</t>
    <phoneticPr fontId="2"/>
  </si>
  <si>
    <t>**charge_strtower23_CHARGE</t>
    <phoneticPr fontId="2"/>
  </si>
  <si>
    <t>**charge_strtower23_CHARGE_WARIMASHI</t>
    <phoneticPr fontId="2"/>
  </si>
  <si>
    <t>**charge_strtower23_CHARGE_TOTAL</t>
    <phoneticPr fontId="2"/>
  </si>
  <si>
    <t>**charge_strtower24_CHARGE</t>
    <phoneticPr fontId="2"/>
  </si>
  <si>
    <t>**charge_strtower24_CHARGE_WARIMASHI</t>
    <phoneticPr fontId="2"/>
  </si>
  <si>
    <t>**charge_strtower24_CHARGE_TOTAL</t>
    <phoneticPr fontId="2"/>
  </si>
  <si>
    <t>**charge_strtower25_CHARGE_WARIMASHI</t>
    <phoneticPr fontId="2"/>
  </si>
  <si>
    <t>**charge_strtower25_CHARGE</t>
    <phoneticPr fontId="2"/>
  </si>
  <si>
    <t>**charge_strtower25_CHARGE_TOTAL</t>
    <phoneticPr fontId="2"/>
  </si>
  <si>
    <t>**charge_strtower26_CHARGE</t>
    <phoneticPr fontId="2"/>
  </si>
  <si>
    <t>**charge_strtower26_CHARGE_WARIMASHI</t>
    <phoneticPr fontId="2"/>
  </si>
  <si>
    <t>**charge_strtower26_CHARGE_TOTAL</t>
    <phoneticPr fontId="2"/>
  </si>
  <si>
    <t>**charge_strtower27_CHARGE</t>
    <phoneticPr fontId="2"/>
  </si>
  <si>
    <t>**charge_strtower27_CHARGE_WARIMASHI</t>
    <phoneticPr fontId="2"/>
  </si>
  <si>
    <t>**charge_strtower27_CHARGE_TOTAL</t>
    <phoneticPr fontId="2"/>
  </si>
  <si>
    <t>**charge_strtower28_CHARGE</t>
    <phoneticPr fontId="2"/>
  </si>
  <si>
    <t>**charge_strtower28_CHARGE_WARIMASHI</t>
    <phoneticPr fontId="2"/>
  </si>
  <si>
    <t>**charge_strtower28_CHARGE_TOTAL</t>
    <phoneticPr fontId="2"/>
  </si>
  <si>
    <t>**charge_strtower29_CHARGE</t>
    <phoneticPr fontId="2"/>
  </si>
  <si>
    <t>**charge_strtower29_CHARGE_WARIMASHI</t>
    <phoneticPr fontId="2"/>
  </si>
  <si>
    <t>**charge_strtower29_CHARGE_TOTAL</t>
    <phoneticPr fontId="2"/>
  </si>
  <si>
    <t>**charge_strtower30_CHARGE</t>
    <phoneticPr fontId="2"/>
  </si>
  <si>
    <t>**charge_strtower30_CHARGE_WARIMASHI</t>
    <phoneticPr fontId="2"/>
  </si>
  <si>
    <t>**charge_strtower30_CHARGE_TOTAL</t>
    <phoneticPr fontId="2"/>
  </si>
  <si>
    <t>cst_shinsei_REPORT_DEST_NAME__decision</t>
    <phoneticPr fontId="2"/>
  </si>
  <si>
    <t>cst_shinsei_REPORT_DEST_GYOUSEI_NAME__decision</t>
    <phoneticPr fontId="2"/>
  </si>
  <si>
    <t>cst_RENRAKUSAKI_KOUZOU_TANTOU_EMAIL</t>
    <phoneticPr fontId="2"/>
  </si>
  <si>
    <t>cst_RENRAKUSAKI_KOUZOU_TANTOU_LinkCell</t>
    <phoneticPr fontId="2"/>
  </si>
  <si>
    <t>cst_Bunsho_NO_chouhyou__sign_part</t>
    <phoneticPr fontId="2"/>
  </si>
  <si>
    <t>**charge_CASH_FLAG</t>
    <phoneticPr fontId="2"/>
  </si>
  <si>
    <t>**charge_meisai02_TANKA</t>
    <phoneticPr fontId="2"/>
  </si>
  <si>
    <t>**charge_meisai03_TANKA</t>
    <phoneticPr fontId="2"/>
  </si>
  <si>
    <t>**charge_meisai07_TANKA</t>
    <phoneticPr fontId="2"/>
  </si>
  <si>
    <t>**charge_meisai10_SURYOU</t>
    <phoneticPr fontId="2"/>
  </si>
  <si>
    <t>cst_charge_income_INCOME_MONEY</t>
    <phoneticPr fontId="2"/>
  </si>
  <si>
    <t>_print_time</t>
  </si>
  <si>
    <t>データ作成日</t>
    <rPh sb="3" eb="6">
      <t>サクセイビ</t>
    </rPh>
    <phoneticPr fontId="2"/>
  </si>
  <si>
    <t>don_SEARCH_DATE__print_time</t>
    <phoneticPr fontId="2"/>
  </si>
  <si>
    <t>don_SEARCH_RESOLT__print_time</t>
    <phoneticPr fontId="2"/>
  </si>
  <si>
    <t>don_OFFICE_NAME_CORP_TYPE__print_time</t>
    <phoneticPr fontId="2"/>
  </si>
  <si>
    <t>don_OFFICE_OFFICE_CORP_NAME__print_time</t>
    <phoneticPr fontId="2"/>
  </si>
  <si>
    <t>don_OFFICE_DAIHYOUSYA__print_time</t>
    <phoneticPr fontId="2"/>
  </si>
  <si>
    <t>don_OFFICE_TANTOU__print_time</t>
    <phoneticPr fontId="2"/>
  </si>
  <si>
    <t>**shinsei_ACCEPT_JUDGE_STRUCT_TAIOUDO</t>
  </si>
  <si>
    <t>**shinsei_ANZEN_SHINSA_FLAG</t>
  </si>
  <si>
    <t>**shinsei_**shinsei_KIND</t>
  </si>
  <si>
    <t>**shinsei_strtower01_CHARGE_SANTEI_MENSEKI</t>
  </si>
  <si>
    <t>**shinsei_strtower02_CHARGE_SANTEI_MENSEKI</t>
  </si>
  <si>
    <t>**shinsei_strtower03_CHARGE_SANTEI_MENSEKI</t>
  </si>
  <si>
    <t>**shinsei_strtower04_CHARGE_SANTEI_MENSEKI</t>
  </si>
  <si>
    <t>**shinsei_strtower05_CHARGE_SANTEI_MENSEKI</t>
  </si>
  <si>
    <t>end</t>
    <phoneticPr fontId="2"/>
  </si>
  <si>
    <t>入力チェック</t>
    <rPh sb="0" eb="2">
      <t>ニュウリョク</t>
    </rPh>
    <phoneticPr fontId="2"/>
  </si>
  <si>
    <t>発行日：</t>
    <rPh sb="0" eb="3">
      <t>ハッコウビ</t>
    </rPh>
    <phoneticPr fontId="2"/>
  </si>
  <si>
    <t>工事名称</t>
    <rPh sb="0" eb="2">
      <t>コウジ</t>
    </rPh>
    <rPh sb="2" eb="4">
      <t>メイショウ</t>
    </rPh>
    <phoneticPr fontId="2"/>
  </si>
  <si>
    <t>―</t>
    <phoneticPr fontId="2"/>
  </si>
  <si>
    <t>（振込み手数料は振込み人のご負担とさせていただきますのでご了承ください。）</t>
    <phoneticPr fontId="2"/>
  </si>
  <si>
    <t>銀行口座</t>
    <rPh sb="0" eb="2">
      <t>ギンコウ</t>
    </rPh>
    <rPh sb="2" eb="4">
      <t>コウザ</t>
    </rPh>
    <phoneticPr fontId="2"/>
  </si>
  <si>
    <t>㈱国際確認検査センター　宛</t>
  </si>
  <si>
    <t>振込用紙控え貼り付け欄</t>
    <rPh sb="0" eb="2">
      <t>フリコミ</t>
    </rPh>
    <rPh sb="2" eb="4">
      <t>ヨウシ</t>
    </rPh>
    <rPh sb="4" eb="5">
      <t>ヒカ</t>
    </rPh>
    <rPh sb="6" eb="7">
      <t>ハ</t>
    </rPh>
    <rPh sb="8" eb="9">
      <t>ツ</t>
    </rPh>
    <rPh sb="10" eb="11">
      <t>ラン</t>
    </rPh>
    <phoneticPr fontId="2"/>
  </si>
  <si>
    <t>ＣＩＡＳ処理欄</t>
    <rPh sb="4" eb="6">
      <t>ショリ</t>
    </rPh>
    <rPh sb="6" eb="7">
      <t>ラン</t>
    </rPh>
    <phoneticPr fontId="2"/>
  </si>
  <si>
    <t>受付担当者</t>
    <rPh sb="0" eb="2">
      <t>ウケツケ</t>
    </rPh>
    <phoneticPr fontId="2"/>
  </si>
  <si>
    <t>振込後この請求書に振込用紙控えを添付しFAXでお送り下さい。</t>
    <rPh sb="5" eb="8">
      <t>セイキュウショ</t>
    </rPh>
    <phoneticPr fontId="2"/>
  </si>
  <si>
    <t>※この欄に入らない場合は本紙と共に別紙にてＦＡＸ下さい。</t>
    <phoneticPr fontId="2"/>
  </si>
  <si>
    <t>入金確認</t>
    <rPh sb="0" eb="2">
      <t>ニュウキン</t>
    </rPh>
    <rPh sb="2" eb="4">
      <t>カクニン</t>
    </rPh>
    <phoneticPr fontId="2"/>
  </si>
  <si>
    <t>採用している床面積</t>
    <rPh sb="0" eb="2">
      <t>サイヨウ</t>
    </rPh>
    <rPh sb="6" eb="9">
      <t>ユカメンセキ</t>
    </rPh>
    <phoneticPr fontId="2"/>
  </si>
  <si>
    <t>避難安全検証法</t>
    <rPh sb="0" eb="2">
      <t>ヒナン</t>
    </rPh>
    <rPh sb="2" eb="4">
      <t>アンゼン</t>
    </rPh>
    <rPh sb="4" eb="7">
      <t>ケンショウホウ</t>
    </rPh>
    <phoneticPr fontId="2"/>
  </si>
  <si>
    <t>耐火・防火区画性能検証法</t>
    <rPh sb="0" eb="2">
      <t>タイカ</t>
    </rPh>
    <rPh sb="3" eb="5">
      <t>ボウカ</t>
    </rPh>
    <rPh sb="5" eb="7">
      <t>クカク</t>
    </rPh>
    <rPh sb="7" eb="9">
      <t>セイノウ</t>
    </rPh>
    <rPh sb="9" eb="12">
      <t>ケンショウホウ</t>
    </rPh>
    <phoneticPr fontId="2"/>
  </si>
  <si>
    <t>限界耐力計算法・ｴﾈﾙｷﾞｰ法</t>
    <rPh sb="0" eb="2">
      <t>ゲンカイ</t>
    </rPh>
    <rPh sb="2" eb="4">
      <t>タイリョク</t>
    </rPh>
    <rPh sb="4" eb="7">
      <t>ケイサンホウ</t>
    </rPh>
    <rPh sb="14" eb="15">
      <t>ホウ</t>
    </rPh>
    <phoneticPr fontId="2"/>
  </si>
  <si>
    <t>申請手数料算定表（当社記入欄）</t>
    <rPh sb="0" eb="2">
      <t>シンセイ</t>
    </rPh>
    <rPh sb="2" eb="5">
      <t>テスウリョウ</t>
    </rPh>
    <rPh sb="5" eb="7">
      <t>サンテイ</t>
    </rPh>
    <rPh sb="7" eb="8">
      <t>ヒョウ</t>
    </rPh>
    <phoneticPr fontId="2"/>
  </si>
  <si>
    <t>Ａ</t>
    <phoneticPr fontId="2"/>
  </si>
  <si>
    <t>Ａ’</t>
    <phoneticPr fontId="2"/>
  </si>
  <si>
    <t>確認申請手数料（審査対象面積</t>
    <rPh sb="8" eb="10">
      <t>シンサ</t>
    </rPh>
    <rPh sb="10" eb="12">
      <t>タイショウ</t>
    </rPh>
    <rPh sb="12" eb="14">
      <t>メンセキ</t>
    </rPh>
    <phoneticPr fontId="2"/>
  </si>
  <si>
    <t>㎡）</t>
    <phoneticPr fontId="2"/>
  </si>
  <si>
    <t>Ｂ</t>
    <phoneticPr fontId="2"/>
  </si>
  <si>
    <r>
      <t>計画変更</t>
    </r>
    <r>
      <rPr>
        <sz val="9"/>
        <rFont val="ＭＳ Ｐ明朝"/>
        <family val="1"/>
        <charset val="128"/>
      </rPr>
      <t>(元CIAS)</t>
    </r>
    <r>
      <rPr>
        <sz val="11"/>
        <rFont val="ＭＳ Ｐ明朝"/>
        <family val="1"/>
        <charset val="128"/>
      </rPr>
      <t>（延床面積手数料</t>
    </r>
    <rPh sb="0" eb="1">
      <t>ケイ</t>
    </rPh>
    <rPh sb="1" eb="2">
      <t>カク</t>
    </rPh>
    <rPh sb="2" eb="4">
      <t>ヘンコウ</t>
    </rPh>
    <rPh sb="5" eb="6">
      <t>モト</t>
    </rPh>
    <rPh sb="16" eb="18">
      <t>テスウ</t>
    </rPh>
    <rPh sb="18" eb="19">
      <t>リョウ</t>
    </rPh>
    <phoneticPr fontId="2"/>
  </si>
  <si>
    <t>☆避難安全検証法等利用している場合</t>
    <rPh sb="1" eb="3">
      <t>ヒナン</t>
    </rPh>
    <rPh sb="3" eb="5">
      <t>アンゼン</t>
    </rPh>
    <rPh sb="5" eb="8">
      <t>ケンショウホウ</t>
    </rPh>
    <rPh sb="8" eb="9">
      <t>トウ</t>
    </rPh>
    <rPh sb="9" eb="11">
      <t>リヨウ</t>
    </rPh>
    <rPh sb="15" eb="17">
      <t>バアイ</t>
    </rPh>
    <phoneticPr fontId="2"/>
  </si>
  <si>
    <t>合計</t>
    <rPh sb="0" eb="2">
      <t>ゴウケイ</t>
    </rPh>
    <phoneticPr fontId="2"/>
  </si>
  <si>
    <t>申請者又は代理者</t>
    <rPh sb="0" eb="3">
      <t>シンセイシャ</t>
    </rPh>
    <rPh sb="3" eb="4">
      <t>マタ</t>
    </rPh>
    <rPh sb="5" eb="7">
      <t>ダイリ</t>
    </rPh>
    <rPh sb="7" eb="8">
      <t>シャ</t>
    </rPh>
    <phoneticPr fontId="2"/>
  </si>
  <si>
    <t>事務所名</t>
    <rPh sb="0" eb="2">
      <t>ジム</t>
    </rPh>
    <rPh sb="2" eb="3">
      <t>ショ</t>
    </rPh>
    <rPh sb="3" eb="4">
      <t>メイ</t>
    </rPh>
    <phoneticPr fontId="2"/>
  </si>
  <si>
    <t>ＴＥＬ</t>
    <phoneticPr fontId="2"/>
  </si>
  <si>
    <t>ＦＡＸ</t>
    <phoneticPr fontId="2"/>
  </si>
  <si>
    <t>円</t>
    <rPh sb="0" eb="1">
      <t>エン</t>
    </rPh>
    <phoneticPr fontId="2"/>
  </si>
  <si>
    <t>御中</t>
    <rPh sb="0" eb="2">
      <t>オンチュウ</t>
    </rPh>
    <phoneticPr fontId="2"/>
  </si>
  <si>
    <t>**shinseijudgehist_accept_isyou2_TANTO_USER_ID</t>
    <phoneticPr fontId="2"/>
  </si>
  <si>
    <t>cst_shinsei_ISHOU_TANTO2</t>
    <phoneticPr fontId="2"/>
  </si>
  <si>
    <t>社内意匠三次担当者</t>
    <rPh sb="0" eb="2">
      <t>シャナイ</t>
    </rPh>
    <rPh sb="2" eb="4">
      <t>イショウ</t>
    </rPh>
    <rPh sb="4" eb="6">
      <t>サンジ</t>
    </rPh>
    <rPh sb="6" eb="9">
      <t>タントウシャ</t>
    </rPh>
    <phoneticPr fontId="2"/>
  </si>
  <si>
    <t>**shinseijudgehist_accept_isyou3_TANTO_USER_ID</t>
    <phoneticPr fontId="2"/>
  </si>
  <si>
    <t>cst_shinsei_ISHOU_TANTO3</t>
    <phoneticPr fontId="2"/>
  </si>
  <si>
    <t>**shinseijudgehist_accept_kouzou1_TANTO_USER_ID</t>
    <phoneticPr fontId="2"/>
  </si>
  <si>
    <t>cst_shinsei_KOUZOU_TANTO</t>
    <phoneticPr fontId="2"/>
  </si>
  <si>
    <t>**shinseijudgehist_accept_kouzou2_TANTO_USER_ID</t>
    <phoneticPr fontId="2"/>
  </si>
  <si>
    <t>社内構造三次担当者</t>
    <rPh sb="0" eb="2">
      <t>シャナイ</t>
    </rPh>
    <rPh sb="2" eb="4">
      <t>コウゾウ</t>
    </rPh>
    <rPh sb="4" eb="6">
      <t>サンジ</t>
    </rPh>
    <rPh sb="6" eb="9">
      <t>タントウシャ</t>
    </rPh>
    <phoneticPr fontId="2"/>
  </si>
  <si>
    <t>**shinseijudgehist_accept_kouzou3_TANTO_USER_ID</t>
    <phoneticPr fontId="2"/>
  </si>
  <si>
    <t>cst_shinsei_KOUZOU_TANTO3</t>
    <phoneticPr fontId="2"/>
  </si>
  <si>
    <t>社内設備一次担当者</t>
    <rPh sb="0" eb="2">
      <t>シャナイ</t>
    </rPh>
    <rPh sb="2" eb="4">
      <t>セツビ</t>
    </rPh>
    <rPh sb="4" eb="6">
      <t>イチジ</t>
    </rPh>
    <rPh sb="6" eb="9">
      <t>タントウシャ</t>
    </rPh>
    <phoneticPr fontId="2"/>
  </si>
  <si>
    <t>**shinseijudgehist_accept_setubi1_TANTO_USER_ID</t>
    <phoneticPr fontId="2"/>
  </si>
  <si>
    <t>cst_shinsei_SETSUBI_TANTO</t>
    <phoneticPr fontId="2"/>
  </si>
  <si>
    <t>社内設備二次担当者</t>
    <rPh sb="0" eb="2">
      <t>シャナイ</t>
    </rPh>
    <rPh sb="2" eb="4">
      <t>セツビ</t>
    </rPh>
    <rPh sb="4" eb="6">
      <t>ニジ</t>
    </rPh>
    <rPh sb="6" eb="9">
      <t>タントウシャ</t>
    </rPh>
    <phoneticPr fontId="2"/>
  </si>
  <si>
    <t>**shinseijudgehist_accept_setubi2_TANTO_USER_ID</t>
    <phoneticPr fontId="2"/>
  </si>
  <si>
    <t>cst_shinsei_SETSUBI_TANTO2</t>
    <phoneticPr fontId="2"/>
  </si>
  <si>
    <t>社内設備三次担当者</t>
    <rPh sb="0" eb="2">
      <t>シャナイ</t>
    </rPh>
    <rPh sb="2" eb="4">
      <t>セツビ</t>
    </rPh>
    <rPh sb="4" eb="6">
      <t>サンジ</t>
    </rPh>
    <rPh sb="6" eb="9">
      <t>タントウシャ</t>
    </rPh>
    <phoneticPr fontId="2"/>
  </si>
  <si>
    <t>**shinseijudgehist_accept_setubi3_TANTO_USER_ID</t>
    <phoneticPr fontId="2"/>
  </si>
  <si>
    <t>cst_shinsei_SETSUBI_TANTO3</t>
    <phoneticPr fontId="2"/>
  </si>
  <si>
    <t>事前審査</t>
    <rPh sb="0" eb="2">
      <t>ジゼン</t>
    </rPh>
    <rPh sb="2" eb="4">
      <t>シンサ</t>
    </rPh>
    <phoneticPr fontId="2"/>
  </si>
  <si>
    <t>社内意匠一次担当者</t>
    <rPh sb="0" eb="2">
      <t>シャナイ</t>
    </rPh>
    <rPh sb="2" eb="4">
      <t>イショウ</t>
    </rPh>
    <rPh sb="4" eb="6">
      <t>イチジ</t>
    </rPh>
    <rPh sb="6" eb="9">
      <t>タントウシャ</t>
    </rPh>
    <phoneticPr fontId="2"/>
  </si>
  <si>
    <t>**shinseijudgehist_provo_isyou1_TANTO_USER_ID</t>
    <phoneticPr fontId="2"/>
  </si>
  <si>
    <t>cst_shinseijudgehist_provo_isyou1_TANTO_USER_ID</t>
    <phoneticPr fontId="2"/>
  </si>
  <si>
    <t>社内意二次担当者</t>
    <rPh sb="3" eb="4">
      <t>ニ</t>
    </rPh>
    <phoneticPr fontId="2"/>
  </si>
  <si>
    <t>**shinseijudgehist_provo_isyou2_TANTO_USER_ID</t>
    <phoneticPr fontId="2"/>
  </si>
  <si>
    <t>cst_shinseijudgehist_provo_isyou2_TANTO_USER_ID</t>
    <phoneticPr fontId="2"/>
  </si>
  <si>
    <t>**shinseijudgehist_provo_kouzou1_TANTO_USER_ID</t>
    <phoneticPr fontId="2"/>
  </si>
  <si>
    <t>■ ログイン情報</t>
    <rPh sb="6" eb="8">
      <t>ジョウホウ</t>
    </rPh>
    <phoneticPr fontId="2"/>
  </si>
  <si>
    <t>ＩＰアドレス</t>
    <phoneticPr fontId="2"/>
  </si>
  <si>
    <t>支店番号</t>
    <rPh sb="0" eb="2">
      <t>シテン</t>
    </rPh>
    <rPh sb="2" eb="4">
      <t>バンゴウ</t>
    </rPh>
    <phoneticPr fontId="2"/>
  </si>
  <si>
    <t>予定　本部:11、柏:21、千葉:22、船橋:23、大宮:31、越谷:32、川越:33、墨田:42、国分寺:43</t>
    <phoneticPr fontId="2"/>
  </si>
  <si>
    <t>ログイン</t>
    <phoneticPr fontId="2"/>
  </si>
  <si>
    <t>ＩＤ</t>
    <phoneticPr fontId="2"/>
  </si>
  <si>
    <t>名前</t>
    <rPh sb="0" eb="2">
      <t>ナマエ</t>
    </rPh>
    <phoneticPr fontId="2"/>
  </si>
  <si>
    <t>■ システム情報</t>
    <rPh sb="6" eb="8">
      <t>ジョウホウ</t>
    </rPh>
    <phoneticPr fontId="2"/>
  </si>
  <si>
    <t>作成した処理の有効・無効の切り替え</t>
    <rPh sb="0" eb="2">
      <t>サクセイ</t>
    </rPh>
    <rPh sb="4" eb="6">
      <t>ショリ</t>
    </rPh>
    <rPh sb="7" eb="9">
      <t>ユウコウ</t>
    </rPh>
    <rPh sb="10" eb="12">
      <t>ムコウ</t>
    </rPh>
    <rPh sb="13" eb="14">
      <t>キ</t>
    </rPh>
    <rPh sb="15" eb="16">
      <t>カ</t>
    </rPh>
    <phoneticPr fontId="2"/>
  </si>
  <si>
    <t>処理カードに搭載の処理を無効化にする為</t>
    <rPh sb="0" eb="2">
      <t>ショリ</t>
    </rPh>
    <rPh sb="6" eb="8">
      <t>トウサイ</t>
    </rPh>
    <rPh sb="9" eb="11">
      <t>ショリ</t>
    </rPh>
    <rPh sb="12" eb="15">
      <t>ムコウカ</t>
    </rPh>
    <rPh sb="18" eb="19">
      <t>タメ</t>
    </rPh>
    <phoneticPr fontId="2"/>
  </si>
  <si>
    <t>cst_Command_Practice</t>
    <phoneticPr fontId="2"/>
  </si>
  <si>
    <t>無効</t>
    <rPh sb="0" eb="2">
      <t>ムコウ</t>
    </rPh>
    <phoneticPr fontId="2"/>
  </si>
  <si>
    <t>有効, 無効</t>
    <rPh sb="0" eb="2">
      <t>ユウコウ</t>
    </rPh>
    <rPh sb="4" eb="6">
      <t>ムコウ</t>
    </rPh>
    <phoneticPr fontId="2"/>
  </si>
  <si>
    <t>区別</t>
    <rPh sb="0" eb="2">
      <t>クベツ</t>
    </rPh>
    <phoneticPr fontId="2"/>
  </si>
  <si>
    <t>**shinsei_TARGET_KIND</t>
  </si>
  <si>
    <t>建築物</t>
    <rPh sb="0" eb="3">
      <t>ケンチクブツ</t>
    </rPh>
    <phoneticPr fontId="2"/>
  </si>
  <si>
    <t>cst_shinsei_TARGET_KIND</t>
    <phoneticPr fontId="2"/>
  </si>
  <si>
    <t>建築物, 昇降機, 工作物</t>
    <rPh sb="10" eb="13">
      <t>コウサクブツ</t>
    </rPh>
    <phoneticPr fontId="2"/>
  </si>
  <si>
    <t>種別</t>
    <rPh sb="0" eb="2">
      <t>シュベツ</t>
    </rPh>
    <phoneticPr fontId="2"/>
  </si>
  <si>
    <t>**shinsei_INSPECTION_TYPE</t>
  </si>
  <si>
    <t>確認</t>
    <rPh sb="0" eb="2">
      <t>カクニン</t>
    </rPh>
    <phoneticPr fontId="2"/>
  </si>
  <si>
    <t>cst_shinsei_INSPECTION_TYPE</t>
    <phoneticPr fontId="2"/>
  </si>
  <si>
    <t>確認, 計画変更, 中間検査, 完了検査</t>
    <rPh sb="0" eb="2">
      <t>カクニン</t>
    </rPh>
    <rPh sb="4" eb="6">
      <t>ケイカク</t>
    </rPh>
    <rPh sb="6" eb="8">
      <t>ヘンコウ</t>
    </rPh>
    <rPh sb="10" eb="12">
      <t>チュウカン</t>
    </rPh>
    <rPh sb="12" eb="14">
      <t>ケンサ</t>
    </rPh>
    <rPh sb="16" eb="18">
      <t>カンリョウ</t>
    </rPh>
    <rPh sb="18" eb="20">
      <t>ケンサ</t>
    </rPh>
    <phoneticPr fontId="2"/>
  </si>
  <si>
    <t>cst_shinsei_INSPECTION_TYPE_class2</t>
  </si>
  <si>
    <t>確認申請, 検査申請</t>
    <rPh sb="0" eb="2">
      <t>カクニン</t>
    </rPh>
    <rPh sb="2" eb="4">
      <t>シンセイ</t>
    </rPh>
    <rPh sb="6" eb="8">
      <t>ケンサ</t>
    </rPh>
    <rPh sb="8" eb="10">
      <t>シンセイ</t>
    </rPh>
    <phoneticPr fontId="2"/>
  </si>
  <si>
    <t>cst_shinsei_INSPECTION_TYPE_class3</t>
  </si>
  <si>
    <t>確認申請, 中間検査, 完了検査</t>
    <rPh sb="6" eb="8">
      <t>チュウカン</t>
    </rPh>
    <rPh sb="12" eb="14">
      <t>カンリョウ</t>
    </rPh>
    <rPh sb="14" eb="16">
      <t>ケンサ</t>
    </rPh>
    <phoneticPr fontId="2"/>
  </si>
  <si>
    <t>cst_shinsei_INSPECTION_TYPE_class4</t>
    <phoneticPr fontId="2"/>
  </si>
  <si>
    <t>確認, 中間検査, 完了検査</t>
    <rPh sb="4" eb="6">
      <t>チュウカン</t>
    </rPh>
    <rPh sb="10" eb="12">
      <t>カンリョウ</t>
    </rPh>
    <rPh sb="12" eb="14">
      <t>ケンサ</t>
    </rPh>
    <phoneticPr fontId="2"/>
  </si>
  <si>
    <t>回数</t>
    <rPh sb="0" eb="2">
      <t>カイスウ</t>
    </rPh>
    <phoneticPr fontId="2"/>
  </si>
  <si>
    <t>cst_shinsei_INSPECTION_NO</t>
    <phoneticPr fontId="2"/>
  </si>
  <si>
    <t>計画変更時の回数（入力値）</t>
    <rPh sb="0" eb="2">
      <t>ケイカク</t>
    </rPh>
    <rPh sb="2" eb="4">
      <t>ヘンコウ</t>
    </rPh>
    <rPh sb="4" eb="5">
      <t>ジ</t>
    </rPh>
    <rPh sb="6" eb="8">
      <t>カイスウ</t>
    </rPh>
    <rPh sb="9" eb="11">
      <t>ニュウリョク</t>
    </rPh>
    <rPh sb="11" eb="12">
      <t>チ</t>
    </rPh>
    <phoneticPr fontId="2"/>
  </si>
  <si>
    <t xml:space="preserve">押下ボタン情報１ </t>
    <rPh sb="0" eb="2">
      <t>オウカ</t>
    </rPh>
    <rPh sb="5" eb="7">
      <t>ジョウホウ</t>
    </rPh>
    <phoneticPr fontId="2"/>
  </si>
  <si>
    <t>_button_kind</t>
    <phoneticPr fontId="2"/>
  </si>
  <si>
    <t>交付</t>
    <rPh sb="0" eb="2">
      <t>コウフ</t>
    </rPh>
    <phoneticPr fontId="2"/>
  </si>
  <si>
    <t>cst__button_kind__select</t>
    <phoneticPr fontId="2"/>
  </si>
  <si>
    <t>事前, 引受, 交付, imposs, impossx, ng, ngx, regrepo, exceeded, strexceeded, doccheck, objectdoccheck, 引受CK, 事前CK, 適合CK, birukan</t>
    <rPh sb="102" eb="104">
      <t>ジゼン</t>
    </rPh>
    <rPh sb="108" eb="110">
      <t>テキゴウ</t>
    </rPh>
    <phoneticPr fontId="2"/>
  </si>
  <si>
    <t>値</t>
    <rPh sb="0" eb="1">
      <t>アタイ</t>
    </rPh>
    <phoneticPr fontId="2"/>
  </si>
  <si>
    <t>タブ名：押下ボタン名</t>
    <rPh sb="2" eb="3">
      <t>メイ</t>
    </rPh>
    <rPh sb="4" eb="6">
      <t>オウカ</t>
    </rPh>
    <rPh sb="9" eb="10">
      <t>メイ</t>
    </rPh>
    <phoneticPr fontId="2"/>
  </si>
  <si>
    <t>期限付情報取得用</t>
    <rPh sb="0" eb="2">
      <t>キゲン</t>
    </rPh>
    <rPh sb="2" eb="3">
      <t>ツキ</t>
    </rPh>
    <rPh sb="3" eb="5">
      <t>ジョウホウ</t>
    </rPh>
    <rPh sb="5" eb="7">
      <t>シュトク</t>
    </rPh>
    <rPh sb="7" eb="8">
      <t>ヨウ</t>
    </rPh>
    <phoneticPr fontId="2"/>
  </si>
  <si>
    <t>cst__button_kind</t>
    <phoneticPr fontId="2"/>
  </si>
  <si>
    <t>ボタンの種類＋期限付回数</t>
    <rPh sb="4" eb="6">
      <t>シュルイ</t>
    </rPh>
    <rPh sb="7" eb="9">
      <t>キゲン</t>
    </rPh>
    <rPh sb="9" eb="10">
      <t>ツキ</t>
    </rPh>
    <rPh sb="10" eb="12">
      <t>カイスウ</t>
    </rPh>
    <phoneticPr fontId="2"/>
  </si>
  <si>
    <t>押下ボタン情報２</t>
    <phoneticPr fontId="2"/>
  </si>
  <si>
    <t>_button2</t>
    <phoneticPr fontId="2"/>
  </si>
  <si>
    <t>（1～8の数値をセット）</t>
    <phoneticPr fontId="2"/>
  </si>
  <si>
    <t>期限付の回数</t>
    <phoneticPr fontId="2"/>
  </si>
  <si>
    <t>_button_no</t>
    <phoneticPr fontId="2"/>
  </si>
  <si>
    <t>cst__button_no</t>
    <phoneticPr fontId="2"/>
  </si>
  <si>
    <t>（IMPOSSでは1～6、NGでは1～3をセット）</t>
    <phoneticPr fontId="2"/>
  </si>
  <si>
    <t>■ 該当する市町村マスタ情報</t>
    <rPh sb="2" eb="4">
      <t>ガイトウ</t>
    </rPh>
    <rPh sb="6" eb="9">
      <t>シチョウソン</t>
    </rPh>
    <rPh sb="12" eb="14">
      <t>ジョウホウ</t>
    </rPh>
    <phoneticPr fontId="2"/>
  </si>
  <si>
    <t>※申請と関係が無い情報含む</t>
    <rPh sb="1" eb="3">
      <t>シンセイ</t>
    </rPh>
    <rPh sb="4" eb="6">
      <t>カンケイ</t>
    </rPh>
    <rPh sb="7" eb="8">
      <t>ナ</t>
    </rPh>
    <rPh sb="9" eb="11">
      <t>ジョウホウ</t>
    </rPh>
    <rPh sb="11" eb="12">
      <t>フク</t>
    </rPh>
    <phoneticPr fontId="2"/>
  </si>
  <si>
    <t>住所チェック - 旧方式</t>
    <rPh sb="0" eb="2">
      <t>ジュウショ</t>
    </rPh>
    <rPh sb="9" eb="12">
      <t>キュウホウシキ</t>
    </rPh>
    <phoneticPr fontId="2"/>
  </si>
  <si>
    <t>旧方式</t>
    <rPh sb="0" eb="3">
      <t>キュウホウシキ</t>
    </rPh>
    <phoneticPr fontId="2"/>
  </si>
  <si>
    <t>都道府県</t>
    <phoneticPr fontId="2"/>
  </si>
  <si>
    <t>**shinsei_STAT_KEN</t>
  </si>
  <si>
    <t>市区町村</t>
    <phoneticPr fontId="2"/>
  </si>
  <si>
    <t>**shinsei_STAT_CITY</t>
  </si>
  <si>
    <t>住所チェック - 市町村マスタ</t>
    <rPh sb="0" eb="2">
      <t>ジュウショ</t>
    </rPh>
    <rPh sb="9" eb="12">
      <t>シチョウソン</t>
    </rPh>
    <phoneticPr fontId="2"/>
  </si>
  <si>
    <t>新方式</t>
    <rPh sb="0" eb="3">
      <t>シンホウシキ</t>
    </rPh>
    <phoneticPr fontId="2"/>
  </si>
  <si>
    <t>都道府県</t>
    <rPh sb="0" eb="4">
      <t>トドウフケン</t>
    </rPh>
    <phoneticPr fontId="2"/>
  </si>
  <si>
    <t>**city_ken</t>
    <phoneticPr fontId="2"/>
  </si>
  <si>
    <t>cst_city_ken</t>
    <phoneticPr fontId="2"/>
  </si>
  <si>
    <t>市区町村</t>
    <rPh sb="0" eb="2">
      <t>シク</t>
    </rPh>
    <rPh sb="2" eb="4">
      <t>チョウソン</t>
    </rPh>
    <phoneticPr fontId="2"/>
  </si>
  <si>
    <t>**city_city</t>
    <phoneticPr fontId="2"/>
  </si>
  <si>
    <t>cst_city_city</t>
    <phoneticPr fontId="2"/>
  </si>
  <si>
    <t>cst_city_city2</t>
    <phoneticPr fontId="2"/>
  </si>
  <si>
    <t>cst_city_city3</t>
    <phoneticPr fontId="2"/>
  </si>
  <si>
    <t>町村</t>
    <rPh sb="0" eb="2">
      <t>チョウソン</t>
    </rPh>
    <phoneticPr fontId="2"/>
  </si>
  <si>
    <t>**city_town</t>
    <phoneticPr fontId="2"/>
  </si>
  <si>
    <t>cst_city_town</t>
    <phoneticPr fontId="2"/>
  </si>
  <si>
    <t>丁番</t>
    <rPh sb="0" eb="1">
      <t>チョウ</t>
    </rPh>
    <rPh sb="1" eb="2">
      <t>バン</t>
    </rPh>
    <phoneticPr fontId="2"/>
  </si>
  <si>
    <t>**city_street</t>
    <phoneticPr fontId="2"/>
  </si>
  <si>
    <t>cst_city_street</t>
    <phoneticPr fontId="2"/>
  </si>
  <si>
    <t>消防署</t>
    <rPh sb="0" eb="2">
      <t>ショウボウ</t>
    </rPh>
    <phoneticPr fontId="2"/>
  </si>
  <si>
    <t>消防署名</t>
    <phoneticPr fontId="2"/>
  </si>
  <si>
    <t>**city_FIRE_STATION_ID__NAME</t>
    <phoneticPr fontId="2"/>
  </si>
  <si>
    <t>cst_city_FIRE_STATION_ID__NAME</t>
    <phoneticPr fontId="2"/>
  </si>
  <si>
    <t>部署名</t>
    <phoneticPr fontId="2"/>
  </si>
  <si>
    <t>**city_FIRE_STATION_ID__DEPART_NAME</t>
    <phoneticPr fontId="2"/>
  </si>
  <si>
    <t>cst_city_FIRE_STATION_ID__DEPART_NAME</t>
    <phoneticPr fontId="2"/>
  </si>
  <si>
    <t>宛名</t>
    <phoneticPr fontId="2"/>
  </si>
  <si>
    <t>**city_FIRE_STATION_ID__DEST_NAME</t>
    <phoneticPr fontId="2"/>
  </si>
  <si>
    <t>cst_city_FIRE_STATION_ID__DEST_NAME</t>
    <phoneticPr fontId="2"/>
  </si>
  <si>
    <t>保健所名</t>
    <rPh sb="0" eb="3">
      <t>ホケンジョ</t>
    </rPh>
    <rPh sb="3" eb="4">
      <t>メイ</t>
    </rPh>
    <phoneticPr fontId="2"/>
  </si>
  <si>
    <t>**city_HEALTH_CENTER_ID__NAME</t>
    <phoneticPr fontId="2"/>
  </si>
  <si>
    <t>**city_HEALTH_CENTER_ID__PURIFIER_TANK_DEST_NAME</t>
    <phoneticPr fontId="2"/>
  </si>
  <si>
    <t>**city_HEALTH_CENTER_ID__DEST_NAME</t>
    <phoneticPr fontId="2"/>
  </si>
  <si>
    <t>cst_city_HEALTH_CENTER_ID__DEST_NAME</t>
    <phoneticPr fontId="2"/>
  </si>
  <si>
    <t>cst_HEALTH_CENTER_NAME_disp</t>
  </si>
  <si>
    <t>行政経由番号</t>
    <rPh sb="0" eb="2">
      <t>ギョウセイ</t>
    </rPh>
    <rPh sb="2" eb="4">
      <t>ケイユ</t>
    </rPh>
    <rPh sb="4" eb="6">
      <t>バンゴウ</t>
    </rPh>
    <phoneticPr fontId="2"/>
  </si>
  <si>
    <t>cst_shinsei_KAKUNINZUMI_HOUKOKU_GYOSEI_NO</t>
    <phoneticPr fontId="2"/>
  </si>
  <si>
    <t>行政報告先番号</t>
    <rPh sb="0" eb="2">
      <t>ギョウセイ</t>
    </rPh>
    <rPh sb="2" eb="4">
      <t>ホウコク</t>
    </rPh>
    <rPh sb="4" eb="5">
      <t>サキ</t>
    </rPh>
    <rPh sb="5" eb="7">
      <t>バンゴウ</t>
    </rPh>
    <phoneticPr fontId="2"/>
  </si>
  <si>
    <t>**shinsei_REPORT_DEST_KIND</t>
  </si>
  <si>
    <t>cst_shinsei_REPORT_DEST_KIND</t>
    <phoneticPr fontId="2"/>
  </si>
  <si>
    <t>1：区市町村, 2：都道府県情報-1, 3：都道府県情報-2</t>
    <rPh sb="2" eb="6">
      <t>クシチョウソン</t>
    </rPh>
    <rPh sb="10" eb="14">
      <t>トドウフケン</t>
    </rPh>
    <rPh sb="14" eb="16">
      <t>ジョウホウ</t>
    </rPh>
    <rPh sb="22" eb="26">
      <t>トドウフケン</t>
    </rPh>
    <rPh sb="26" eb="28">
      <t>ジョウホウ</t>
    </rPh>
    <phoneticPr fontId="2"/>
  </si>
  <si>
    <t>行政庁区分</t>
    <rPh sb="0" eb="3">
      <t>ギョウセイチョウ</t>
    </rPh>
    <rPh sb="3" eb="5">
      <t>クブン</t>
    </rPh>
    <phoneticPr fontId="2"/>
  </si>
  <si>
    <t>**city_CITY_KIND</t>
    <phoneticPr fontId="2"/>
  </si>
  <si>
    <t>cst_city_CITY_KIND</t>
    <phoneticPr fontId="2"/>
  </si>
  <si>
    <t>特定行政庁, 特別区, 限定特定行政庁, その他</t>
    <phoneticPr fontId="2"/>
  </si>
  <si>
    <t>所轄行政庁情報</t>
    <rPh sb="0" eb="2">
      <t>ショカツ</t>
    </rPh>
    <rPh sb="2" eb="5">
      <t>ギョウセイチョウ</t>
    </rPh>
    <rPh sb="5" eb="7">
      <t>ジョウホウ</t>
    </rPh>
    <phoneticPr fontId="2"/>
  </si>
  <si>
    <t>送付先名称</t>
    <phoneticPr fontId="2"/>
  </si>
  <si>
    <t>cst_shinsei_REPORT_DEST_NAME</t>
    <phoneticPr fontId="2"/>
  </si>
  <si>
    <t>cst_shinsei_REPORT_DEST_DEPART_NAME</t>
    <phoneticPr fontId="2"/>
  </si>
  <si>
    <t>cst_shinsei_REPORT_DEST_FAX</t>
    <phoneticPr fontId="2"/>
  </si>
  <si>
    <t>建築主事名</t>
    <phoneticPr fontId="2"/>
  </si>
  <si>
    <t>cst_shinsei_REPORT_DEST_SYUJI_NAME</t>
    <phoneticPr fontId="2"/>
  </si>
  <si>
    <t>特定行政庁名</t>
    <phoneticPr fontId="2"/>
  </si>
  <si>
    <t>cst_shinsei_REPORT_DEST_GYOUSEI_NAME</t>
    <phoneticPr fontId="2"/>
  </si>
  <si>
    <t>区市町村情報</t>
    <rPh sb="0" eb="4">
      <t>クシチョウソン</t>
    </rPh>
    <rPh sb="4" eb="6">
      <t>ジョウホウ</t>
    </rPh>
    <phoneticPr fontId="2"/>
  </si>
  <si>
    <t>**city_CITY_PUBLIC_OFFICE_ID__NAME</t>
    <phoneticPr fontId="2"/>
  </si>
  <si>
    <t>検査対象の床面積</t>
    <phoneticPr fontId="2"/>
  </si>
  <si>
    <t>**shinsei_intermediate_CYU1_YUKA_MENSEKI</t>
  </si>
  <si>
    <t>cst_shinsei_intermediate_CYU1_YUKA_MENSEKI</t>
    <phoneticPr fontId="2"/>
  </si>
  <si>
    <t>■ 概要データ　－　完了検査申請</t>
    <rPh sb="10" eb="12">
      <t>カンリョウ</t>
    </rPh>
    <rPh sb="12" eb="14">
      <t>ケンサ</t>
    </rPh>
    <rPh sb="14" eb="16">
      <t>シンセイ</t>
    </rPh>
    <phoneticPr fontId="2"/>
  </si>
  <si>
    <t>検査対象の床面積</t>
    <phoneticPr fontId="2"/>
  </si>
  <si>
    <t>**shinsei_KOUJI_YUKA_MENSEKI</t>
  </si>
  <si>
    <t>cst_shinsei_KOUJI_YUKA_MENSEKI</t>
    <phoneticPr fontId="2"/>
  </si>
  <si>
    <t>最終名称</t>
    <rPh sb="0" eb="2">
      <t>サイシュウ</t>
    </rPh>
    <rPh sb="2" eb="4">
      <t>メイショウ</t>
    </rPh>
    <phoneticPr fontId="2"/>
  </si>
  <si>
    <t>cst_shinsei_BUILD_NAME_COMP</t>
    <phoneticPr fontId="2"/>
  </si>
  <si>
    <t>■ 日付処理</t>
    <rPh sb="2" eb="4">
      <t>ヒヅケ</t>
    </rPh>
    <rPh sb="4" eb="6">
      <t>ショリ</t>
    </rPh>
    <phoneticPr fontId="2"/>
  </si>
  <si>
    <t>日付未入力時の表示</t>
    <rPh sb="0" eb="2">
      <t>ヒヅケ</t>
    </rPh>
    <rPh sb="2" eb="6">
      <t>ミニュウリョクジ</t>
    </rPh>
    <rPh sb="7" eb="9">
      <t>ヒョウジ</t>
    </rPh>
    <phoneticPr fontId="2"/>
  </si>
  <si>
    <t>cst_DATE__dsp</t>
  </si>
  <si>
    <t>基本</t>
    <rPh sb="0" eb="2">
      <t>キホン</t>
    </rPh>
    <phoneticPr fontId="2"/>
  </si>
  <si>
    <t>cst_DISP__date</t>
    <phoneticPr fontId="2"/>
  </si>
  <si>
    <t>処分の概要</t>
    <rPh sb="0" eb="2">
      <t>ショブン</t>
    </rPh>
    <rPh sb="3" eb="5">
      <t>ガイヨウ</t>
    </rPh>
    <phoneticPr fontId="2"/>
  </si>
  <si>
    <t>cst_DISP__date_ee</t>
    <phoneticPr fontId="2"/>
  </si>
  <si>
    <t>　　    年    月    日</t>
  </si>
  <si>
    <t>文字列出力の処理</t>
    <rPh sb="0" eb="3">
      <t>モジレツ</t>
    </rPh>
    <rPh sb="3" eb="5">
      <t>シュツリョク</t>
    </rPh>
    <rPh sb="6" eb="8">
      <t>ショリ</t>
    </rPh>
    <phoneticPr fontId="2"/>
  </si>
  <si>
    <t>仮受付日 - 年</t>
    <rPh sb="0" eb="1">
      <t>カリ</t>
    </rPh>
    <rPh sb="1" eb="4">
      <t>ウケツケビ</t>
    </rPh>
    <rPh sb="7" eb="8">
      <t>ネン</t>
    </rPh>
    <phoneticPr fontId="2"/>
  </si>
  <si>
    <t>cst_shinsei_ACCEPT_DATE__ee</t>
    <phoneticPr fontId="2"/>
  </si>
  <si>
    <t>仮受付日 - 月</t>
    <rPh sb="7" eb="8">
      <t>ツキ</t>
    </rPh>
    <phoneticPr fontId="2"/>
  </si>
  <si>
    <t>cst_shinsei_ACCEPT_DATE__mm</t>
    <phoneticPr fontId="2"/>
  </si>
  <si>
    <t>仮受付日 - 日</t>
    <rPh sb="7" eb="8">
      <t>ニチ</t>
    </rPh>
    <phoneticPr fontId="2"/>
  </si>
  <si>
    <t>cst_shinsei_ACCEPT_DATE__dd</t>
    <phoneticPr fontId="2"/>
  </si>
  <si>
    <t>引受日 - 年</t>
    <rPh sb="0" eb="2">
      <t>ヒキウケ</t>
    </rPh>
    <rPh sb="2" eb="3">
      <t>ビ</t>
    </rPh>
    <rPh sb="6" eb="7">
      <t>ネン</t>
    </rPh>
    <phoneticPr fontId="2"/>
  </si>
  <si>
    <t>cst_shinsei_HIKIUKE_DATE__ee</t>
    <phoneticPr fontId="2"/>
  </si>
  <si>
    <t>引受日 - 月</t>
    <rPh sb="0" eb="2">
      <t>ヒキウケ</t>
    </rPh>
    <rPh sb="2" eb="3">
      <t>ビ</t>
    </rPh>
    <rPh sb="6" eb="7">
      <t>ツキ</t>
    </rPh>
    <phoneticPr fontId="2"/>
  </si>
  <si>
    <t>cst_shinsei_HIKIUKE_DATE__mm</t>
    <phoneticPr fontId="2"/>
  </si>
  <si>
    <t>引受日 - 日</t>
    <rPh sb="0" eb="2">
      <t>ヒキウケ</t>
    </rPh>
    <rPh sb="2" eb="3">
      <t>ビ</t>
    </rPh>
    <rPh sb="6" eb="7">
      <t>ニチ</t>
    </rPh>
    <phoneticPr fontId="2"/>
  </si>
  <si>
    <t>cst_shinsei_HIKIUKE_DATE__dd</t>
    <phoneticPr fontId="2"/>
  </si>
  <si>
    <t>期限年月日 - 年</t>
    <rPh sb="0" eb="2">
      <t>キゲン</t>
    </rPh>
    <rPh sb="2" eb="5">
      <t>ネンガッピ</t>
    </rPh>
    <rPh sb="8" eb="9">
      <t>トシ</t>
    </rPh>
    <phoneticPr fontId="2"/>
  </si>
  <si>
    <t>cst_shinsei__NOTIFY_LIMIT_DATE__ee</t>
    <phoneticPr fontId="2"/>
  </si>
  <si>
    <t>期限年月日 - 月</t>
    <rPh sb="0" eb="2">
      <t>キゲン</t>
    </rPh>
    <rPh sb="2" eb="5">
      <t>ネンガッピ</t>
    </rPh>
    <rPh sb="8" eb="9">
      <t>ツキ</t>
    </rPh>
    <phoneticPr fontId="2"/>
  </si>
  <si>
    <t>cst_shinsei__NOTIFY_LIMIT_DATE__mm</t>
    <phoneticPr fontId="2"/>
  </si>
  <si>
    <t>期限年月日 - 日</t>
    <rPh sb="0" eb="2">
      <t>キゲン</t>
    </rPh>
    <rPh sb="2" eb="5">
      <t>ネンガッピ</t>
    </rPh>
    <rPh sb="8" eb="9">
      <t>ニチ</t>
    </rPh>
    <phoneticPr fontId="2"/>
  </si>
  <si>
    <t>cst_shinsei__NOTIFY_LIMIT_DATE__dd</t>
    <phoneticPr fontId="2"/>
  </si>
  <si>
    <t>道路・敷地状況発送日</t>
    <rPh sb="0" eb="2">
      <t>ドウロ</t>
    </rPh>
    <rPh sb="3" eb="5">
      <t>シキチ</t>
    </rPh>
    <rPh sb="5" eb="7">
      <t>ジョウキョウ</t>
    </rPh>
    <rPh sb="7" eb="9">
      <t>ハッソウ</t>
    </rPh>
    <rPh sb="9" eb="10">
      <t>ビ</t>
    </rPh>
    <phoneticPr fontId="2"/>
  </si>
  <si>
    <t>道路・敷地状況発送日 - 年</t>
    <rPh sb="0" eb="2">
      <t>ドウロ</t>
    </rPh>
    <rPh sb="3" eb="5">
      <t>シキチ</t>
    </rPh>
    <rPh sb="5" eb="7">
      <t>ジョウキョウ</t>
    </rPh>
    <rPh sb="7" eb="9">
      <t>ハッソウ</t>
    </rPh>
    <rPh sb="9" eb="10">
      <t>ビ</t>
    </rPh>
    <rPh sb="13" eb="14">
      <t>ネン</t>
    </rPh>
    <phoneticPr fontId="2"/>
  </si>
  <si>
    <t>道路・敷地状況発送日 - 月</t>
    <rPh sb="13" eb="14">
      <t>ツキ</t>
    </rPh>
    <phoneticPr fontId="2"/>
  </si>
  <si>
    <t>道路・敷地状況発送日 - 日</t>
    <rPh sb="13" eb="14">
      <t>ニチ</t>
    </rPh>
    <phoneticPr fontId="2"/>
  </si>
  <si>
    <t>係る確認の受付日 - 年</t>
    <rPh sb="0" eb="1">
      <t>カカ</t>
    </rPh>
    <rPh sb="2" eb="4">
      <t>カクニン</t>
    </rPh>
    <rPh sb="5" eb="8">
      <t>ウケツケビ</t>
    </rPh>
    <phoneticPr fontId="2"/>
  </si>
  <si>
    <t>cst_kakaru_shinsei_ACCEPT_DATE__ee</t>
    <phoneticPr fontId="2"/>
  </si>
  <si>
    <t>係る確認の受付日 - 月</t>
    <rPh sb="0" eb="1">
      <t>カカ</t>
    </rPh>
    <rPh sb="2" eb="4">
      <t>カクニン</t>
    </rPh>
    <rPh sb="5" eb="8">
      <t>ウケツケビ</t>
    </rPh>
    <phoneticPr fontId="2"/>
  </si>
  <si>
    <t>cst_kakaru_shinsei_ACCEPT_DATE__mm</t>
    <phoneticPr fontId="2"/>
  </si>
  <si>
    <t>係る確認の受付日 - 日</t>
    <rPh sb="0" eb="1">
      <t>カカ</t>
    </rPh>
    <rPh sb="2" eb="4">
      <t>カクニン</t>
    </rPh>
    <rPh sb="5" eb="8">
      <t>ウケツケビ</t>
    </rPh>
    <phoneticPr fontId="2"/>
  </si>
  <si>
    <t>cst_kakaru_shinsei_ACCEPT_DATE__dd</t>
    <phoneticPr fontId="2"/>
  </si>
  <si>
    <t>係る確認の引受日 - 年</t>
    <rPh sb="0" eb="1">
      <t>カカ</t>
    </rPh>
    <rPh sb="2" eb="4">
      <t>カクニン</t>
    </rPh>
    <rPh sb="5" eb="7">
      <t>ヒキウケ</t>
    </rPh>
    <rPh sb="7" eb="8">
      <t>ビ</t>
    </rPh>
    <phoneticPr fontId="2"/>
  </si>
  <si>
    <t>cst_kakaru_shinsei_HIKIUKE_DATE__ee</t>
    <phoneticPr fontId="2"/>
  </si>
  <si>
    <t>係る確認の引受日 - 月</t>
    <rPh sb="0" eb="1">
      <t>カカ</t>
    </rPh>
    <rPh sb="2" eb="4">
      <t>カクニン</t>
    </rPh>
    <rPh sb="5" eb="7">
      <t>ヒキウケ</t>
    </rPh>
    <rPh sb="7" eb="8">
      <t>ビ</t>
    </rPh>
    <phoneticPr fontId="2"/>
  </si>
  <si>
    <t>cst_kakaru_shinsei_HIKIUKE_DATE__mm</t>
    <phoneticPr fontId="2"/>
  </si>
  <si>
    <t>係る確認の引受日 - 日</t>
    <rPh sb="0" eb="1">
      <t>カカ</t>
    </rPh>
    <rPh sb="2" eb="4">
      <t>カクニン</t>
    </rPh>
    <rPh sb="5" eb="7">
      <t>ヒキウケ</t>
    </rPh>
    <rPh sb="7" eb="8">
      <t>ビ</t>
    </rPh>
    <phoneticPr fontId="2"/>
  </si>
  <si>
    <t>cst_kakaru_shinsei_HIKIUKE_DATE__dd</t>
    <phoneticPr fontId="2"/>
  </si>
  <si>
    <t>行政経由日 - 年</t>
    <rPh sb="0" eb="2">
      <t>ギョウセイ</t>
    </rPh>
    <rPh sb="2" eb="4">
      <t>ケイユ</t>
    </rPh>
    <rPh sb="4" eb="5">
      <t>ビ</t>
    </rPh>
    <rPh sb="8" eb="9">
      <t>ネン</t>
    </rPh>
    <phoneticPr fontId="2"/>
  </si>
  <si>
    <t>cst_shinsei_KAKUNINZUMI_HOUKOKU_GYOSEI_DATE__ee</t>
    <phoneticPr fontId="2"/>
  </si>
  <si>
    <t>行政経由日 - 月</t>
    <rPh sb="8" eb="9">
      <t>ツキ</t>
    </rPh>
    <phoneticPr fontId="2"/>
  </si>
  <si>
    <t>cst_shinsei_KAKUNINZUMI_HOUKOKU_GYOSEI_DATE__mm</t>
    <phoneticPr fontId="2"/>
  </si>
  <si>
    <t>行政経由日 - 日</t>
    <rPh sb="8" eb="9">
      <t>ニチ</t>
    </rPh>
    <phoneticPr fontId="2"/>
  </si>
  <si>
    <t>cst_shinsei_KAKUNINZUMI_HOUKOKU_GYOSEI_DATE__dd</t>
    <phoneticPr fontId="2"/>
  </si>
  <si>
    <t>■ 番号処理</t>
    <rPh sb="2" eb="4">
      <t>バンゴウ</t>
    </rPh>
    <rPh sb="4" eb="6">
      <t>ショリ</t>
    </rPh>
    <phoneticPr fontId="2"/>
  </si>
  <si>
    <t>番号が無い場合の表示</t>
    <rPh sb="0" eb="2">
      <t>バンゴウ</t>
    </rPh>
    <rPh sb="3" eb="4">
      <t>ナ</t>
    </rPh>
    <rPh sb="5" eb="7">
      <t>バアイ</t>
    </rPh>
    <rPh sb="8" eb="10">
      <t>ヒョウジ</t>
    </rPh>
    <phoneticPr fontId="2"/>
  </si>
  <si>
    <t>cst_DISP__sign</t>
    <phoneticPr fontId="2"/>
  </si>
  <si>
    <t>第          号</t>
    <rPh sb="0" eb="1">
      <t>ダイ</t>
    </rPh>
    <rPh sb="11" eb="12">
      <t>ゴウ</t>
    </rPh>
    <phoneticPr fontId="2"/>
  </si>
  <si>
    <t>■ 受付 - 引受処理</t>
    <rPh sb="2" eb="4">
      <t>ウケツケ</t>
    </rPh>
    <rPh sb="7" eb="9">
      <t>ヒキウケ</t>
    </rPh>
    <rPh sb="9" eb="11">
      <t>ショリ</t>
    </rPh>
    <phoneticPr fontId="2"/>
  </si>
  <si>
    <t>事前相談日</t>
    <phoneticPr fontId="2"/>
  </si>
  <si>
    <t>cst_shinsei_PROVO_DATE</t>
    <phoneticPr fontId="2"/>
  </si>
  <si>
    <t>事前受付番号</t>
    <rPh sb="0" eb="2">
      <t>ジゼン</t>
    </rPh>
    <rPh sb="2" eb="4">
      <t>ウケツケ</t>
    </rPh>
    <rPh sb="4" eb="6">
      <t>バンゴウ</t>
    </rPh>
    <phoneticPr fontId="2"/>
  </si>
  <si>
    <t>cst_shinsei_PROVO_NO</t>
    <phoneticPr fontId="2"/>
  </si>
  <si>
    <t>仮受付日</t>
    <rPh sb="0" eb="1">
      <t>カリ</t>
    </rPh>
    <rPh sb="1" eb="4">
      <t>ウケツケビ</t>
    </rPh>
    <phoneticPr fontId="2"/>
  </si>
  <si>
    <t>cst_shinsei_ACCEPT_DATE</t>
    <phoneticPr fontId="2"/>
  </si>
  <si>
    <t>引受日</t>
    <rPh sb="0" eb="2">
      <t>ヒキウケ</t>
    </rPh>
    <rPh sb="2" eb="3">
      <t>ビ</t>
    </rPh>
    <phoneticPr fontId="2"/>
  </si>
  <si>
    <t>cst_shinsei_HIKIUKE_DATE</t>
    <phoneticPr fontId="2"/>
  </si>
  <si>
    <t>cst_shinsei_HIKIUKE_DATE__disp</t>
    <phoneticPr fontId="2"/>
  </si>
  <si>
    <t xml:space="preserve"> - 文字列出力</t>
    <rPh sb="3" eb="6">
      <t>モジレツ</t>
    </rPh>
    <rPh sb="6" eb="8">
      <t>シュツリョク</t>
    </rPh>
    <phoneticPr fontId="2"/>
  </si>
  <si>
    <t>cst_shinsei_HIKIUKE_DATE__text</t>
    <phoneticPr fontId="2"/>
  </si>
  <si>
    <t>引受通知日</t>
    <rPh sb="0" eb="2">
      <t>ヒキウケ</t>
    </rPh>
    <rPh sb="2" eb="5">
      <t>ツウチビ</t>
    </rPh>
    <phoneticPr fontId="2"/>
  </si>
  <si>
    <t>cst_shinsei_HIKIUKE_TUUTI_DATE</t>
    <phoneticPr fontId="2"/>
  </si>
  <si>
    <t>引受番号</t>
    <rPh sb="0" eb="2">
      <t>ヒキウケ</t>
    </rPh>
    <rPh sb="2" eb="4">
      <t>バンゴウ</t>
    </rPh>
    <phoneticPr fontId="2"/>
  </si>
  <si>
    <t>cst_shinsei_UKETUKE_NO</t>
    <phoneticPr fontId="2"/>
  </si>
  <si>
    <t>cst_shinsei_UKETUKE_NO__disp</t>
    <phoneticPr fontId="2"/>
  </si>
  <si>
    <t>■ 処理 - 確認済証・合格証・検査済証処理</t>
    <rPh sb="2" eb="4">
      <t>ショリ</t>
    </rPh>
    <rPh sb="7" eb="9">
      <t>カクニン</t>
    </rPh>
    <rPh sb="9" eb="10">
      <t>ズミ</t>
    </rPh>
    <rPh sb="10" eb="11">
      <t>ショウ</t>
    </rPh>
    <rPh sb="12" eb="14">
      <t>ゴウカク</t>
    </rPh>
    <rPh sb="14" eb="15">
      <t>ショウ</t>
    </rPh>
    <rPh sb="16" eb="18">
      <t>ケンサ</t>
    </rPh>
    <rPh sb="18" eb="19">
      <t>ズミ</t>
    </rPh>
    <rPh sb="19" eb="20">
      <t>ショウ</t>
    </rPh>
    <rPh sb="20" eb="22">
      <t>ショリ</t>
    </rPh>
    <phoneticPr fontId="2"/>
  </si>
  <si>
    <t>交付日</t>
    <rPh sb="0" eb="2">
      <t>コウフ</t>
    </rPh>
    <rPh sb="2" eb="3">
      <t>ビ</t>
    </rPh>
    <phoneticPr fontId="2"/>
  </si>
  <si>
    <t>cst_shinsei_ISSUE_DATE</t>
    <phoneticPr fontId="2"/>
  </si>
  <si>
    <t>cst_shinsei_ISSUE_DATE__disp</t>
    <phoneticPr fontId="2"/>
  </si>
  <si>
    <t>交付番号</t>
  </si>
  <si>
    <t>**shinsei_ISSUE_NO</t>
  </si>
  <si>
    <t>cst_shinsei_ISSUE_NO</t>
    <phoneticPr fontId="2"/>
  </si>
  <si>
    <t>cst_shinsei_ISSUE_NO__disp</t>
    <phoneticPr fontId="2"/>
  </si>
  <si>
    <t>第 ***** 号</t>
    <rPh sb="0" eb="1">
      <t>ダイ</t>
    </rPh>
    <rPh sb="8" eb="9">
      <t>ゴウ</t>
    </rPh>
    <phoneticPr fontId="2"/>
  </si>
  <si>
    <t>交付者（会社）</t>
  </si>
  <si>
    <t>**shinsei_ISSUE_KOUFU_NAME</t>
  </si>
  <si>
    <t>cst_shinsei_ISSUE_KOUFU_NAME</t>
    <phoneticPr fontId="2"/>
  </si>
  <si>
    <t>cst_shinsei_ISSUE_KOUFU_NAME__code</t>
    <phoneticPr fontId="2"/>
  </si>
  <si>
    <t>検査結果</t>
    <rPh sb="0" eb="2">
      <t>ケンサ</t>
    </rPh>
    <rPh sb="2" eb="4">
      <t>ケッカ</t>
    </rPh>
    <phoneticPr fontId="2"/>
  </si>
  <si>
    <t>□ 確認申請</t>
    <rPh sb="2" eb="4">
      <t>カクニン</t>
    </rPh>
    <rPh sb="4" eb="6">
      <t>シンセイ</t>
    </rPh>
    <phoneticPr fontId="2"/>
  </si>
  <si>
    <t>**shinsei_KENSA_RESULT</t>
  </si>
  <si>
    <t>cst_shinsei_KENSA_RESULT</t>
    <phoneticPr fontId="2"/>
  </si>
  <si>
    <t>□ 中間検査</t>
    <rPh sb="2" eb="4">
      <t>チュウカン</t>
    </rPh>
    <rPh sb="4" eb="6">
      <t>ケンサ</t>
    </rPh>
    <phoneticPr fontId="2"/>
  </si>
  <si>
    <t>cst_shinsei_intermediate_KENSA_KEKKA</t>
    <phoneticPr fontId="2"/>
  </si>
  <si>
    <t>□ 完了検査</t>
    <rPh sb="2" eb="4">
      <t>カンリョウ</t>
    </rPh>
    <rPh sb="4" eb="6">
      <t>ケンサ</t>
    </rPh>
    <phoneticPr fontId="2"/>
  </si>
  <si>
    <t>cst_shinsei_KAN_KENSA_KEKKA</t>
    <phoneticPr fontId="2"/>
  </si>
  <si>
    <t>□ 確認・中間・完了</t>
    <rPh sb="2" eb="4">
      <t>カクニン</t>
    </rPh>
    <rPh sb="5" eb="7">
      <t>チュウカン</t>
    </rPh>
    <rPh sb="8" eb="10">
      <t>カンリョウ</t>
    </rPh>
    <phoneticPr fontId="2"/>
  </si>
  <si>
    <t>cst_shinsei_KENSA_KEKKA</t>
    <phoneticPr fontId="2"/>
  </si>
  <si>
    <t>検査員</t>
    <rPh sb="0" eb="3">
      <t>ケンサイン</t>
    </rPh>
    <phoneticPr fontId="2"/>
  </si>
  <si>
    <t>**shinsei_KAKUNINZUMI_KENSAIN</t>
  </si>
  <si>
    <t>cst_shinsei_KAKUNINZUMI_KENSAIN</t>
    <phoneticPr fontId="2"/>
  </si>
  <si>
    <t>**shinsei_intermediate_GOUKAKU_KENSAIN</t>
  </si>
  <si>
    <t>cst_shinsei_intermediate_GOUKAKU_KENSAIN</t>
    <phoneticPr fontId="2"/>
  </si>
  <si>
    <t>**shinsei_KAN_ZUMI_KENSAIN</t>
  </si>
  <si>
    <t>cst_shinsei_KAN_ZUMI_KENSAIN</t>
    <phoneticPr fontId="2"/>
  </si>
  <si>
    <t>cst_shinsei_KENSAIN</t>
    <phoneticPr fontId="2"/>
  </si>
  <si>
    <t>種別による違いを吸収</t>
    <rPh sb="0" eb="2">
      <t>シュベツ</t>
    </rPh>
    <rPh sb="5" eb="6">
      <t>チガ</t>
    </rPh>
    <rPh sb="8" eb="10">
      <t>キュウシュウ</t>
    </rPh>
    <phoneticPr fontId="2"/>
  </si>
  <si>
    <t>検査年月日</t>
    <rPh sb="0" eb="2">
      <t>ケンサ</t>
    </rPh>
    <rPh sb="2" eb="5">
      <t>ネンガッピ</t>
    </rPh>
    <phoneticPr fontId="2"/>
  </si>
  <si>
    <t>**shinsei_intermediate_KENSA_DATE</t>
  </si>
  <si>
    <t>cst_shinsei_intermediate_KENSA_DATE</t>
    <phoneticPr fontId="2"/>
  </si>
  <si>
    <t>**shinsei_KAN_HOUKOKU_KENSA_DATE</t>
  </si>
  <si>
    <t>cst_shinsei_KAN_HOUKOKU_KENSA_DATE</t>
    <phoneticPr fontId="2"/>
  </si>
  <si>
    <t>□ 中間・完了</t>
    <rPh sb="2" eb="4">
      <t>チュウカン</t>
    </rPh>
    <rPh sb="5" eb="7">
      <t>カンリョウ</t>
    </rPh>
    <phoneticPr fontId="2"/>
  </si>
  <si>
    <t>cst_shinsei_KENSA_DATE</t>
    <phoneticPr fontId="2"/>
  </si>
  <si>
    <t>cst_shinsei_KENSA_DATE__add_disp</t>
    <phoneticPr fontId="2"/>
  </si>
  <si>
    <t>空データ時、和暦表示</t>
    <rPh sb="0" eb="1">
      <t>カラ</t>
    </rPh>
    <rPh sb="4" eb="5">
      <t>ジ</t>
    </rPh>
    <rPh sb="6" eb="8">
      <t>ワレキ</t>
    </rPh>
    <rPh sb="8" eb="10">
      <t>ヒョウジ</t>
    </rPh>
    <phoneticPr fontId="2"/>
  </si>
  <si>
    <t>特記事項, 法第3条第2項の規定及び不適合の規定</t>
    <rPh sb="0" eb="2">
      <t>トッキ</t>
    </rPh>
    <rPh sb="2" eb="4">
      <t>ジコウ</t>
    </rPh>
    <rPh sb="6" eb="7">
      <t>ホウ</t>
    </rPh>
    <rPh sb="7" eb="8">
      <t>ダイ</t>
    </rPh>
    <rPh sb="9" eb="10">
      <t>ジョウ</t>
    </rPh>
    <rPh sb="10" eb="11">
      <t>ダイ</t>
    </rPh>
    <rPh sb="12" eb="13">
      <t>コウ</t>
    </rPh>
    <rPh sb="14" eb="16">
      <t>キテイ</t>
    </rPh>
    <rPh sb="16" eb="17">
      <t>オヨ</t>
    </rPh>
    <rPh sb="18" eb="21">
      <t>フテキゴウ</t>
    </rPh>
    <rPh sb="22" eb="24">
      <t>キテイ</t>
    </rPh>
    <phoneticPr fontId="2"/>
  </si>
  <si>
    <t>**shinsei_Intermediate_GOUKAKU_TOKKI_JIKOU</t>
  </si>
  <si>
    <t>cst_shinsei_Intermediate_GOUKAKU_TOKKI_JIKOU</t>
    <phoneticPr fontId="2"/>
  </si>
  <si>
    <t>**shinsei_KAN_ZUMI_TOKKI_JIKOU</t>
  </si>
  <si>
    <t>cst_shinsei_KAN_ZUMI_TOKKI_JIKOU</t>
    <phoneticPr fontId="2"/>
  </si>
  <si>
    <t>cst_shinsei_TOKKI_JIKOU</t>
    <phoneticPr fontId="2"/>
  </si>
  <si>
    <t>報告日</t>
    <phoneticPr fontId="2"/>
  </si>
  <si>
    <t>**shinsei_HOUKOKU_DATE</t>
  </si>
  <si>
    <t>cst_shinsei_HOUKOKU_DATE</t>
    <phoneticPr fontId="2"/>
  </si>
  <si>
    <t>前処理</t>
    <rPh sb="0" eb="3">
      <t>マエショリ</t>
    </rPh>
    <phoneticPr fontId="2"/>
  </si>
  <si>
    <t>下部　メモ</t>
    <rPh sb="0" eb="2">
      <t>カブ</t>
    </rPh>
    <phoneticPr fontId="2"/>
  </si>
  <si>
    <t>cst_shinsei_ISSUETAB_MEMO</t>
    <phoneticPr fontId="2"/>
  </si>
  <si>
    <t>cst_kakaru_shinsei_ACCEPT_DATE</t>
    <phoneticPr fontId="2"/>
  </si>
  <si>
    <t>cst_kakaru_shinsei_HIKIUKE_DATE</t>
    <phoneticPr fontId="2"/>
  </si>
  <si>
    <t>cst_kakaru_shinsei_UKETUKE_NO</t>
    <phoneticPr fontId="2"/>
  </si>
  <si>
    <t>確認済証交付番号</t>
    <rPh sb="0" eb="2">
      <t>カクニン</t>
    </rPh>
    <rPh sb="2" eb="3">
      <t>ズミ</t>
    </rPh>
    <rPh sb="3" eb="4">
      <t>ショウ</t>
    </rPh>
    <phoneticPr fontId="2"/>
  </si>
  <si>
    <t>**shinsei_KAKU_SUMI_NO</t>
  </si>
  <si>
    <t>cst_shinsei_KAKU_SUMI_NO</t>
  </si>
  <si>
    <t>cst_shinsei_KAKU_SUMI_NO__disp</t>
  </si>
  <si>
    <t>確認済証交付日</t>
    <phoneticPr fontId="2"/>
  </si>
  <si>
    <t>**shinsei_KAKU_SUMI_KOUFU_DATE</t>
  </si>
  <si>
    <t>cst_shinsei_KAKU_SUMI_KOUFU_DATE</t>
    <phoneticPr fontId="2"/>
  </si>
  <si>
    <t>cst_shinsei_KAKU_SUMI_KOUFU_DATE__disp</t>
  </si>
  <si>
    <t>確認済証交付者（会社＋代表者）</t>
    <phoneticPr fontId="2"/>
  </si>
  <si>
    <t>**shinsei_KAKU_SUMI_KOUFU_NAME</t>
  </si>
  <si>
    <t>cst_shinsei_KAKU_SUMI_KOUFU_NAME</t>
    <phoneticPr fontId="2"/>
  </si>
  <si>
    <t>cst_shinsei_KAKU_SUMI_KOUFU_NAME__code</t>
  </si>
  <si>
    <t>役職名の所で改行処理</t>
    <rPh sb="0" eb="3">
      <t>ヤクショクメイ</t>
    </rPh>
    <rPh sb="4" eb="5">
      <t>トコロ</t>
    </rPh>
    <rPh sb="6" eb="8">
      <t>カイギョウ</t>
    </rPh>
    <rPh sb="8" eb="10">
      <t>ショリ</t>
    </rPh>
    <phoneticPr fontId="2"/>
  </si>
  <si>
    <t>cst_kakaru_shinsei_ISSUE_DATE</t>
    <phoneticPr fontId="2"/>
  </si>
  <si>
    <t>■ 処理 - 期限付・無期限・不適合処理</t>
    <rPh sb="2" eb="4">
      <t>ショリ</t>
    </rPh>
    <rPh sb="7" eb="9">
      <t>キゲン</t>
    </rPh>
    <rPh sb="9" eb="10">
      <t>ツキ</t>
    </rPh>
    <rPh sb="11" eb="14">
      <t>ムキゲン</t>
    </rPh>
    <rPh sb="15" eb="18">
      <t>フテキゴウ</t>
    </rPh>
    <rPh sb="18" eb="20">
      <t>ショリ</t>
    </rPh>
    <phoneticPr fontId="2"/>
  </si>
  <si>
    <t>通知日</t>
    <rPh sb="0" eb="2">
      <t>ツウチ</t>
    </rPh>
    <rPh sb="2" eb="3">
      <t>ビ</t>
    </rPh>
    <phoneticPr fontId="2"/>
  </si>
  <si>
    <t>■ 構造計算適合性判定（適判）</t>
    <rPh sb="2" eb="4">
      <t>コウゾウ</t>
    </rPh>
    <rPh sb="4" eb="6">
      <t>ケイサン</t>
    </rPh>
    <rPh sb="6" eb="9">
      <t>テキゴウセイ</t>
    </rPh>
    <rPh sb="9" eb="11">
      <t>ハンテイ</t>
    </rPh>
    <rPh sb="12" eb="14">
      <t>テキハン</t>
    </rPh>
    <phoneticPr fontId="2"/>
  </si>
  <si>
    <t>適合性判定機関名</t>
    <rPh sb="0" eb="3">
      <t>テキゴウセイ</t>
    </rPh>
    <rPh sb="3" eb="5">
      <t>ハンテイ</t>
    </rPh>
    <rPh sb="5" eb="7">
      <t>キカン</t>
    </rPh>
    <rPh sb="7" eb="8">
      <t>メイ</t>
    </rPh>
    <phoneticPr fontId="2"/>
  </si>
  <si>
    <t>**shinsei_STRUCTRESULT_NOTIFY_KOUFU_NAME</t>
  </si>
  <si>
    <t>cst_shinsei_STRUCTRESULT_NOTIFY_KOUFU_NAME</t>
    <phoneticPr fontId="2"/>
  </si>
  <si>
    <t xml:space="preserve"> - 適判機関識別コード</t>
    <rPh sb="3" eb="5">
      <t>テキハン</t>
    </rPh>
    <rPh sb="5" eb="7">
      <t>キカン</t>
    </rPh>
    <rPh sb="7" eb="9">
      <t>シキベツ</t>
    </rPh>
    <phoneticPr fontId="2"/>
  </si>
  <si>
    <t>申請棟数</t>
  </si>
  <si>
    <t>cst_shinsei_STR_SHINSEI_TOWERS</t>
    <phoneticPr fontId="2"/>
  </si>
  <si>
    <t>cst_shinsei_STR_SHINSEI_TOWERS</t>
    <phoneticPr fontId="2"/>
  </si>
  <si>
    <t>cst_shinsei_STR_SHINSEI_TOWERS__set_count</t>
    <phoneticPr fontId="2"/>
  </si>
  <si>
    <t>構造判定</t>
    <rPh sb="0" eb="2">
      <t>コウゾウ</t>
    </rPh>
    <rPh sb="2" eb="4">
      <t>ハンテイ</t>
    </rPh>
    <phoneticPr fontId="2"/>
  </si>
  <si>
    <t>cst_shinsei_strtower01_JUDGE</t>
    <phoneticPr fontId="2"/>
  </si>
  <si>
    <t>元確認の構造判定</t>
    <rPh sb="0" eb="1">
      <t>モト</t>
    </rPh>
    <rPh sb="1" eb="3">
      <t>カクニン</t>
    </rPh>
    <rPh sb="4" eb="6">
      <t>コウゾウ</t>
    </rPh>
    <rPh sb="6" eb="8">
      <t>ハンテイ</t>
    </rPh>
    <phoneticPr fontId="2"/>
  </si>
  <si>
    <t>cst_firstconf_shinsei_strtower01_JUDGE</t>
    <phoneticPr fontId="2"/>
  </si>
  <si>
    <t>事前通知日</t>
    <rPh sb="0" eb="2">
      <t>ジゼン</t>
    </rPh>
    <rPh sb="2" eb="5">
      <t>ツウチビ</t>
    </rPh>
    <phoneticPr fontId="2"/>
  </si>
  <si>
    <t>判定依頼日</t>
    <rPh sb="0" eb="2">
      <t>ハンテイ</t>
    </rPh>
    <rPh sb="2" eb="5">
      <t>イライビ</t>
    </rPh>
    <phoneticPr fontId="2"/>
  </si>
  <si>
    <t>適判受付日</t>
    <rPh sb="0" eb="2">
      <t>テキハン</t>
    </rPh>
    <rPh sb="2" eb="5">
      <t>ウケツケビ</t>
    </rPh>
    <phoneticPr fontId="2"/>
  </si>
  <si>
    <t>cst_shinsei_STRIRAI_TEKIHAN_ACCEPT_DATE</t>
    <phoneticPr fontId="2"/>
  </si>
  <si>
    <t>構造判定受付番号</t>
    <rPh sb="0" eb="2">
      <t>コウゾウ</t>
    </rPh>
    <rPh sb="2" eb="4">
      <t>ハンテイ</t>
    </rPh>
    <rPh sb="4" eb="6">
      <t>ウケツケ</t>
    </rPh>
    <rPh sb="6" eb="8">
      <t>バンゴウ</t>
    </rPh>
    <phoneticPr fontId="2"/>
  </si>
  <si>
    <t>cst_shinsei_STRIRAI_TEKIHAN_ACCEPT_NO</t>
    <phoneticPr fontId="2"/>
  </si>
  <si>
    <t>cst_shinsei_STRIRAI_TEKIHAN_ACCEPT_NO</t>
    <phoneticPr fontId="2"/>
  </si>
  <si>
    <t>延長通知日</t>
    <rPh sb="0" eb="2">
      <t>エンチョウ</t>
    </rPh>
    <rPh sb="2" eb="4">
      <t>ツウチ</t>
    </rPh>
    <rPh sb="4" eb="5">
      <t>ビ</t>
    </rPh>
    <phoneticPr fontId="2"/>
  </si>
  <si>
    <t>取下げ - 適判機関への提出日</t>
    <rPh sb="0" eb="2">
      <t>トリサ</t>
    </rPh>
    <rPh sb="6" eb="8">
      <t>テキハン</t>
    </rPh>
    <rPh sb="8" eb="10">
      <t>キカン</t>
    </rPh>
    <rPh sb="12" eb="14">
      <t>テイシュツ</t>
    </rPh>
    <rPh sb="14" eb="15">
      <t>ビ</t>
    </rPh>
    <phoneticPr fontId="2"/>
  </si>
  <si>
    <t>追加説明書の提出 - 通知日（適判へ）</t>
    <rPh sb="0" eb="2">
      <t>ツイカ</t>
    </rPh>
    <rPh sb="2" eb="5">
      <t>セツメイショ</t>
    </rPh>
    <rPh sb="6" eb="8">
      <t>テイシュツ</t>
    </rPh>
    <rPh sb="11" eb="14">
      <t>ツウチビ</t>
    </rPh>
    <rPh sb="15" eb="17">
      <t>テキハン</t>
    </rPh>
    <phoneticPr fontId="2"/>
  </si>
  <si>
    <t>cst_shinsei_STRUCTTUIKA_NOTIFT_DATE</t>
    <phoneticPr fontId="2"/>
  </si>
  <si>
    <t>追加説明提出日変更通知日</t>
    <rPh sb="0" eb="2">
      <t>ツイカ</t>
    </rPh>
    <rPh sb="2" eb="4">
      <t>セツメイ</t>
    </rPh>
    <rPh sb="4" eb="6">
      <t>テイシュツ</t>
    </rPh>
    <rPh sb="7" eb="9">
      <t>ヘンコウ</t>
    </rPh>
    <rPh sb="9" eb="12">
      <t>ツウチビ</t>
    </rPh>
    <phoneticPr fontId="2"/>
  </si>
  <si>
    <t>cst_shinsei__STRUCTNOTIFT_HENKOU_NOTIFT_DATE</t>
    <phoneticPr fontId="2"/>
  </si>
  <si>
    <t>cst_shinsei__STRUCTNOTIFT_HENKOU_NOTIFT_DATE</t>
    <phoneticPr fontId="2"/>
  </si>
  <si>
    <t>構造計算適合性判定結果通知</t>
    <phoneticPr fontId="2"/>
  </si>
  <si>
    <t>**shinsei_STRUCTRESULT_NOTIFY_DATE</t>
  </si>
  <si>
    <t>cst_shinsei_STRUCTRESULT_NOTIFY_DATE</t>
    <phoneticPr fontId="2"/>
  </si>
  <si>
    <t>通知番号</t>
    <phoneticPr fontId="2"/>
  </si>
  <si>
    <t>**shinsei_STRUCTRESULT_NOTIFY_NO</t>
  </si>
  <si>
    <t>cst_shinsei_STRUCTRESULT_NOTIFY_NO</t>
    <phoneticPr fontId="2"/>
  </si>
  <si>
    <t>判定結果</t>
    <phoneticPr fontId="2"/>
  </si>
  <si>
    <t>**shinsei_STRUCTRESULT_NOTIFY_RESULT</t>
  </si>
  <si>
    <t>適合</t>
    <rPh sb="0" eb="2">
      <t>テキゴウ</t>
    </rPh>
    <phoneticPr fontId="2"/>
  </si>
  <si>
    <t>cst_shinsei_STRUCTRESULT_NOTIFY_RESULT</t>
    <phoneticPr fontId="2"/>
  </si>
  <si>
    <t>備考</t>
    <phoneticPr fontId="2"/>
  </si>
  <si>
    <t>備考</t>
    <phoneticPr fontId="2"/>
  </si>
  <si>
    <t>**shinsei_STRUCTRESULT_NOTIFY_BIKO</t>
  </si>
  <si>
    <t>■ 引受通知、交付証、審査・検査報告書処理</t>
    <rPh sb="2" eb="4">
      <t>ヒキウケ</t>
    </rPh>
    <rPh sb="4" eb="6">
      <t>ツウチ</t>
    </rPh>
    <rPh sb="7" eb="9">
      <t>コウフ</t>
    </rPh>
    <rPh sb="9" eb="10">
      <t>ショウ</t>
    </rPh>
    <rPh sb="11" eb="13">
      <t>シンサ</t>
    </rPh>
    <rPh sb="14" eb="16">
      <t>ケンサ</t>
    </rPh>
    <rPh sb="16" eb="18">
      <t>ホウコク</t>
    </rPh>
    <rPh sb="18" eb="19">
      <t>ショ</t>
    </rPh>
    <rPh sb="19" eb="21">
      <t>ショリ</t>
    </rPh>
    <phoneticPr fontId="2"/>
  </si>
  <si>
    <t>引受通知書 宛名</t>
    <phoneticPr fontId="2"/>
  </si>
  <si>
    <t>課、及び庁の場合：御中, その他：様を付加表示（改行処理）</t>
    <rPh sb="0" eb="1">
      <t>カ</t>
    </rPh>
    <rPh sb="2" eb="3">
      <t>オヨ</t>
    </rPh>
    <rPh sb="4" eb="5">
      <t>チョウ</t>
    </rPh>
    <rPh sb="6" eb="8">
      <t>バアイ</t>
    </rPh>
    <rPh sb="9" eb="11">
      <t>オンチュウ</t>
    </rPh>
    <rPh sb="15" eb="16">
      <t>タ</t>
    </rPh>
    <rPh sb="17" eb="18">
      <t>サマ</t>
    </rPh>
    <rPh sb="19" eb="21">
      <t>フカ</t>
    </rPh>
    <rPh sb="21" eb="23">
      <t>ヒョウジ</t>
    </rPh>
    <rPh sb="24" eb="26">
      <t>カイギョウ</t>
    </rPh>
    <rPh sb="26" eb="28">
      <t>ショリ</t>
    </rPh>
    <phoneticPr fontId="2"/>
  </si>
  <si>
    <t>cst_HIKIUKE_TUUCHISAKI__disp</t>
  </si>
  <si>
    <t>審査報告書 宛名</t>
    <rPh sb="6" eb="8">
      <t>アテナ</t>
    </rPh>
    <phoneticPr fontId="2"/>
  </si>
  <si>
    <t>cst_HOUKOKUSAKI__disp</t>
  </si>
  <si>
    <t>報告書番号（交付：交付番号, 以外：引受番号）</t>
    <rPh sb="0" eb="2">
      <t>ホウコク</t>
    </rPh>
    <rPh sb="2" eb="3">
      <t>ショ</t>
    </rPh>
    <rPh sb="3" eb="5">
      <t>バンゴウ</t>
    </rPh>
    <phoneticPr fontId="2"/>
  </si>
  <si>
    <t>cst_shinsei__REPORT_NO__disp</t>
  </si>
  <si>
    <t>報告日（交付・交付不可共通）</t>
    <rPh sb="0" eb="2">
      <t>ホウコク</t>
    </rPh>
    <rPh sb="2" eb="3">
      <t>ビ</t>
    </rPh>
    <rPh sb="4" eb="6">
      <t>コウフ</t>
    </rPh>
    <rPh sb="7" eb="9">
      <t>コウフ</t>
    </rPh>
    <rPh sb="9" eb="11">
      <t>フカ</t>
    </rPh>
    <rPh sb="11" eb="13">
      <t>キョウツウ</t>
    </rPh>
    <phoneticPr fontId="2"/>
  </si>
  <si>
    <t>cst_shinsei__REPORT_DATE__disp</t>
    <phoneticPr fontId="2"/>
  </si>
  <si>
    <t xml:space="preserve"> - 通知日バージョン</t>
    <rPh sb="3" eb="6">
      <t>ツウチビ</t>
    </rPh>
    <phoneticPr fontId="2"/>
  </si>
  <si>
    <t>cst_shinsei_ISSUE_NOTIFY_DATE</t>
    <phoneticPr fontId="2"/>
  </si>
  <si>
    <t>cst_shinsei_ISSUE_NOTIFY_DATE__disp</t>
    <phoneticPr fontId="2"/>
  </si>
  <si>
    <t>交付できない通知 - 備考（ラベル）の表示1 &lt;期限付の行に用いる&gt;</t>
    <rPh sb="0" eb="2">
      <t>コウフ</t>
    </rPh>
    <rPh sb="6" eb="8">
      <t>ツウチ</t>
    </rPh>
    <rPh sb="11" eb="13">
      <t>ビコウ</t>
    </rPh>
    <rPh sb="19" eb="21">
      <t>ヒョウジ</t>
    </rPh>
    <rPh sb="24" eb="26">
      <t>キゲン</t>
    </rPh>
    <rPh sb="26" eb="27">
      <t>ツキ</t>
    </rPh>
    <rPh sb="28" eb="29">
      <t>ギョウ</t>
    </rPh>
    <rPh sb="30" eb="31">
      <t>モチ</t>
    </rPh>
    <phoneticPr fontId="2"/>
  </si>
  <si>
    <t>cst_shinsei__NOTIFY_LIMIT_DATE__lbl1</t>
    <phoneticPr fontId="2"/>
  </si>
  <si>
    <t>交付できない通知 - 備考（ラベル）の表示2 &lt;備考の行に用いる&gt;</t>
    <rPh sb="0" eb="2">
      <t>コウフ</t>
    </rPh>
    <rPh sb="6" eb="8">
      <t>ツウチ</t>
    </rPh>
    <rPh sb="11" eb="13">
      <t>ビコウ</t>
    </rPh>
    <rPh sb="19" eb="21">
      <t>ヒョウジ</t>
    </rPh>
    <rPh sb="24" eb="26">
      <t>ビコウ</t>
    </rPh>
    <rPh sb="27" eb="28">
      <t>ギョウ</t>
    </rPh>
    <rPh sb="29" eb="30">
      <t>モチ</t>
    </rPh>
    <phoneticPr fontId="2"/>
  </si>
  <si>
    <t>cst_shinsei__NOTIFY_LIMIT_DATE__lbl2</t>
    <phoneticPr fontId="2"/>
  </si>
  <si>
    <t>期限年月日（期限付のみ表示）</t>
    <rPh sb="6" eb="8">
      <t>キゲン</t>
    </rPh>
    <rPh sb="8" eb="9">
      <t>ツキ</t>
    </rPh>
    <rPh sb="11" eb="13">
      <t>ヒョウジ</t>
    </rPh>
    <phoneticPr fontId="2"/>
  </si>
  <si>
    <t>cst_shinsei__NOTIFY_LIMIT_DATE__disp</t>
  </si>
  <si>
    <t>（期限日：＊＊＊）</t>
  </si>
  <si>
    <t>cst_shinsei__NOTIFY_LIMIT_DATE__result_disp</t>
    <phoneticPr fontId="2"/>
  </si>
  <si>
    <t>軽微な補正及び追加説明の提出期限：***</t>
    <phoneticPr fontId="2"/>
  </si>
  <si>
    <t>期限付 - 特殊処理（前処理）</t>
    <rPh sb="0" eb="2">
      <t>キゲン</t>
    </rPh>
    <rPh sb="2" eb="3">
      <t>ツキ</t>
    </rPh>
    <rPh sb="6" eb="8">
      <t>トクシュ</t>
    </rPh>
    <rPh sb="8" eb="10">
      <t>ショリ</t>
    </rPh>
    <rPh sb="11" eb="14">
      <t>マエショリ</t>
    </rPh>
    <phoneticPr fontId="2"/>
  </si>
  <si>
    <t>cst_shinsei__NOTIFY_LIMIT_DATE</t>
    <phoneticPr fontId="2"/>
  </si>
  <si>
    <t>期限付 - 特殊処理（前処理 - 日付のテキスト化）</t>
    <rPh sb="0" eb="2">
      <t>キゲン</t>
    </rPh>
    <rPh sb="2" eb="3">
      <t>ツキ</t>
    </rPh>
    <rPh sb="6" eb="8">
      <t>トクシュ</t>
    </rPh>
    <rPh sb="8" eb="10">
      <t>ショリ</t>
    </rPh>
    <rPh sb="11" eb="14">
      <t>マエショリ</t>
    </rPh>
    <rPh sb="17" eb="19">
      <t>ヒヅケ</t>
    </rPh>
    <rPh sb="24" eb="25">
      <t>カ</t>
    </rPh>
    <phoneticPr fontId="2"/>
  </si>
  <si>
    <t>cst_shinsei__NOTIFY_LIMIT_DATE__text</t>
    <phoneticPr fontId="2"/>
  </si>
  <si>
    <t>●</t>
    <phoneticPr fontId="2"/>
  </si>
  <si>
    <t>期限年月日（備考文中に日付を取り込んだ場合は非表示）</t>
    <rPh sb="0" eb="2">
      <t>キゲン</t>
    </rPh>
    <rPh sb="2" eb="5">
      <t>ネンガッピ</t>
    </rPh>
    <rPh sb="6" eb="8">
      <t>ビコウ</t>
    </rPh>
    <rPh sb="8" eb="10">
      <t>ブンチュウ</t>
    </rPh>
    <rPh sb="11" eb="13">
      <t>ヒヅケ</t>
    </rPh>
    <rPh sb="14" eb="15">
      <t>ト</t>
    </rPh>
    <rPh sb="16" eb="17">
      <t>コ</t>
    </rPh>
    <rPh sb="19" eb="21">
      <t>バアイ</t>
    </rPh>
    <rPh sb="22" eb="25">
      <t>ヒヒョウジ</t>
    </rPh>
    <phoneticPr fontId="2"/>
  </si>
  <si>
    <t>cst_shinsei__NOTIFY_LIMIT_DATE__date_in_NOTIFY_NOTE</t>
    <phoneticPr fontId="2"/>
  </si>
  <si>
    <t>理由</t>
  </si>
  <si>
    <t>cst_shinsei__NOTIFY_CAUSE</t>
    <phoneticPr fontId="2"/>
  </si>
  <si>
    <t>備考</t>
  </si>
  <si>
    <t>cst_shinsei__NOTIFY_NOTE</t>
    <phoneticPr fontId="2"/>
  </si>
  <si>
    <t>備考（文中に期限日を取り込む）</t>
    <rPh sb="3" eb="5">
      <t>ブンチュウ</t>
    </rPh>
    <rPh sb="6" eb="8">
      <t>キゲン</t>
    </rPh>
    <rPh sb="8" eb="9">
      <t>ビ</t>
    </rPh>
    <rPh sb="10" eb="11">
      <t>ト</t>
    </rPh>
    <rPh sb="12" eb="13">
      <t>コ</t>
    </rPh>
    <phoneticPr fontId="2"/>
  </si>
  <si>
    <t>cst_shinsei__NOTIFY_NOTE__ins_date</t>
    <phoneticPr fontId="2"/>
  </si>
  <si>
    <t>建築物の名称付</t>
    <rPh sb="0" eb="3">
      <t>ケンチクブツ</t>
    </rPh>
    <rPh sb="4" eb="6">
      <t>メイショウ</t>
    </rPh>
    <rPh sb="6" eb="7">
      <t>ツキ</t>
    </rPh>
    <phoneticPr fontId="2"/>
  </si>
  <si>
    <t>法不適合時の事由</t>
    <rPh sb="0" eb="1">
      <t>ホウ</t>
    </rPh>
    <rPh sb="1" eb="4">
      <t>フテキゴウ</t>
    </rPh>
    <rPh sb="4" eb="5">
      <t>ジ</t>
    </rPh>
    <rPh sb="6" eb="8">
      <t>ジユウ</t>
    </rPh>
    <phoneticPr fontId="2"/>
  </si>
  <si>
    <t>前処理（交付不可系時に出力）</t>
    <rPh sb="0" eb="3">
      <t>マエショリ</t>
    </rPh>
    <rPh sb="4" eb="6">
      <t>コウフ</t>
    </rPh>
    <rPh sb="6" eb="8">
      <t>フカ</t>
    </rPh>
    <rPh sb="8" eb="9">
      <t>ケイ</t>
    </rPh>
    <rPh sb="9" eb="10">
      <t>ジ</t>
    </rPh>
    <rPh sb="11" eb="13">
      <t>シュツリョク</t>
    </rPh>
    <phoneticPr fontId="2"/>
  </si>
  <si>
    <t>cst_shinsei__REPORT_CAUSE</t>
    <phoneticPr fontId="2"/>
  </si>
  <si>
    <t>理由欄に記載ある場合は優先する</t>
    <rPh sb="0" eb="2">
      <t>リユウ</t>
    </rPh>
    <rPh sb="2" eb="3">
      <t>ラン</t>
    </rPh>
    <rPh sb="4" eb="6">
      <t>キサイ</t>
    </rPh>
    <rPh sb="8" eb="10">
      <t>バアイ</t>
    </rPh>
    <rPh sb="11" eb="13">
      <t>ユウセン</t>
    </rPh>
    <phoneticPr fontId="2"/>
  </si>
  <si>
    <t>cst_shinsei__NOTIFY_CAUSE_REPORT_CAUSE</t>
    <phoneticPr fontId="2"/>
  </si>
  <si>
    <t>cst_shinsei__NOTIFY_KENSA_DATE</t>
    <phoneticPr fontId="2"/>
  </si>
  <si>
    <t>確認審査の結果</t>
  </si>
  <si>
    <t>適合, 不適合, 適合するかどうかを決定することができない</t>
    <rPh sb="0" eb="2">
      <t>テキゴウ</t>
    </rPh>
    <phoneticPr fontId="2"/>
  </si>
  <si>
    <t>cst_shinsei__REPORT_RESULT</t>
    <phoneticPr fontId="2"/>
  </si>
  <si>
    <t xml:space="preserve"> - 期限日付</t>
    <phoneticPr fontId="2"/>
  </si>
  <si>
    <t>検査を行った確認検査員氏名</t>
    <rPh sb="0" eb="2">
      <t>ケンサ</t>
    </rPh>
    <rPh sb="3" eb="4">
      <t>オコナ</t>
    </rPh>
    <rPh sb="6" eb="8">
      <t>カクニン</t>
    </rPh>
    <rPh sb="8" eb="11">
      <t>ケンサイン</t>
    </rPh>
    <rPh sb="11" eb="13">
      <t>シメイ</t>
    </rPh>
    <phoneticPr fontId="2"/>
  </si>
  <si>
    <t>cst_shinsei__NOTIFY_USER</t>
    <phoneticPr fontId="2"/>
  </si>
  <si>
    <t>確認済証番号</t>
    <rPh sb="0" eb="2">
      <t>カクニン</t>
    </rPh>
    <rPh sb="2" eb="3">
      <t>ズミ</t>
    </rPh>
    <rPh sb="3" eb="4">
      <t>ショウ</t>
    </rPh>
    <rPh sb="4" eb="6">
      <t>バンゴウ</t>
    </rPh>
    <phoneticPr fontId="2"/>
  </si>
  <si>
    <t>確認：（交付：自分, 不可：－－）, 検査：係る確認</t>
    <rPh sb="0" eb="2">
      <t>カクニン</t>
    </rPh>
    <rPh sb="4" eb="6">
      <t>コウフ</t>
    </rPh>
    <rPh sb="7" eb="9">
      <t>ジブン</t>
    </rPh>
    <rPh sb="11" eb="13">
      <t>フカ</t>
    </rPh>
    <rPh sb="19" eb="21">
      <t>ケンサ</t>
    </rPh>
    <rPh sb="22" eb="23">
      <t>カカ</t>
    </rPh>
    <rPh sb="24" eb="26">
      <t>カクニン</t>
    </rPh>
    <phoneticPr fontId="2"/>
  </si>
  <si>
    <t>交付以外にも用いる為に空白時に記号を出さない</t>
    <rPh sb="0" eb="2">
      <t>コウフ</t>
    </rPh>
    <rPh sb="2" eb="4">
      <t>イガイ</t>
    </rPh>
    <rPh sb="6" eb="7">
      <t>モチ</t>
    </rPh>
    <rPh sb="9" eb="10">
      <t>タメ</t>
    </rPh>
    <rPh sb="11" eb="13">
      <t>クウハク</t>
    </rPh>
    <rPh sb="13" eb="14">
      <t>ジ</t>
    </rPh>
    <rPh sb="15" eb="17">
      <t>キゴウ</t>
    </rPh>
    <rPh sb="18" eb="19">
      <t>ダ</t>
    </rPh>
    <phoneticPr fontId="2"/>
  </si>
  <si>
    <t>主に審査報告書用</t>
    <rPh sb="0" eb="1">
      <t>オモ</t>
    </rPh>
    <rPh sb="2" eb="4">
      <t>シンサ</t>
    </rPh>
    <rPh sb="4" eb="7">
      <t>ホウコクショ</t>
    </rPh>
    <rPh sb="7" eb="8">
      <t>ヨウ</t>
    </rPh>
    <phoneticPr fontId="2"/>
  </si>
  <si>
    <t>cst_shinsei__REPORT_KAKU_SUMI_NO</t>
    <phoneticPr fontId="2"/>
  </si>
  <si>
    <t>主に引受・引受通知・検査報告書用</t>
    <rPh sb="0" eb="1">
      <t>オモ</t>
    </rPh>
    <rPh sb="2" eb="4">
      <t>ヒキウケ</t>
    </rPh>
    <rPh sb="5" eb="7">
      <t>ヒキウケ</t>
    </rPh>
    <rPh sb="7" eb="9">
      <t>ツウチ</t>
    </rPh>
    <rPh sb="10" eb="12">
      <t>ケンサ</t>
    </rPh>
    <rPh sb="12" eb="15">
      <t>ホウコクショ</t>
    </rPh>
    <rPh sb="15" eb="16">
      <t>ヨウ</t>
    </rPh>
    <phoneticPr fontId="2"/>
  </si>
  <si>
    <t>cst_shinsei__REPORT_KAKU_SUMI_NO__disp</t>
    <phoneticPr fontId="2"/>
  </si>
  <si>
    <t>確認済証交付年月日</t>
    <rPh sb="0" eb="2">
      <t>カクニン</t>
    </rPh>
    <rPh sb="2" eb="3">
      <t>ズミ</t>
    </rPh>
    <rPh sb="3" eb="4">
      <t>ショウ</t>
    </rPh>
    <rPh sb="4" eb="6">
      <t>コウフ</t>
    </rPh>
    <rPh sb="6" eb="9">
      <t>ネンガッピ</t>
    </rPh>
    <phoneticPr fontId="2"/>
  </si>
  <si>
    <t>cst_shinsei__REPORT_KAKU_SUMI_KOUFU_DATE</t>
    <phoneticPr fontId="2"/>
  </si>
  <si>
    <t>cst_shinsei__REPORT_KAKU_SUMI_KOUFU_DATE__disp</t>
    <phoneticPr fontId="2"/>
  </si>
  <si>
    <t>確認済証交付者</t>
    <rPh sb="0" eb="2">
      <t>カクニン</t>
    </rPh>
    <rPh sb="2" eb="3">
      <t>ズミ</t>
    </rPh>
    <rPh sb="3" eb="4">
      <t>ショウ</t>
    </rPh>
    <rPh sb="4" eb="6">
      <t>コウフ</t>
    </rPh>
    <rPh sb="6" eb="7">
      <t>シャ</t>
    </rPh>
    <phoneticPr fontId="2"/>
  </si>
  <si>
    <t>通知書・報告書（共通）（改行）</t>
    <rPh sb="0" eb="3">
      <t>ツウチショ</t>
    </rPh>
    <rPh sb="4" eb="7">
      <t>ホウコクショ</t>
    </rPh>
    <rPh sb="8" eb="10">
      <t>キョウツウ</t>
    </rPh>
    <rPh sb="12" eb="14">
      <t>カイギョウ</t>
    </rPh>
    <phoneticPr fontId="2"/>
  </si>
  <si>
    <t>cst_shinsei__REPORT_KAKU_SUMI_KOUFU_NAME</t>
    <phoneticPr fontId="2"/>
  </si>
  <si>
    <t>構造計算適合性判定</t>
  </si>
  <si>
    <t>通知日</t>
    <rPh sb="0" eb="3">
      <t>ツウチビ</t>
    </rPh>
    <phoneticPr fontId="2"/>
  </si>
  <si>
    <t>cst_shinsei__REPORT_STRUCTRESULT_NOTIFY_DATE</t>
  </si>
  <si>
    <t>通知書番号</t>
    <rPh sb="0" eb="3">
      <t>ツウチショ</t>
    </rPh>
    <rPh sb="3" eb="5">
      <t>バンゴウ</t>
    </rPh>
    <phoneticPr fontId="2"/>
  </si>
  <si>
    <t>通常処理</t>
    <rPh sb="0" eb="2">
      <t>ツウジョウ</t>
    </rPh>
    <rPh sb="2" eb="4">
      <t>ショリ</t>
    </rPh>
    <phoneticPr fontId="2"/>
  </si>
  <si>
    <t>cst_shinsei__REPORT_STRUCTRESULT_NOTIFY_NO</t>
  </si>
  <si>
    <t>三か所調査版</t>
    <rPh sb="0" eb="1">
      <t>サン</t>
    </rPh>
    <rPh sb="2" eb="3">
      <t>ショ</t>
    </rPh>
    <rPh sb="3" eb="5">
      <t>チョウサ</t>
    </rPh>
    <rPh sb="5" eb="6">
      <t>バン</t>
    </rPh>
    <phoneticPr fontId="2"/>
  </si>
  <si>
    <t>cst_shinsei__REPORT_STRUCTRESULT_NOTIFY_NO__search</t>
    <phoneticPr fontId="2"/>
  </si>
  <si>
    <t>「第」「号」無し</t>
    <rPh sb="1" eb="2">
      <t>ダイ</t>
    </rPh>
    <rPh sb="4" eb="5">
      <t>ゴウ</t>
    </rPh>
    <rPh sb="6" eb="7">
      <t>ナ</t>
    </rPh>
    <phoneticPr fontId="2"/>
  </si>
  <si>
    <t>cst_shinsei__REPORT_STRUCTRESULT_NOTIFY_NO__search_disp</t>
    <phoneticPr fontId="2"/>
  </si>
  <si>
    <t>cst_shinsei__REPORT_STRUCTRESULT_NOTIFY_NO__search_disp2</t>
    <phoneticPr fontId="2"/>
  </si>
  <si>
    <t>cst_shinsei__REPORT_STRUCTRESULT_NOTIFY_NO__search_disp3</t>
    <phoneticPr fontId="2"/>
  </si>
  <si>
    <t>cst_shinsei__REPORT_STRUCTRESULT_NOTIFY_NO__select</t>
    <phoneticPr fontId="2"/>
  </si>
  <si>
    <t>cst_shinsei__REPORT_STRUCTRESULT_KOUFU_NAME</t>
    <phoneticPr fontId="2"/>
  </si>
  <si>
    <t>結果</t>
    <rPh sb="0" eb="2">
      <t>ケッカ</t>
    </rPh>
    <phoneticPr fontId="2"/>
  </si>
  <si>
    <t>cst_shinsei__REPORT_STRUCTRESULT_NOTIFY_RESULT_selct</t>
    <phoneticPr fontId="2"/>
  </si>
  <si>
    <t>cst_shinsei__REPORT_STRUCTRESULT_NOTIFY_RESULT</t>
    <phoneticPr fontId="2"/>
  </si>
  <si>
    <t>適正</t>
    <rPh sb="0" eb="2">
      <t>テキセイ</t>
    </rPh>
    <phoneticPr fontId="2"/>
  </si>
  <si>
    <t>兵庫県住宅の場合</t>
    <rPh sb="0" eb="3">
      <t>ヒョウゴケン</t>
    </rPh>
    <rPh sb="3" eb="5">
      <t>ジュウタク</t>
    </rPh>
    <rPh sb="6" eb="8">
      <t>バアイ</t>
    </rPh>
    <phoneticPr fontId="2"/>
  </si>
  <si>
    <t>合格証・検査済証番号</t>
    <rPh sb="0" eb="2">
      <t>ゴウカク</t>
    </rPh>
    <rPh sb="2" eb="3">
      <t>ショウ</t>
    </rPh>
    <rPh sb="4" eb="6">
      <t>ケンサ</t>
    </rPh>
    <rPh sb="6" eb="7">
      <t>ズミ</t>
    </rPh>
    <rPh sb="7" eb="8">
      <t>ショウ</t>
    </rPh>
    <rPh sb="8" eb="10">
      <t>バンゴウ</t>
    </rPh>
    <phoneticPr fontId="2"/>
  </si>
  <si>
    <t>**shinsei_kouzoujimu_EMAIL</t>
  </si>
  <si>
    <t>**shinsei_build_GENTI_CYOUSA_DATE</t>
  </si>
  <si>
    <t>**shinsei_build_KARI_UKETUKE_KIBOU_DATE</t>
  </si>
  <si>
    <t>**shinsei_build_KOUZOU_SYUURYOU_DATE</t>
  </si>
  <si>
    <t>**shinsei_build_ISYOU_SYUURYOU_DATE</t>
  </si>
  <si>
    <t>**shinsei_build_HIKIUKE_MIKOMI_DATE</t>
  </si>
  <si>
    <t>**shinsei_build_ZUMISYOU_KIBOU_DATE</t>
  </si>
  <si>
    <t>**shinsei_build_BETU_KIKAN_FLAG</t>
  </si>
  <si>
    <t>**shinsei_build_ISYOU_SHINSA_COMMENT</t>
  </si>
  <si>
    <t>**shinsei_build_KOUZOU_SHINSA_COMMENT</t>
  </si>
  <si>
    <t>**shinsei_HIKIUKE_KAKU_KOUFU_YOTEI_DATE</t>
  </si>
  <si>
    <t>**shinsei_APPLICANT_CORP</t>
  </si>
  <si>
    <t>**shinsei_APPLICANT_NAME_KANA</t>
  </si>
  <si>
    <t>**shinsei_APPLICANT_POST</t>
  </si>
  <si>
    <t>**shinsei_APPLICANT_NAME</t>
  </si>
  <si>
    <t>**shinsei_APPLICANT_ZIP</t>
  </si>
  <si>
    <t>**shinsei_APPLICANT__address</t>
  </si>
  <si>
    <t>**shinsei_APPLICANT_TEL</t>
  </si>
  <si>
    <t>**shinsei_NUSHI_CORP</t>
  </si>
  <si>
    <t>**shinsei_NUSHI_NAME_KANA</t>
  </si>
  <si>
    <t>**shinsei_NUSHI_POST</t>
  </si>
  <si>
    <t>**shinsei_NUSHI_NAME</t>
  </si>
  <si>
    <t>**shinsei_NUSHI_POST_CODE</t>
  </si>
  <si>
    <t>**shinsei_NUSHI__address</t>
  </si>
  <si>
    <t>**shinsei_NUSHI_TEL</t>
  </si>
  <si>
    <t>**shinsei_owner2_CORP</t>
  </si>
  <si>
    <t>**shinsei_DAIRI_SIKAKU</t>
  </si>
  <si>
    <t>**shinsei_DAIRI_TOUROKU_KIKAN</t>
  </si>
  <si>
    <t>**shinsei_DAIRI_KENSETUSI_NO</t>
  </si>
  <si>
    <t>**shinsei_DAIRI_JIMU_SIKAKU</t>
  </si>
  <si>
    <t>**shinsei_DAIRI_JIMU_TOUROKU_KIKAN</t>
  </si>
  <si>
    <t>**shinsei_DAIRI_JIMU_NO</t>
  </si>
  <si>
    <t>**shinsei_DAIRI_POST_CODE</t>
  </si>
  <si>
    <t>**shinsei_DAIRI_FAX</t>
  </si>
  <si>
    <t>**shinsei_dairi02_SIKAKU</t>
  </si>
  <si>
    <t>**shinsei_dairi02_TOUROKU_KIKAN</t>
  </si>
  <si>
    <t>**shinsei_dairi02_KENSETUSI_NO</t>
  </si>
  <si>
    <t>**shinsei_dairi02_NAME</t>
  </si>
  <si>
    <t>**shinsei_dairi02_JIMU_SIKAKU</t>
  </si>
  <si>
    <t>**shinsei_dairi02_JIMU_TOUROKU_KIKAN</t>
  </si>
  <si>
    <t>**shinsei_dairi02_JIMU_NO</t>
  </si>
  <si>
    <t>**shinsei_dairi02_POST_CODE</t>
  </si>
  <si>
    <t>**shinsei_dairi02__address</t>
  </si>
  <si>
    <t>**shinsei_dairi02_TEL</t>
  </si>
  <si>
    <t>**shinsei_SEKKEI_SIKAKU</t>
  </si>
  <si>
    <t>**shinsei_SEKKEI_KENSETUSI_NO</t>
  </si>
  <si>
    <t>**shinsei_SEKKEI_NAME</t>
  </si>
  <si>
    <t>**shinsei_SEKKEI_JIMU_SIKAKU</t>
  </si>
  <si>
    <t>**shinsei_SEKKEI_JIMU_TOUROKU_KIKAN</t>
  </si>
  <si>
    <t>**shinsei_SEKKEI_JIMU_NAME</t>
  </si>
  <si>
    <t>**shinsei_SEKKEI_POST_CODE</t>
  </si>
  <si>
    <t>**shinsei_SEKKEI__address</t>
  </si>
  <si>
    <t>**shinsei_SEKKEI_TEL</t>
  </si>
  <si>
    <t>**shinsei_KANRI_SIKAKU</t>
  </si>
  <si>
    <t>**shinsei_KANRI_TOUROKU_KIKAN</t>
  </si>
  <si>
    <t>**shinsei_KANRI_KENSETUSI_NO</t>
  </si>
  <si>
    <t>**shinsei_KANRI_NAME</t>
  </si>
  <si>
    <t>**shinsei_KANRI_JIMU_SIKAKU</t>
  </si>
  <si>
    <t>**shinsei_KANRI_JIMU_TOUROKU_KIKAN</t>
  </si>
  <si>
    <t>**shinsei_KANRI_JIMU_NO</t>
  </si>
  <si>
    <t>**shinsei_KANRI_JIMU_NAME</t>
  </si>
  <si>
    <t>**shinsei_KANRI_POST_CODE</t>
  </si>
  <si>
    <t>**shinsei_KANRI__address</t>
  </si>
  <si>
    <t>**shinsei_KANRI_TEL</t>
  </si>
  <si>
    <t>**shinsei_SEKOU_JIMU_TOUROKU_KIKAN</t>
  </si>
  <si>
    <t>**shinsei_SEKOU_JIMU_NO</t>
  </si>
  <si>
    <t>**shinsei_SEKOU_JIMU_NAME</t>
  </si>
  <si>
    <t>**shinsei_SEKOU__address</t>
  </si>
  <si>
    <t>**shinsei_SEKOU_ADDRESS</t>
  </si>
  <si>
    <t>**shinsei_SEKOU_TEL</t>
  </si>
  <si>
    <t>**shinsei_sekou2_NAME</t>
  </si>
  <si>
    <t>**shinsei_sekou3_NAME</t>
  </si>
  <si>
    <t>**shinsei_build_SHIKITI_MENSEKI_1_TOTAL</t>
  </si>
  <si>
    <t>**shinsei_**shinsei_IGAI__zero</t>
  </si>
  <si>
    <t>**shinsei_**shinsei_TOTAL</t>
  </si>
  <si>
    <t>**shinsei_build_YOUSEKI_RITU_A</t>
  </si>
  <si>
    <t>**shinsei_build_KENPEI_RITU_A</t>
  </si>
  <si>
    <t>**shinsei_build_KENPEI_RITU</t>
  </si>
  <si>
    <t>**shinsei_build_YOUSEKI_RITU</t>
  </si>
  <si>
    <t>**shinsei_**shinsei_COUNT</t>
  </si>
  <si>
    <t>**shinsei_build_BILL_SONOTA_COUNT</t>
  </si>
  <si>
    <t>**shinsei_**shinsei__zero</t>
  </si>
  <si>
    <t>**shinsei_build_YOUTO_CODE</t>
  </si>
  <si>
    <t>**shinsei_build_YOUTO_PRINT</t>
  </si>
  <si>
    <t>**shinsei_kouji</t>
  </si>
  <si>
    <t>**shinsei_build_YOUTO_TIIKI_A</t>
  </si>
  <si>
    <t>**shinsei_build_SONOTA_KUIKI</t>
  </si>
  <si>
    <t>**shinsei_build_BOUKA_BOUKA</t>
  </si>
  <si>
    <t>**shinsei_build_BOUKA_JYUN_BOUKA</t>
  </si>
  <si>
    <t>**shinsei_build_BOUKA_NASI</t>
  </si>
  <si>
    <t>**shinsei_build_KOUZOU1</t>
  </si>
  <si>
    <t>**shinsei_build_KOUZOU2</t>
  </si>
  <si>
    <t>**shinsei_BILL_NAME</t>
  </si>
  <si>
    <t>**shinsei_KOUJI_KANRYOU_DATE</t>
  </si>
  <si>
    <t>**shinsei_final_KAN_KANRYOU_YOTEI_DATE</t>
  </si>
  <si>
    <t>**shinsei_build_TOKUREI_56_7</t>
  </si>
  <si>
    <t>**shinsei_build_TOKUREI_56_7_DOURO_TAKASA</t>
  </si>
  <si>
    <t>**shinsei_build_TOKUREI_56_7_DOURO_RINTI</t>
  </si>
  <si>
    <t>**shinsei_build_TOKUREI_56_7_DOURO_KITA</t>
  </si>
  <si>
    <t>**shinsei_KANRYOU_KEIKA1_GOUKAKU_NO</t>
  </si>
  <si>
    <t>**shinsei_KANRYOU_KEIKA1_KOUFU_DATE</t>
  </si>
  <si>
    <t>**shinsei_KANRYOU_KEIKA1_KOUTEI</t>
  </si>
  <si>
    <t>**shinsei_build_p4_TAIKA_KENTIKU</t>
  </si>
  <si>
    <t>**shinsei_build_p4_TAKASA_KEN_MAX</t>
  </si>
  <si>
    <t>**shinsei_build_p4_TAKASA_MAX</t>
  </si>
  <si>
    <t>**shinsei_FIRE_STATION_NAME</t>
  </si>
  <si>
    <t>**shinsei_FIRE_STATION_DEPART_NAME</t>
  </si>
  <si>
    <t>**shinsei_FIRE_SUBMIT_DATE</t>
  </si>
  <si>
    <t>**shinsei_FIRE_AGREE_DATE</t>
  </si>
  <si>
    <t>**shinsei_FIRE_NOTIFY_DATE</t>
  </si>
  <si>
    <t>**shinsei_HEALTH_CENTER_NAME</t>
  </si>
  <si>
    <t>**shinsei_HEALTH_CENTER_DEPART_NAME</t>
  </si>
  <si>
    <t>**shinsei_PURIFIER_TANK_FLAG</t>
  </si>
  <si>
    <t>**shinsei_build_STAT_SEPTICTANK_SYORI</t>
  </si>
  <si>
    <t>**shinsei_build_STAT_SEPTICTANK_CAPACITY</t>
  </si>
  <si>
    <t>**shinsei_HEALTH_NOTIFY_DATE</t>
  </si>
  <si>
    <t>**shinsei_SEPTICTANK_KOUZOU_SYURUI</t>
  </si>
  <si>
    <t>**shinsei_KAKUNINZUMI_HOUKOKU_GYOSEI_DATE</t>
  </si>
  <si>
    <t>**shinsei_build_DOURO_SIKITI_HASSO_DATE</t>
  </si>
  <si>
    <t>**shinsei_ACCEPT_TOKKI_JIKOU</t>
  </si>
  <si>
    <t>**shinsei_ev_EV_COUNT</t>
  </si>
  <si>
    <t>**shinsei_ev_SETUBI_GAIYOU</t>
  </si>
  <si>
    <t>**shinsei_ev_WORKCOUNT_SHINSEI</t>
  </si>
  <si>
    <t>**shinsei_ev_KOUSAKU_TAKASA_MAX</t>
  </si>
  <si>
    <t>**shinsei_ev_KOUSAKU_TAKASA_BIKO</t>
  </si>
  <si>
    <t>**shinsei_ev_KOUSAKU882_YOUTO</t>
  </si>
  <si>
    <t>**shinsei_ev_TIKUZOUMENSEKI_SHINSEI</t>
  </si>
  <si>
    <t>**shinsei_ev_TIKUZOUMENSEKI_IGAI</t>
  </si>
  <si>
    <t>**shinsei_ev_TIKUZOUMENSEKI_TOTAL</t>
  </si>
  <si>
    <t>**shinsei_**shinsei_ISSUE_NO</t>
  </si>
  <si>
    <t>**shinsei_**shinsei_ISSUE_DATE</t>
  </si>
  <si>
    <t>**shinsei_**shinsei_HOU6</t>
  </si>
  <si>
    <t>**shinsei_build_kouji</t>
  </si>
  <si>
    <t>**shinsei_intermediate_CYU1_NITTEI</t>
  </si>
  <si>
    <t>**shinsei_INTER_KOUKU</t>
  </si>
  <si>
    <t>**shinsei_BUILD_NAME_COMP</t>
  </si>
  <si>
    <t>**shinsei_PROVO_DATE</t>
  </si>
  <si>
    <t>**shinsei_PROVO_NO</t>
  </si>
  <si>
    <t>**shinsei_ACCEPT_DATE</t>
  </si>
  <si>
    <t>**shinsei_HIKIUKE_DATE</t>
  </si>
  <si>
    <t>**shinsei_HIKIUKE_TUUTI_DATE</t>
  </si>
  <si>
    <t>**shinsei_UKETUKE_NO</t>
  </si>
  <si>
    <t>**shinsei_ISSUE_DATE</t>
  </si>
  <si>
    <t>**shinsei_intermediate_KENSA_KEKKA</t>
  </si>
  <si>
    <t>**shinsei_KAN_KENSA_KEKKA</t>
  </si>
  <si>
    <t>**shinsei_ISSUETAB_MEMO</t>
  </si>
  <si>
    <t>**shinsei_TEKIHAN_KIKAN_CODE</t>
  </si>
  <si>
    <t>**shinsei_**shinsei_TOWERS</t>
  </si>
  <si>
    <t>**p2_**shinsei_KAKUNINZUMI_KENSAIN</t>
  </si>
  <si>
    <t>**p2_**shinsei_ISSUE_NO</t>
  </si>
  <si>
    <t>**p2_**shinsei_ISSUE_DATE</t>
  </si>
  <si>
    <t>**p2_**shinsei_HEN_SUMI_KOUFU_NAME</t>
  </si>
  <si>
    <t>**p2_**shinsei_HEN_SUMI_NO</t>
  </si>
  <si>
    <t>**p2_**shinsei_HEN_SUMI_KOUFU_DATE</t>
  </si>
  <si>
    <t>**shinsei_IMPOSS1_NOTIFY_ID__STRUCTNOTIFT_NOTIFT_DATE</t>
  </si>
  <si>
    <t>**shinsei_IMPOSS1_NOTIFY_ID__STRUCTNOTIFT_NOTIFT_NO</t>
  </si>
  <si>
    <t>**shinsei_IMPOSS1_NOTIFY_ID__STRUCTNOTIFT_TUIKA_DATE</t>
  </si>
  <si>
    <t>**shinsei_IMPOSS1_NOTIFY_ID__STRUCTTUIKA_NOTIFT_DATE</t>
  </si>
  <si>
    <t>**shinsei_IMPOSS2_NOTIFY_ID__NOTIFY_NOTE</t>
  </si>
  <si>
    <t>**shinsei_IMPOSS2_NOTIFY_ID__STRUCTNOTIFT_NOTIFT_DATE</t>
  </si>
  <si>
    <t>**shinsei_IMPOSS2_NOTIFY_ID__STRUCTNOTIFT_NOTIFT_NO</t>
  </si>
  <si>
    <t>**shinsei_IMPOSS2_NOTIFY_ID__STRUCTNOTIFT_TUIKA_DATE</t>
  </si>
  <si>
    <t>**shinsei_IMPOSS2_NOTIFY_ID__STRUCTTUIKA_NOTIFT_DATE</t>
  </si>
  <si>
    <t>**shinsei_IMPOSS3_NOTIFY_ID__STRUCTNOTIFT_NOTIFT_DATE</t>
  </si>
  <si>
    <t>**shinsei_IMPOSS3_NOTIFY_ID__STRUCTNOTIFT_NOTIFT_NO</t>
  </si>
  <si>
    <t>**shinsei_IMPOSS3_NOTIFY_ID__STRUCTNOTIFT_TUIKA_DATE</t>
  </si>
  <si>
    <t>**shinsei_IMPOSS3_NOTIFY_ID__STRUCTTUIKA_NOTIFT_DATE</t>
  </si>
  <si>
    <t>**shinsei_IMPOSS4_NOTIFY_ID__STRUCTNOTIFT_NOTIFT_DATE</t>
  </si>
  <si>
    <t>**shinsei_IMPOSS4_NOTIFY_ID__STRUCTNOTIFT_NOTIFT_NO</t>
  </si>
  <si>
    <t>**shinsei_IMPOSS4_NOTIFY_ID__STRUCTNOTIFT_TUIKA_DATE</t>
  </si>
  <si>
    <t>**shinsei_IMPOSS4_NOTIFY_ID__STRUCTTUIKA_NOTIFT_DATE</t>
  </si>
  <si>
    <t>**shinsei_IMPOSS5_NOTIFY_ID__STRUCTNOTIFT_NOTIFT_DATE</t>
  </si>
  <si>
    <t>**shinsei_IMPOSS5_NOTIFY_ID__STRUCTNOTIFT_NOTIFT_NO</t>
  </si>
  <si>
    <t>**shinsei_IMPOSS5_NOTIFY_ID__STRUCTNOTIFT_TUIKA_DATE</t>
  </si>
  <si>
    <t>**shinsei_IMPOSS5_NOTIFY_ID__STRUCTTUIKA_NOTIFT_DATE</t>
  </si>
  <si>
    <t>**shinsei_IMPOSS6_NOTIFY_ID__STRUCTNOTIFT_NOTIFT_DATE</t>
  </si>
  <si>
    <t>**shinsei_IMPOSS6_NOTIFY_ID__STRUCTNOTIFT_NOTIFT_NO</t>
  </si>
  <si>
    <t>**shinsei_IMPOSS6_NOTIFY_ID__STRUCTNOTIFT_TUIKA_DATE</t>
  </si>
  <si>
    <t>**shinsei_IMPOSS6_NOTIFY_ID__STRUCTTUIKA_NOTIFT_DATE</t>
  </si>
  <si>
    <t>**shinsei_IMPOSSX_NOTIFY_ID__STRUCTNOTIFT_NOTIFT_DATE</t>
  </si>
  <si>
    <t>**shinsei_IMPOSSX_NOTIFY_ID__STRUCTNOTIFT_NOTIFT_NO</t>
  </si>
  <si>
    <t>**shinsei_IMPOSSX_NOTIFY_ID__STRUCTNOTIFT_TUIKA_DATE</t>
  </si>
  <si>
    <t>**shinsei_IMPOSSX_NOTIFY_ID__STRUCTTUIKA_NOTIFT_DATE</t>
  </si>
  <si>
    <t>**shinsei_NG_NOTIFY_KENSA_DATE</t>
  </si>
  <si>
    <t>**shinsei_NG1_NOTIFY_ID__STRUCTNOTIFT_NOTIFT_DATE</t>
  </si>
  <si>
    <t>**shinsei_NG1_NOTIFY_ID__STRUCTNOTIFT_NOTIFT_NO</t>
  </si>
  <si>
    <t>**shinsei_NG1_NOTIFY_ID__STRUCTNOTIFT_TUIKA_DATE</t>
  </si>
  <si>
    <t>**shinsei_NG1_NOTIFY_ID__STRUCTTUIKA_NOTIFT_DATE</t>
  </si>
  <si>
    <t>**shinsei_NG2_NOTIFY_ID__REPORT_DATE</t>
  </si>
  <si>
    <t>**shinsei_NG3_NOTIFY_ID__REPORT_DATE</t>
  </si>
  <si>
    <t>**shinsei_NGX_NOTIFY_ID__NOTIFY_NOTE</t>
  </si>
  <si>
    <t>**config_PRESENTER_CORPTYPE</t>
    <phoneticPr fontId="2"/>
  </si>
  <si>
    <t>**config_PRESENTER_CORP</t>
    <phoneticPr fontId="2"/>
  </si>
  <si>
    <t>**config_PRESENTER_DAIHYOSYA</t>
    <phoneticPr fontId="2"/>
  </si>
  <si>
    <t>**config_PRESENTER_ADDRESS</t>
    <phoneticPr fontId="2"/>
  </si>
  <si>
    <t>**config_PRESENTER_ADDRESS2</t>
    <phoneticPr fontId="2"/>
  </si>
  <si>
    <t>**config_PRESENTER_TEL</t>
    <phoneticPr fontId="2"/>
  </si>
  <si>
    <t>**config_BANK_NAME</t>
    <phoneticPr fontId="2"/>
  </si>
  <si>
    <t>**config_BANK_BRANCH_NAME</t>
    <phoneticPr fontId="2"/>
  </si>
  <si>
    <t>**config_ACCOUNT_TYPE</t>
    <phoneticPr fontId="2"/>
  </si>
  <si>
    <t>**config_ACCOUNT_NO</t>
    <phoneticPr fontId="2"/>
  </si>
  <si>
    <t>**config_CUSTOM_TYPE</t>
    <phoneticPr fontId="2"/>
  </si>
  <si>
    <t>**config_CUSTOM_CODE</t>
    <phoneticPr fontId="2"/>
  </si>
  <si>
    <t>cst_shinsei_BUILDSHINSEI_ISSUE_NO__add_disp</t>
    <phoneticPr fontId="2"/>
  </si>
  <si>
    <t>CIAS</t>
    <phoneticPr fontId="2"/>
  </si>
  <si>
    <t>引受日</t>
    <rPh sb="0" eb="3">
      <t>ヒキウケビ</t>
    </rPh>
    <phoneticPr fontId="2"/>
  </si>
  <si>
    <t>交付日</t>
    <rPh sb="0" eb="3">
      <t>コウフビ</t>
    </rPh>
    <phoneticPr fontId="2"/>
  </si>
  <si>
    <t>交付不可日</t>
    <rPh sb="0" eb="2">
      <t>コウフ</t>
    </rPh>
    <rPh sb="2" eb="4">
      <t>フカ</t>
    </rPh>
    <rPh sb="4" eb="5">
      <t>ビ</t>
    </rPh>
    <phoneticPr fontId="2"/>
  </si>
  <si>
    <t>don_SEARCH_DATE__notify_date</t>
    <phoneticPr fontId="2"/>
  </si>
  <si>
    <t>don_SEARCH_RESOLT__notify_date</t>
    <phoneticPr fontId="2"/>
  </si>
  <si>
    <t>don_OFFICE_NAME_CORP_TYPE__notify_date</t>
    <phoneticPr fontId="2"/>
  </si>
  <si>
    <t>don_OFFICE_OFFICE_CORP_NAME__notify_date</t>
    <phoneticPr fontId="2"/>
  </si>
  <si>
    <t>don_OFFICE_DAIHYOUSYA__notify_date</t>
    <phoneticPr fontId="2"/>
  </si>
  <si>
    <t>don_OFFICE_POST__notify_date</t>
    <phoneticPr fontId="2"/>
  </si>
  <si>
    <t>don_OFFICE_ADDRESS1__notify_date</t>
    <phoneticPr fontId="2"/>
  </si>
  <si>
    <t>don_OFFICE_ADDRESS2__notify_date</t>
    <phoneticPr fontId="2"/>
  </si>
  <si>
    <t>don_OFFICE_TEL__notify_date</t>
    <phoneticPr fontId="2"/>
  </si>
  <si>
    <t>don_OFFICE_FAX__notify_date</t>
    <phoneticPr fontId="2"/>
  </si>
  <si>
    <t>don_OFFICE_TANTOU__notify_date</t>
    <phoneticPr fontId="2"/>
  </si>
  <si>
    <t>suit_OFFICE_OFFICE_CORP_NAME__notify_date</t>
    <phoneticPr fontId="2"/>
  </si>
  <si>
    <t>suit_OFFICE_DAIHYOUSYA__notify_date</t>
    <phoneticPr fontId="2"/>
  </si>
  <si>
    <t>cst_Imposs_Notify_Sentence</t>
  </si>
  <si>
    <t>cst_Ng_Notify_Conf_Sentence</t>
  </si>
  <si>
    <t>cst_Ng_Notify_Inter_Sentence</t>
  </si>
  <si>
    <t>cst_Ng_Notify_Final_Sentence</t>
  </si>
  <si>
    <t>cst_shinsei_xx_NOTIFY_DATE__disp</t>
    <phoneticPr fontId="2"/>
  </si>
  <si>
    <t>作成日</t>
    <rPh sb="0" eb="3">
      <t>サクセイビ</t>
    </rPh>
    <phoneticPr fontId="2"/>
  </si>
  <si>
    <t>don_SEARCH_DATE__hikiuke_date</t>
    <phoneticPr fontId="2"/>
  </si>
  <si>
    <t>don_SEARCH_RESOLT__hikiuke_date</t>
    <phoneticPr fontId="2"/>
  </si>
  <si>
    <t>don_OFFICE_NAME_CORP_TYPE__hikiuke_date</t>
    <phoneticPr fontId="2"/>
  </si>
  <si>
    <t>don_OFFICE_OFFICE_CORP_NAME__hikiuke_date</t>
    <phoneticPr fontId="2"/>
  </si>
  <si>
    <t>don_OFFICE_DAIHYOUSYA__hikiuke_date</t>
    <phoneticPr fontId="2"/>
  </si>
  <si>
    <t>don_OFFICE_POST__hikiuke_date</t>
    <phoneticPr fontId="2"/>
  </si>
  <si>
    <t>don_OFFICE_ADDRESS1__hikiuke_date</t>
    <phoneticPr fontId="2"/>
  </si>
  <si>
    <t>don_OFFICE_ADDRESS2__hikiuke_date</t>
    <phoneticPr fontId="2"/>
  </si>
  <si>
    <t>don_OFFICE_TEL__hikiuke_date</t>
    <phoneticPr fontId="2"/>
  </si>
  <si>
    <t>don_OFFICE_FAX__hikiuke_date</t>
    <phoneticPr fontId="2"/>
  </si>
  <si>
    <t>don_OFFICE_TANTOU__hikiuke_date</t>
    <phoneticPr fontId="2"/>
  </si>
  <si>
    <t>don_SEARCH_DATE__issue_date</t>
    <phoneticPr fontId="2"/>
  </si>
  <si>
    <t>don_OFFICE_NAME_CORP_TYPE__issue_date</t>
    <phoneticPr fontId="2"/>
  </si>
  <si>
    <t>don_SEARCH_RESOLT__issue_date</t>
    <phoneticPr fontId="2"/>
  </si>
  <si>
    <t>don_OFFICE_OFFICE_CORP_NAME__issue_date</t>
    <phoneticPr fontId="2"/>
  </si>
  <si>
    <t>don_OFFICE_DAIHYOUSYA__issue_date</t>
    <phoneticPr fontId="2"/>
  </si>
  <si>
    <t>don_OFFICE_POST__issue_date</t>
    <phoneticPr fontId="2"/>
  </si>
  <si>
    <t>don_OFFICE_ADDRESS1__issue_date</t>
    <phoneticPr fontId="2"/>
  </si>
  <si>
    <t>don_OFFICE_ADDRESS2__issue_date</t>
    <phoneticPr fontId="2"/>
  </si>
  <si>
    <t>don_OFFICE_TEL__issue_date</t>
    <phoneticPr fontId="2"/>
  </si>
  <si>
    <t>don_OFFICE_FAX__issue_date</t>
    <phoneticPr fontId="2"/>
  </si>
  <si>
    <t>don_OFFICE_TANTOU__issue_date</t>
    <phoneticPr fontId="2"/>
  </si>
  <si>
    <t>引受通知日</t>
    <rPh sb="0" eb="5">
      <t>ヒキウケツウチビ</t>
    </rPh>
    <phoneticPr fontId="2"/>
  </si>
  <si>
    <t>don_SEARCH_DATE__hikiuke_tuuti_date</t>
    <phoneticPr fontId="2"/>
  </si>
  <si>
    <t>don_OFFICE_NAME_CORP_TYPE__hikiuke_tuuti_date</t>
    <phoneticPr fontId="2"/>
  </si>
  <si>
    <t>don_OFFICE_OFFICE_CORP_NAME__hikiuke_tuuti_date</t>
    <phoneticPr fontId="2"/>
  </si>
  <si>
    <t>don_OFFICE_DAIHYOUSYA__hikiuke_tuuti_date</t>
    <phoneticPr fontId="2"/>
  </si>
  <si>
    <t>don_OFFICE_POST__hikiuke_tuuti_date</t>
    <phoneticPr fontId="2"/>
  </si>
  <si>
    <t>don_OFFICE_ADDRESS1__hikiuke_tuuti_date</t>
    <phoneticPr fontId="2"/>
  </si>
  <si>
    <t>don_OFFICE_ADDRESS2__hikiuke_tuuti_date</t>
    <phoneticPr fontId="2"/>
  </si>
  <si>
    <t>don_OFFICE_TEL__hikiuke_tuuti_date</t>
    <phoneticPr fontId="2"/>
  </si>
  <si>
    <t>don_OFFICE_FAX__hikiuke_tuuti_date</t>
    <phoneticPr fontId="2"/>
  </si>
  <si>
    <t>don_OFFICE_TANTOU__hikiuke_tuuti_date</t>
    <phoneticPr fontId="2"/>
  </si>
  <si>
    <t>don_SEARCH_RESOLT__hikiuke_tuuti_date</t>
    <phoneticPr fontId="2"/>
  </si>
  <si>
    <t>報告日（交付・不可</t>
  </si>
  <si>
    <t>cst_shinsei_xy_REPORT_DATE</t>
  </si>
  <si>
    <t>don_SEARCH_DATE__report_date</t>
    <phoneticPr fontId="2"/>
  </si>
  <si>
    <t>don_OFFICE_NAME_CORP_TYPE__report_date</t>
    <phoneticPr fontId="2"/>
  </si>
  <si>
    <t>don_OFFICE_OFFICE_CORP_NAME__report_date</t>
    <phoneticPr fontId="2"/>
  </si>
  <si>
    <t>don_OFFICE_DAIHYOUSYA__report_date</t>
    <phoneticPr fontId="2"/>
  </si>
  <si>
    <t>don_OFFICE_POST__report_date</t>
    <phoneticPr fontId="2"/>
  </si>
  <si>
    <t>don_OFFICE_ADDRESS2__report_date</t>
    <phoneticPr fontId="2"/>
  </si>
  <si>
    <t>don_OFFICE_TEL__report_date</t>
    <phoneticPr fontId="2"/>
  </si>
  <si>
    <t>don_OFFICE_FAX__report_date</t>
    <phoneticPr fontId="2"/>
  </si>
  <si>
    <t>don_OFFICE_TANTOU__report_date</t>
    <phoneticPr fontId="2"/>
  </si>
  <si>
    <t>don_SEARCH_RESOLT__report_date</t>
    <phoneticPr fontId="2"/>
  </si>
  <si>
    <t>don_OFFICE_ADDRESS1__report_date</t>
    <phoneticPr fontId="2"/>
  </si>
  <si>
    <t>事前審査日</t>
  </si>
  <si>
    <t>don_SEARCH_DATE__provo_date</t>
    <phoneticPr fontId="2"/>
  </si>
  <si>
    <t>don_OFFICE_NAME_CORP_TYPE__provo_date</t>
    <phoneticPr fontId="2"/>
  </si>
  <si>
    <t>don_OFFICE_OFFICE_CORP_NAME__provo_date</t>
    <phoneticPr fontId="2"/>
  </si>
  <si>
    <t>don_OFFICE_DAIHYOUSYA__provo_date</t>
    <phoneticPr fontId="2"/>
  </si>
  <si>
    <t>don_OFFICE_POST__provo_date</t>
    <phoneticPr fontId="2"/>
  </si>
  <si>
    <t>don_OFFICE_ADDRESS1__provo_date</t>
    <phoneticPr fontId="2"/>
  </si>
  <si>
    <t>don_OFFICE_ADDRESS2__provo_date</t>
    <phoneticPr fontId="2"/>
  </si>
  <si>
    <t>don_OFFICE_TEL__provo_date</t>
    <phoneticPr fontId="2"/>
  </si>
  <si>
    <t>don_OFFICE_FAX__provo_date</t>
    <phoneticPr fontId="2"/>
  </si>
  <si>
    <t>don_OFFICE_TANTOU__provo_date</t>
    <phoneticPr fontId="2"/>
  </si>
  <si>
    <t>don_SEARCH_RESOLT__provo_date</t>
    <phoneticPr fontId="2"/>
  </si>
  <si>
    <t>同意送付日</t>
  </si>
  <si>
    <t>don_SEARCH_DATE__fire_submit_date</t>
    <phoneticPr fontId="2"/>
  </si>
  <si>
    <t>don_OFFICE_NAME_CORP_TYPE__fire_submit_date</t>
    <phoneticPr fontId="2"/>
  </si>
  <si>
    <t>don_OFFICE_OFFICE_CORP_NAME__fire_submit_date</t>
    <phoneticPr fontId="2"/>
  </si>
  <si>
    <t>don_OFFICE_DAIHYOUSYA__fire_submit_date</t>
    <phoneticPr fontId="2"/>
  </si>
  <si>
    <t>don_OFFICE_POST__fire_submit_date</t>
    <phoneticPr fontId="2"/>
  </si>
  <si>
    <t>don_OFFICE_ADDRESS1__fire_submit_date</t>
    <phoneticPr fontId="2"/>
  </si>
  <si>
    <t>don_OFFICE_ADDRESS2__fire_submit_date</t>
    <phoneticPr fontId="2"/>
  </si>
  <si>
    <t>don_OFFICE_TEL__fire_submit_date</t>
    <phoneticPr fontId="2"/>
  </si>
  <si>
    <t>don_OFFICE_FAX__fire_submit_date</t>
    <phoneticPr fontId="2"/>
  </si>
  <si>
    <t>don_OFFICE_TANTOU__fire_submit_date</t>
    <phoneticPr fontId="2"/>
  </si>
  <si>
    <t>don_SEARCH_RESOLT__fire_submit_date</t>
    <phoneticPr fontId="2"/>
  </si>
  <si>
    <t>消防通知日</t>
  </si>
  <si>
    <t>don_SEARCH_DATE__fire_notify_date</t>
    <phoneticPr fontId="2"/>
  </si>
  <si>
    <t>don_OFFICE_OFFICE_CORP_NAME__fire_notify_date</t>
    <phoneticPr fontId="2"/>
  </si>
  <si>
    <t>don_OFFICE_DAIHYOUSYA__fire_notify_date</t>
    <phoneticPr fontId="2"/>
  </si>
  <si>
    <t>don_OFFICE_POST__fire_notify_date</t>
    <phoneticPr fontId="2"/>
  </si>
  <si>
    <t>don_OFFICE_ADDRESS1__fire_notify_date</t>
    <phoneticPr fontId="2"/>
  </si>
  <si>
    <t>don_OFFICE_ADDRESS2__fire_notify_date</t>
    <phoneticPr fontId="2"/>
  </si>
  <si>
    <t>don_OFFICE_TEL__fire_notify_date</t>
    <phoneticPr fontId="2"/>
  </si>
  <si>
    <t>don_OFFICE_FAX__fire_notify_date</t>
    <phoneticPr fontId="2"/>
  </si>
  <si>
    <t>don_OFFICE_TANTOU__fire_notify_date</t>
    <phoneticPr fontId="2"/>
  </si>
  <si>
    <t>don_SEARCH_RESOLT__fire_notify_date</t>
    <phoneticPr fontId="2"/>
  </si>
  <si>
    <t>don_OFFICE_NAME_CORP_TYPE__fire_notify_date</t>
    <phoneticPr fontId="2"/>
  </si>
  <si>
    <t>浄化槽通知日</t>
  </si>
  <si>
    <t>適判 - 事前通知日</t>
  </si>
  <si>
    <t>適判 - 依頼日</t>
  </si>
  <si>
    <t>適判 - 延長通知日</t>
  </si>
  <si>
    <t>請求発生日</t>
  </si>
  <si>
    <t>don_SEARCH_DATE__charge_base_date</t>
    <phoneticPr fontId="2"/>
  </si>
  <si>
    <t>don_OFFICE_NAME_CORP_TYPE__charge_base_date</t>
    <phoneticPr fontId="2"/>
  </si>
  <si>
    <t>don_OFFICE_OFFICE_CORP_NAME__charge_base_date</t>
    <phoneticPr fontId="2"/>
  </si>
  <si>
    <t>don_OFFICE_DAIHYOUSYA__charge_base_date</t>
    <phoneticPr fontId="2"/>
  </si>
  <si>
    <t>don_OFFICE_POST__charge_base_date</t>
    <phoneticPr fontId="2"/>
  </si>
  <si>
    <t>don_OFFICE_ADDRESS1__charge_base_date</t>
    <phoneticPr fontId="2"/>
  </si>
  <si>
    <t>don_OFFICE_ADDRESS2__charge_base_date</t>
    <phoneticPr fontId="2"/>
  </si>
  <si>
    <t>don_OFFICE_TEL__charge_base_date</t>
    <phoneticPr fontId="2"/>
  </si>
  <si>
    <t>don_OFFICE_FAX__charge_base_date</t>
    <phoneticPr fontId="2"/>
  </si>
  <si>
    <t>don_OFFICE_TANTOU__charge_base_date</t>
    <phoneticPr fontId="2"/>
  </si>
  <si>
    <t>don_SEARCH_RESOLT__charge_base_date</t>
    <phoneticPr fontId="2"/>
  </si>
  <si>
    <t>don_SEARCH_DATE__income_date</t>
    <phoneticPr fontId="2"/>
  </si>
  <si>
    <t>don_OFFICE_NAME_CORP_TYPE__income_date</t>
    <phoneticPr fontId="2"/>
  </si>
  <si>
    <t>don_OFFICE_OFFICE_CORP_NAME__income_date</t>
    <phoneticPr fontId="2"/>
  </si>
  <si>
    <t>don_OFFICE_DAIHYOUSYA__income_date</t>
    <phoneticPr fontId="2"/>
  </si>
  <si>
    <t>don_OFFICE_POST__income_date</t>
    <phoneticPr fontId="2"/>
  </si>
  <si>
    <t>don_OFFICE_ADDRESS1__income_date</t>
    <phoneticPr fontId="2"/>
  </si>
  <si>
    <t>don_OFFICE_ADDRESS2__income_date</t>
    <phoneticPr fontId="2"/>
  </si>
  <si>
    <t>don_OFFICE_TEL__income_date</t>
    <phoneticPr fontId="2"/>
  </si>
  <si>
    <t>don_OFFICE_FAX__income_date</t>
    <phoneticPr fontId="2"/>
  </si>
  <si>
    <t>don_OFFICE_TANTOU__income_date</t>
    <phoneticPr fontId="2"/>
  </si>
  <si>
    <t>don_SEARCH_RESOLT__income_date</t>
    <phoneticPr fontId="2"/>
  </si>
  <si>
    <t>don_SEARCH_DATE__str_encyou_tuuti_date</t>
    <phoneticPr fontId="2"/>
  </si>
  <si>
    <t>don_OFFICE_NAME_CORP_TYPE__str_encyou_tuuti_date</t>
    <phoneticPr fontId="2"/>
  </si>
  <si>
    <t>don_OFFICE_OFFICE_CORP_NAME__str_encyou_tuuti_date</t>
    <phoneticPr fontId="2"/>
  </si>
  <si>
    <t>don_OFFICE_DAIHYOUSYA__str_encyou_tuuti_date</t>
    <phoneticPr fontId="2"/>
  </si>
  <si>
    <t>don_OFFICE_POST__str_encyou_tuuti_date</t>
    <phoneticPr fontId="2"/>
  </si>
  <si>
    <t>don_OFFICE_ADDRESS1__str_encyou_tuuti_date</t>
    <phoneticPr fontId="2"/>
  </si>
  <si>
    <t>don_OFFICE_ADDRESS2__str_encyou_tuuti_date</t>
    <phoneticPr fontId="2"/>
  </si>
  <si>
    <t>don_OFFICE_TEL__str_encyou_tuuti_date</t>
    <phoneticPr fontId="2"/>
  </si>
  <si>
    <t>don_OFFICE_FAX__str_encyou_tuuti_date</t>
    <phoneticPr fontId="2"/>
  </si>
  <si>
    <t>don_OFFICE_TANTOU__str_encyou_tuuti_date</t>
    <phoneticPr fontId="2"/>
  </si>
  <si>
    <t>don_SEARCH_RESOLT__str_encyou_tuuti_date</t>
    <phoneticPr fontId="2"/>
  </si>
  <si>
    <t>don_SEARCH_DATE__str_irai_date</t>
    <phoneticPr fontId="2"/>
  </si>
  <si>
    <t>don_OFFICE_NAME_CORP_TYPE__str_irai_date</t>
    <phoneticPr fontId="2"/>
  </si>
  <si>
    <t>don_OFFICE_OFFICE_CORP_NAME__str_irai_date</t>
    <phoneticPr fontId="2"/>
  </si>
  <si>
    <t>don_OFFICE_DAIHYOUSYA__str_irai_date</t>
    <phoneticPr fontId="2"/>
  </si>
  <si>
    <t>don_OFFICE_POST__str_irai_date</t>
    <phoneticPr fontId="2"/>
  </si>
  <si>
    <t>don_OFFICE_ADDRESS1__str_irai_date</t>
    <phoneticPr fontId="2"/>
  </si>
  <si>
    <t>don_OFFICE_ADDRESS2__str_irai_date</t>
    <phoneticPr fontId="2"/>
  </si>
  <si>
    <t>don_OFFICE_TEL__str_irai_date</t>
    <phoneticPr fontId="2"/>
  </si>
  <si>
    <t>don_OFFICE_FAX__str_irai_date</t>
    <phoneticPr fontId="2"/>
  </si>
  <si>
    <t>don_OFFICE_TANTOU__str_irai_date</t>
    <phoneticPr fontId="2"/>
  </si>
  <si>
    <t>don_SEARCH_RESOLT__str_irai_date</t>
    <phoneticPr fontId="2"/>
  </si>
  <si>
    <t>don_SEARCH_DATE__str_prove_notify_date</t>
    <phoneticPr fontId="2"/>
  </si>
  <si>
    <t>don_OFFICE_NAME_CORP_TYPE__str_prove_notify_date</t>
    <phoneticPr fontId="2"/>
  </si>
  <si>
    <t>don_OFFICE_OFFICE_CORP_NAME__str_prove_notify_date</t>
    <phoneticPr fontId="2"/>
  </si>
  <si>
    <t>don_OFFICE_DAIHYOUSYA__str_prove_notify_date</t>
    <phoneticPr fontId="2"/>
  </si>
  <si>
    <t>don_OFFICE_POST__str_prove_notify_date</t>
    <phoneticPr fontId="2"/>
  </si>
  <si>
    <t>don_OFFICE_ADDRESS1__str_prove_notify_date</t>
    <phoneticPr fontId="2"/>
  </si>
  <si>
    <t>don_OFFICE_ADDRESS2__str_prove_notify_date</t>
    <phoneticPr fontId="2"/>
  </si>
  <si>
    <t>don_OFFICE_TEL__str_prove_notify_date</t>
    <phoneticPr fontId="2"/>
  </si>
  <si>
    <t>don_OFFICE_FAX__str_prove_notify_date</t>
    <phoneticPr fontId="2"/>
  </si>
  <si>
    <t>don_OFFICE_TANTOU__str_prove_notify_date</t>
    <phoneticPr fontId="2"/>
  </si>
  <si>
    <t>don_SEARCH_RESOLT__str_prove_notify_date</t>
    <phoneticPr fontId="2"/>
  </si>
  <si>
    <t>don_SEARCH_DATE__health_notify_date</t>
    <phoneticPr fontId="2"/>
  </si>
  <si>
    <t>don_OFFICE_NAME_CORP_TYPE__health_notify_date</t>
    <phoneticPr fontId="2"/>
  </si>
  <si>
    <t>don_OFFICE_OFFICE_CORP_NAME__health_notify_date</t>
    <phoneticPr fontId="2"/>
  </si>
  <si>
    <t>don_OFFICE_DAIHYOUSYA__health_notify_date</t>
    <phoneticPr fontId="2"/>
  </si>
  <si>
    <t>don_OFFICE_POST__health_notify_date</t>
    <phoneticPr fontId="2"/>
  </si>
  <si>
    <t>don_OFFICE_ADDRESS1__health_notify_date</t>
    <phoneticPr fontId="2"/>
  </si>
  <si>
    <t>don_OFFICE_ADDRESS2__health_notify_date</t>
    <phoneticPr fontId="2"/>
  </si>
  <si>
    <t>don_OFFICE_TEL__health_notify_date</t>
    <phoneticPr fontId="2"/>
  </si>
  <si>
    <t>cst_shinsei_sekkei09_NAME</t>
  </si>
  <si>
    <t>**shinsei_sekkei09_JIMU_SIKAKU</t>
  </si>
  <si>
    <t>cst_shinsei_sekkei09_JIMU_SIKAKU</t>
  </si>
  <si>
    <t>**shinsei_sekkei09_JIMU_TOUROKU_KIKAN</t>
  </si>
  <si>
    <t>cst_shinsei_sekkei09_JIMU_TOUROKU_KIKAN</t>
  </si>
  <si>
    <t>**shinsei_sekkei09_JIMU_NO</t>
  </si>
  <si>
    <t>cst_shinsei_sekkei09_JIMU_NO</t>
  </si>
  <si>
    <t>**shinsei_sekkei09_JIMU_NAME</t>
  </si>
  <si>
    <t>cst_shinsei_sekkei09_JIMU_NAME</t>
  </si>
  <si>
    <t>【ﾆ.郵便番号】</t>
    <phoneticPr fontId="2"/>
  </si>
  <si>
    <t>**shinsei_sekkei09_POST_CODE</t>
  </si>
  <si>
    <t>cst_shinsei_sekkei09_POST_CODE</t>
  </si>
  <si>
    <t>【ﾎ.所在地】</t>
    <phoneticPr fontId="2"/>
  </si>
  <si>
    <t>**shinsei_sekkei09__address</t>
  </si>
  <si>
    <t>cst_shinsei_sekkei09__address</t>
  </si>
  <si>
    <t>**shinsei_sekkei09_TEL</t>
  </si>
  <si>
    <t>cst_shinsei_sekkei09_TEL</t>
  </si>
  <si>
    <t>その他の設計者10</t>
    <rPh sb="2" eb="3">
      <t>タ</t>
    </rPh>
    <rPh sb="4" eb="7">
      <t>セッケイシャ</t>
    </rPh>
    <phoneticPr fontId="2"/>
  </si>
  <si>
    <t>**shinsei_sekkei10_SIKAKU</t>
  </si>
  <si>
    <t>cst_shinsei_sekkei10_SIKAKU</t>
  </si>
  <si>
    <t>-登録</t>
    <phoneticPr fontId="2"/>
  </si>
  <si>
    <t>**shinsei_sekkei10_TOUROKU_KIKAN</t>
  </si>
  <si>
    <t>cst_shinsei_sekkei10_TOUROKU_KIKAN</t>
  </si>
  <si>
    <t>**shinsei_sekkei10_KENSETUSI_NO</t>
  </si>
  <si>
    <t>cst_shinsei_sekkei10_KENSETUSI_NO</t>
  </si>
  <si>
    <t>**shinsei_sekkei10_NAME</t>
  </si>
  <si>
    <t>cst_shinsei_sekkei10_NAME</t>
  </si>
  <si>
    <t>**shinsei_sekkei10_JIMU_SIKAKU</t>
  </si>
  <si>
    <t>cst_shinsei_sekkei10_JIMU_SIKAKU</t>
  </si>
  <si>
    <t>-登録</t>
    <phoneticPr fontId="2"/>
  </si>
  <si>
    <t>**shinsei_sekkei10_JIMU_TOUROKU_KIKAN</t>
  </si>
  <si>
    <t>cst_shinsei_sekkei10_JIMU_TOUROKU_KIKAN</t>
  </si>
  <si>
    <t>**shinsei_sekkei10_JIMU_NO</t>
  </si>
  <si>
    <t>cst_shinsei_sekkei10_JIMU_NO</t>
  </si>
  <si>
    <t>**shinsei_sekkei10_JIMU_NAME</t>
  </si>
  <si>
    <t>cst_shinsei_sekkei10_JIMU_NAME</t>
  </si>
  <si>
    <t>**shinsei_sekkei10_POST_CODE</t>
  </si>
  <si>
    <t>cst_shinsei_sekkei10_POST_CODE</t>
  </si>
  <si>
    <t>**shinsei_sekkei10__address</t>
  </si>
  <si>
    <t>cst_shinsei_sekkei10__address</t>
  </si>
  <si>
    <t>【ﾍ.電話番号】</t>
    <phoneticPr fontId="2"/>
  </si>
  <si>
    <t>**shinsei_sekkei10_TEL</t>
  </si>
  <si>
    <t>cst_shinsei_sekkei10_TEL</t>
  </si>
  <si>
    <t>その他の設計者11</t>
    <rPh sb="2" eb="3">
      <t>タ</t>
    </rPh>
    <rPh sb="4" eb="7">
      <t>セッケイシャ</t>
    </rPh>
    <phoneticPr fontId="2"/>
  </si>
  <si>
    <t>**shinsei_sekkei11_SIKAKU</t>
  </si>
  <si>
    <t>cst_shinsei_sekkei11_SIKAKU</t>
  </si>
  <si>
    <t>**shinsei_sekkei11_TOUROKU_KIKAN</t>
  </si>
  <si>
    <t>cst_shinsei_sekkei11_TOUROKU_KIKAN</t>
  </si>
  <si>
    <t>**shinsei_sekkei11_KENSETUSI_NO</t>
  </si>
  <si>
    <t>cst_shinsei_sekkei11_KENSETUSI_NO</t>
  </si>
  <si>
    <t>● 期限付1（交付できない旨の通知書）</t>
    <rPh sb="2" eb="4">
      <t>キゲン</t>
    </rPh>
    <rPh sb="4" eb="5">
      <t>ツキ</t>
    </rPh>
    <rPh sb="7" eb="9">
      <t>コウフ</t>
    </rPh>
    <phoneticPr fontId="2"/>
  </si>
  <si>
    <t>**shinsei_NG_NOTIFY_DATE</t>
  </si>
  <si>
    <t>cst_shinsei_ng1_NOTIFY_DATE</t>
    <phoneticPr fontId="2"/>
  </si>
  <si>
    <t>**shinsei_NG_NOTIFY_USER_ID</t>
  </si>
  <si>
    <t>cst_shinsei_ng1_NOTIFY_USER</t>
    <phoneticPr fontId="2"/>
  </si>
  <si>
    <t>検査年月日</t>
    <rPh sb="2" eb="5">
      <t>ネンガッピ</t>
    </rPh>
    <phoneticPr fontId="2"/>
  </si>
  <si>
    <t>cst_shinsei_ng1_NOTIFY_KENSA_DATE</t>
    <phoneticPr fontId="2"/>
  </si>
  <si>
    <t>**shinsei_NG_NOTIFY_LIMIT_DATE</t>
  </si>
  <si>
    <t>cst_shinsei_ng1_NOTIFY_LIMIT_DATE</t>
    <phoneticPr fontId="2"/>
  </si>
  <si>
    <t>**shinsei_NG_NOTIFY_CAUSE</t>
  </si>
  <si>
    <t>cst_shinsei_ng1_NOTIFY_CAUSE</t>
    <phoneticPr fontId="2"/>
  </si>
  <si>
    <t>**shinsei_NG_NOTIFY_BIKO</t>
  </si>
  <si>
    <t>cst_shinsei_ng1_NOTIFY_NOTE</t>
    <phoneticPr fontId="2"/>
  </si>
  <si>
    <t>● 不適合（確認審査の報告書）</t>
    <rPh sb="2" eb="5">
      <t>フテキゴウ</t>
    </rPh>
    <rPh sb="6" eb="8">
      <t>カクニン</t>
    </rPh>
    <rPh sb="8" eb="10">
      <t>シンサ</t>
    </rPh>
    <rPh sb="11" eb="14">
      <t>ホウコクショ</t>
    </rPh>
    <phoneticPr fontId="2"/>
  </si>
  <si>
    <t>● 期限付1（確認審査の報告書）</t>
    <phoneticPr fontId="2"/>
  </si>
  <si>
    <t>**shinsei_NG_REPORT_DATE</t>
  </si>
  <si>
    <t>cst_shinsei_ng1_REPORT_DATE</t>
    <phoneticPr fontId="2"/>
  </si>
  <si>
    <t>cst_shinsei_strtuikang1_STRUCT_NOTIFT_DATE</t>
    <phoneticPr fontId="2"/>
  </si>
  <si>
    <t>cst_shinsei_strtuikang1_STRUCT_NOTIFT_NO</t>
    <phoneticPr fontId="2"/>
  </si>
  <si>
    <t>cst_shinsei_strtuikang1_STRUCT_TUIKA_DATE</t>
    <phoneticPr fontId="2"/>
  </si>
  <si>
    <t>cst_shinsei_strtuikang1_STRUCTTUIKA_NOTIFT_DATE</t>
    <phoneticPr fontId="2"/>
  </si>
  <si>
    <t>● 期限付2（交付できない旨の通知書）</t>
    <rPh sb="2" eb="4">
      <t>キゲン</t>
    </rPh>
    <rPh sb="4" eb="5">
      <t>ツキ</t>
    </rPh>
    <rPh sb="7" eb="9">
      <t>コウフ</t>
    </rPh>
    <phoneticPr fontId="2"/>
  </si>
  <si>
    <t>**shinsei_NG2_NOTIFY_ID__NOTIFY_DATE</t>
  </si>
  <si>
    <t>cst_shinsei_ng2_NOTIFY_DATE</t>
    <phoneticPr fontId="2"/>
  </si>
  <si>
    <t>**shinsei_NG2_NOTIFY_ID__KENSAIN_USER_ID</t>
  </si>
  <si>
    <t>cst_shinsei_ng2_NOTIFY_USER</t>
    <phoneticPr fontId="2"/>
  </si>
  <si>
    <t>**shinsei_NG2_NOTIFY_ID__KENSA_DATE</t>
  </si>
  <si>
    <t>cst_shinsei_ng2_NOTIFY_KENSA_DATE</t>
    <phoneticPr fontId="2"/>
  </si>
  <si>
    <t>**shinsei_NG2_NOTIFY_ID__LIMIT_DATE</t>
  </si>
  <si>
    <t>cst_shinsei_ng2_NOTIFY_LIMIT_DATE</t>
    <phoneticPr fontId="2"/>
  </si>
  <si>
    <t>**shinsei_NG2_NOTIFY_ID__NOTIFY_CAUSE</t>
  </si>
  <si>
    <t>cst_shinsei_ng2_NOTIFY_CAUSE</t>
    <phoneticPr fontId="2"/>
  </si>
  <si>
    <t>**shinsei_NG2_NOTIFY_ID__NOTIFY_NOTE</t>
  </si>
  <si>
    <t>cst_shinsei_ng2_NOTIFY_NOTE</t>
    <phoneticPr fontId="2"/>
  </si>
  <si>
    <t>● 期限付2（確認審査の報告書）</t>
    <phoneticPr fontId="2"/>
  </si>
  <si>
    <t>cst_shinsei_ng2_REPORT_DATE</t>
    <phoneticPr fontId="2"/>
  </si>
  <si>
    <t>● 期限付3（交付できない旨の通知書）</t>
    <rPh sb="2" eb="4">
      <t>キゲン</t>
    </rPh>
    <rPh sb="4" eb="5">
      <t>ツキ</t>
    </rPh>
    <rPh sb="7" eb="9">
      <t>コウフ</t>
    </rPh>
    <phoneticPr fontId="2"/>
  </si>
  <si>
    <t>**shinsei_NG3_NOTIFY_ID__NOTIFY_DATE</t>
  </si>
  <si>
    <t>cst_shinsei_ng3_NOTIFY_DATE</t>
    <phoneticPr fontId="2"/>
  </si>
  <si>
    <t>**shinsei_NG3_NOTIFY_ID__KENSAIN_USER_ID</t>
  </si>
  <si>
    <t>cst_shinsei_ng3_NOTIFY_USER</t>
    <phoneticPr fontId="2"/>
  </si>
  <si>
    <t>**shinsei_NG3_NOTIFY_ID__KENSA_DATE</t>
  </si>
  <si>
    <t>cst_shinsei_ng3_NOTIFY_KENSA_DATE</t>
    <phoneticPr fontId="2"/>
  </si>
  <si>
    <t>**shinsei_NG3_NOTIFY_ID__LIMIT_DATE</t>
  </si>
  <si>
    <t>cst_shinsei_ng3_NOTIFY_LIMIT_DATE</t>
    <phoneticPr fontId="2"/>
  </si>
  <si>
    <t>**shinsei_NG3_NOTIFY_ID__NOTIFY_CAUSE</t>
  </si>
  <si>
    <t>cst_shinsei_ng3_NOTIFY_CAUSE</t>
    <phoneticPr fontId="2"/>
  </si>
  <si>
    <t>**shinsei_NG3_NOTIFY_ID__NOTIFY_NOTE</t>
  </si>
  <si>
    <t>cst_shinsei_ng3_NOTIFY_NOTE</t>
    <phoneticPr fontId="2"/>
  </si>
  <si>
    <t>● 期限付3（確認審査の報告書）</t>
    <phoneticPr fontId="2"/>
  </si>
  <si>
    <t>報告日　日付</t>
  </si>
  <si>
    <t>cst_shinsei_ng3_REPORT_DATE</t>
    <phoneticPr fontId="2"/>
  </si>
  <si>
    <t>● 無期限（交付できない旨の通知書）</t>
    <rPh sb="2" eb="5">
      <t>ムキゲン</t>
    </rPh>
    <rPh sb="6" eb="8">
      <t>コウフ</t>
    </rPh>
    <phoneticPr fontId="2"/>
  </si>
  <si>
    <t>**shinsei_NGX_NOTIFY_ID__NOTIFY_DATE</t>
  </si>
  <si>
    <t>cst_shinsei_ngx_NOTIFY_DATE</t>
    <phoneticPr fontId="2"/>
  </si>
  <si>
    <t>**shinsei_NGX_NOTIFY_ID__KENSAIN_USER_ID</t>
  </si>
  <si>
    <t>cst_shinsei_ngx_NOTIFY_USER</t>
    <phoneticPr fontId="2"/>
  </si>
  <si>
    <t>**shinsei_NGX_NOTIFY_ID__KENSA_DATE</t>
  </si>
  <si>
    <t>cst_shinsei_ngx_NOTIFY_KENSA_DATE</t>
    <phoneticPr fontId="2"/>
  </si>
  <si>
    <t>**shinsei_NGX_NOTIFY_ID__NOTIFY_CAUSE</t>
  </si>
  <si>
    <t>cst_shinsei_ngx_NOTIFY_CAUSE</t>
    <phoneticPr fontId="2"/>
  </si>
  <si>
    <t>cst_shinsei_ngx_NOTIFY_NOTE</t>
    <phoneticPr fontId="2"/>
  </si>
  <si>
    <t>● 無期限（確認審査の報告書）</t>
    <rPh sb="2" eb="5">
      <t>ムキゲン</t>
    </rPh>
    <phoneticPr fontId="2"/>
  </si>
  <si>
    <t>**shinsei_NGX_NOTIFY_ID__REPORT_DATE</t>
  </si>
  <si>
    <t>cst_shinsei_ngx_REPORT_DATE</t>
    <phoneticPr fontId="2"/>
  </si>
  <si>
    <t>**shinsei_KENSA_NG_CAUSE</t>
  </si>
  <si>
    <t>cst_shinsei_ngx_CAUSE</t>
    <phoneticPr fontId="2"/>
  </si>
  <si>
    <t>■ 補正等画面 帳票発行処理用情報（※ 帳票出力には用いない）</t>
    <rPh sb="2" eb="5">
      <t>ホセイナド</t>
    </rPh>
    <rPh sb="5" eb="7">
      <t>ガメン</t>
    </rPh>
    <rPh sb="8" eb="10">
      <t>チョウヒョウ</t>
    </rPh>
    <rPh sb="10" eb="12">
      <t>ハッコウ</t>
    </rPh>
    <rPh sb="12" eb="14">
      <t>ショリ</t>
    </rPh>
    <rPh sb="14" eb="15">
      <t>ヨウ</t>
    </rPh>
    <rPh sb="15" eb="17">
      <t>ジョウホウ</t>
    </rPh>
    <rPh sb="20" eb="22">
      <t>チョウヒョウ</t>
    </rPh>
    <rPh sb="22" eb="24">
      <t>シュツリョク</t>
    </rPh>
    <rPh sb="26" eb="27">
      <t>モチ</t>
    </rPh>
    <phoneticPr fontId="2"/>
  </si>
  <si>
    <t>● 回数1</t>
    <rPh sb="2" eb="4">
      <t>カイスウ</t>
    </rPh>
    <phoneticPr fontId="2"/>
  </si>
  <si>
    <t>補正、提出を求める書面：</t>
    <rPh sb="0" eb="2">
      <t>ホセイ</t>
    </rPh>
    <rPh sb="3" eb="5">
      <t>テイシュツ</t>
    </rPh>
    <rPh sb="6" eb="7">
      <t>モト</t>
    </rPh>
    <rPh sb="9" eb="11">
      <t>ショメン</t>
    </rPh>
    <phoneticPr fontId="2"/>
  </si>
  <si>
    <t>通知年月日</t>
  </si>
  <si>
    <t>**shinsei_hosei1_NOTIFY_DATE</t>
  </si>
  <si>
    <t>**shinsei_hosei1_NOTIFY_DOCNO</t>
  </si>
  <si>
    <t>**shinsei_hosei1_KENSAIN_USER_ID</t>
  </si>
  <si>
    <t>期限年月日</t>
  </si>
  <si>
    <t>**shinsei_hosei1_LIMIT_DATE</t>
  </si>
  <si>
    <t>**shinsei_hosei1_ANSWER_DATE</t>
  </si>
  <si>
    <t>**shinsei_hosei1_NOTIFY_NOTE</t>
  </si>
  <si>
    <t>**shinsei_hosei1_NOTIFY_SOUFU_SAKI</t>
  </si>
  <si>
    <t>適判－判定できない通知（適判からの通知書）</t>
    <rPh sb="0" eb="1">
      <t>テキ</t>
    </rPh>
    <rPh sb="1" eb="2">
      <t>ハン</t>
    </rPh>
    <rPh sb="3" eb="5">
      <t>ハンテイ</t>
    </rPh>
    <rPh sb="9" eb="11">
      <t>ツウチ</t>
    </rPh>
    <rPh sb="12" eb="13">
      <t>テキ</t>
    </rPh>
    <rPh sb="13" eb="14">
      <t>ハン</t>
    </rPh>
    <rPh sb="17" eb="20">
      <t>ツウチショ</t>
    </rPh>
    <phoneticPr fontId="2"/>
  </si>
  <si>
    <t>**shinsei_hosei1_STRUCTNOTIFT_USE</t>
  </si>
  <si>
    <t>通知日</t>
  </si>
  <si>
    <t>**shinsei_hosei1_STRUCTNOTIFT_NOTIFT_DATE</t>
  </si>
  <si>
    <t>通知書番号</t>
  </si>
  <si>
    <t>**shinsei_hosei1_STRUCTNOTIFT_NOTIFT_NO</t>
  </si>
  <si>
    <t>**shinsei_hosei1_STRUCTNOTIFT_TOUTYAKU_MEMO</t>
  </si>
  <si>
    <t>**shinsei_hosei1_STRUCTNOTIFT_BIKO</t>
  </si>
  <si>
    <t>提出期限日</t>
  </si>
  <si>
    <t>**shinsei_hosei1_STRUCTNOTIFT_TUIKA_DATE</t>
  </si>
  <si>
    <t>**shinsei_hosei1_STRUCTNOTIFT_DOCNO</t>
  </si>
  <si>
    <t>**shinsei_hosei1_STRUCTTUIKA_NOTIFT_DATE</t>
  </si>
  <si>
    <t>変更通知日（提出日(GBRC)）</t>
    <phoneticPr fontId="2"/>
  </si>
  <si>
    <t>**shinsei_hosei1_STRUCTNOTIFT_HENKOU_NOTIFT_DATE</t>
  </si>
  <si>
    <t>**shinsei_hosei1_STRUCTTUIKA_DOCNO</t>
  </si>
  <si>
    <t>**shinsei_hosei1_STRUCTNOTIFT_HENKOU_LIMIT_DATE</t>
  </si>
  <si>
    <t>補正等 - 備考</t>
  </si>
  <si>
    <t>**shinsei_hosei1_BIKO</t>
  </si>
  <si>
    <t>● 回数2</t>
    <rPh sb="2" eb="4">
      <t>カイスウ</t>
    </rPh>
    <phoneticPr fontId="2"/>
  </si>
  <si>
    <t>**shinsei_hosei2_NOTIFY_DATE</t>
  </si>
  <si>
    <t>**shinsei_hosei2_NOTIFY_DOCNO</t>
  </si>
  <si>
    <t>**shinsei_hosei2_KENSAIN_USER_ID</t>
  </si>
  <si>
    <t>**shinsei_hosei2_LIMIT_DATE</t>
  </si>
  <si>
    <t>**shinsei_hosei2_ANSWER_DATE</t>
  </si>
  <si>
    <t>**shinsei_hosei2_NOTIFY_NOTE</t>
  </si>
  <si>
    <t>**shinsei_hosei2_NOTIFY_SOUFU_SAKI</t>
  </si>
  <si>
    <t>**shinsei_hosei2_STRUCTNOTIFT_USE</t>
  </si>
  <si>
    <t>**shinsei_hosei2_STRUCTNOTIFT_NOTIFT_DATE</t>
  </si>
  <si>
    <t>**shinsei_hosei2_STRUCTNOTIFT_NOTIFT_NO</t>
  </si>
  <si>
    <t>**shinsei_hosei2_STRUCTNOTIFT_TOUTYAKU_MEMO</t>
  </si>
  <si>
    <t>**shinsei_hosei2_STRUCTNOTIFT_BIKO</t>
  </si>
  <si>
    <t>**shinsei_hosei2_STRUCTNOTIFT_TUIKA_DATE</t>
  </si>
  <si>
    <t>**shinsei_hosei2_STRUCTNOTIFT_DOCNO</t>
  </si>
  <si>
    <t>**shinsei_hosei2_STRUCTTUIKA_NOTIFT_DATE</t>
  </si>
  <si>
    <t>**shinsei_hosei2_STRUCTNOTIFT_HENKOU_NOTIFT_DATE</t>
  </si>
  <si>
    <t>**shinsei_hosei2_STRUCTTUIKA_DOCNO</t>
  </si>
  <si>
    <t>**shinsei_hosei2_STRUCTNOTIFT_HENKOU_LIMIT_DATE</t>
  </si>
  <si>
    <t>**shinsei_hosei2_BIKO</t>
  </si>
  <si>
    <t>● 回数3</t>
    <rPh sb="2" eb="4">
      <t>カイスウ</t>
    </rPh>
    <phoneticPr fontId="2"/>
  </si>
  <si>
    <t>**shinsei_hosei3_NOTIFY_DATE</t>
  </si>
  <si>
    <t>**shinsei_hosei3_NOTIFY_DOCNO</t>
  </si>
  <si>
    <t>**shinsei_hosei3_KENSAIN_USER_ID</t>
  </si>
  <si>
    <t>**shinsei_hosei3_LIMIT_DATE</t>
  </si>
  <si>
    <t>**shinsei_hosei3_ANSWER_DATE</t>
  </si>
  <si>
    <t>**shinsei_hosei3_NOTIFY_NOTE</t>
  </si>
  <si>
    <t>**shinsei_hosei3_NOTIFY_SOUFU_SAKI</t>
  </si>
  <si>
    <t>**shinsei_hosei3_STRUCTNOTIFT_USE</t>
  </si>
  <si>
    <t>**shinsei_hosei3_STRUCTNOTIFT_NOTIFT_DATE</t>
  </si>
  <si>
    <t>**shinsei_hosei3_STRUCTNOTIFT_NOTIFT_NO</t>
  </si>
  <si>
    <t>**shinsei_hosei3_STRUCTNOTIFT_TOUTYAKU_MEMO</t>
  </si>
  <si>
    <t>**shinsei_hosei3_STRUCTNOTIFT_BIKO</t>
  </si>
  <si>
    <t>**shinsei_hosei3_STRUCTNOTIFT_TUIKA_DATE</t>
  </si>
  <si>
    <t>**shinsei_hosei3_STRUCTNOTIFT_DOCNO</t>
  </si>
  <si>
    <t>**shinsei_hosei3_STRUCTTUIKA_NOTIFT_DATE</t>
  </si>
  <si>
    <t>**shinsei_hosei3_STRUCTNOTIFT_HENKOU_NOTIFT_DATE</t>
  </si>
  <si>
    <t>**shinsei_hosei3_STRUCTTUIKA_DOCNO</t>
  </si>
  <si>
    <t>**shinsei_hosei3_STRUCTNOTIFT_HENKOU_LIMIT_DATE</t>
  </si>
  <si>
    <t>**shinsei_hosei3_BIKO</t>
  </si>
  <si>
    <t>● 回数4</t>
    <rPh sb="2" eb="4">
      <t>カイスウ</t>
    </rPh>
    <phoneticPr fontId="2"/>
  </si>
  <si>
    <t>**shinsei_hosei4_NOTIFY_DATE</t>
  </si>
  <si>
    <t>**shinsei_hosei4_NOTIFY_DOCNO</t>
  </si>
  <si>
    <t>**shinsei_hosei4_KENSAIN_USER_ID</t>
  </si>
  <si>
    <t>**shinsei_hosei4_LIMIT_DATE</t>
  </si>
  <si>
    <t>**shinsei_hosei4_ANSWER_DATE</t>
  </si>
  <si>
    <t>**shinsei_hosei4_NOTIFY_NOTE</t>
  </si>
  <si>
    <t>**shinsei_hosei4_NOTIFY_SOUFU_SAKI</t>
  </si>
  <si>
    <t>**shinsei_hosei4_STRUCTNOTIFT_USE</t>
  </si>
  <si>
    <t>**shinsei_hosei4_STRUCTNOTIFT_NOTIFT_DATE</t>
  </si>
  <si>
    <t>**shinsei_hosei4_STRUCTNOTIFT_NOTIFT_NO</t>
  </si>
  <si>
    <t>**shinsei_hosei4_STRUCTNOTIFT_TOUTYAKU_MEMO</t>
  </si>
  <si>
    <t>**shinsei_hosei4_STRUCTNOTIFT_BIKO</t>
  </si>
  <si>
    <t>**shinsei_hosei4_STRUCTNOTIFT_TUIKA_DATE</t>
  </si>
  <si>
    <t>**shinsei_hosei4_STRUCTNOTIFT_DOCNO</t>
  </si>
  <si>
    <t>**shinsei_hosei4_STRUCTTUIKA_NOTIFT_DATE</t>
  </si>
  <si>
    <t>**shinsei_hosei4_STRUCTNOTIFT_HENKOU_NOTIFT_DATE</t>
  </si>
  <si>
    <t>**shinsei_hosei4_STRUCTTUIKA_DOCNO</t>
  </si>
  <si>
    <t>**shinsei_hosei4_STRUCTNOTIFT_HENKOU_LIMIT_DATE</t>
  </si>
  <si>
    <t>**shinsei_hosei4_BIKO</t>
  </si>
  <si>
    <t>● 回数5</t>
    <rPh sb="2" eb="4">
      <t>カイスウ</t>
    </rPh>
    <phoneticPr fontId="2"/>
  </si>
  <si>
    <t>**shinsei_hosei5_NOTIFY_DATE</t>
  </si>
  <si>
    <t>**shinsei_hosei5_NOTIFY_DOCNO</t>
  </si>
  <si>
    <t>**shinsei_hosei5_KENSAIN_USER_ID</t>
  </si>
  <si>
    <t>**shinsei_hosei5_LIMIT_DATE</t>
  </si>
  <si>
    <t>**shinsei_hosei5_ANSWER_DATE</t>
  </si>
  <si>
    <t>**shinsei_hosei5_NOTIFY_NOTE</t>
  </si>
  <si>
    <t>**shinsei_hosei5_NOTIFY_SOUFU_SAKI</t>
  </si>
  <si>
    <t>**shinsei_hosei5_STRUCTNOTIFT_USE</t>
  </si>
  <si>
    <t>**shinsei_hosei5_STRUCTNOTIFT_NOTIFT_DATE</t>
  </si>
  <si>
    <t>**shinsei_hosei5_STRUCTNOTIFT_NOTIFT_NO</t>
  </si>
  <si>
    <t>**shinsei_hosei5_STRUCTNOTIFT_TOUTYAKU_MEMO</t>
  </si>
  <si>
    <t>**shinsei_hosei5_STRUCTNOTIFT_BIKO</t>
  </si>
  <si>
    <t>**shinsei_hosei5_STRUCTNOTIFT_TUIKA_DATE</t>
  </si>
  <si>
    <t>**shinsei_hosei5_STRUCTNOTIFT_DOCNO</t>
  </si>
  <si>
    <t>**shinsei_hosei5_STRUCTTUIKA_NOTIFT_DATE</t>
  </si>
  <si>
    <t>**shinsei_hosei5_STRUCTNOTIFT_HENKOU_NOTIFT_DATE</t>
  </si>
  <si>
    <t>**shinsei_hosei5_STRUCTTUIKA_DOCNO</t>
  </si>
  <si>
    <t>**shinsei_hosei5_STRUCTNOTIFT_HENKOU_LIMIT_DATE</t>
  </si>
  <si>
    <t>**shinsei_hosei5_BIKO</t>
  </si>
  <si>
    <t>● 回数6</t>
    <rPh sb="2" eb="4">
      <t>カイスウ</t>
    </rPh>
    <phoneticPr fontId="2"/>
  </si>
  <si>
    <t>**shinsei_hosei6_NOTIFY_DATE</t>
  </si>
  <si>
    <t>**shinsei_hosei6_NOTIFY_DOCNO</t>
  </si>
  <si>
    <t>**shinsei_hosei6_KENSAIN_USER_ID</t>
  </si>
  <si>
    <t>**shinsei_hosei6_LIMIT_DATE</t>
  </si>
  <si>
    <t>**shinsei_hosei6_ANSWER_DATE</t>
  </si>
  <si>
    <t>**shinsei_hosei6_NOTIFY_NOTE</t>
  </si>
  <si>
    <t>**shinsei_hosei6_NOTIFY_SOUFU_SAKI</t>
  </si>
  <si>
    <t>**shinsei_hosei6_STRUCTNOTIFT_USE</t>
  </si>
  <si>
    <t>**shinsei_hosei6_STRUCTNOTIFT_NOTIFT_DATE</t>
  </si>
  <si>
    <t>**shinsei_hosei6_STRUCTNOTIFT_NOTIFT_NO</t>
  </si>
  <si>
    <t>**shinsei_hosei6_STRUCTNOTIFT_TOUTYAKU_MEMO</t>
  </si>
  <si>
    <t>**shinsei_hosei6_STRUCTNOTIFT_BIKO</t>
  </si>
  <si>
    <t>**shinsei_hosei6_STRUCTNOTIFT_TUIKA_DATE</t>
  </si>
  <si>
    <t>**shinsei_hosei6_STRUCTNOTIFT_DOCNO</t>
  </si>
  <si>
    <t>**shinsei_hosei6_STRUCTTUIKA_NOTIFT_DATE</t>
  </si>
  <si>
    <t>**shinsei_hosei6_STRUCTNOTIFT_HENKOU_NOTIFT_DATE</t>
  </si>
  <si>
    <t>**shinsei_hosei6_STRUCTTUIKA_DOCNO</t>
  </si>
  <si>
    <t>**shinsei_hosei6_STRUCTNOTIFT_HENKOU_LIMIT_DATE</t>
  </si>
  <si>
    <t>**shinsei_hosei6_BIKO</t>
  </si>
  <si>
    <t>● 回数7</t>
    <rPh sb="2" eb="4">
      <t>カイスウ</t>
    </rPh>
    <phoneticPr fontId="2"/>
  </si>
  <si>
    <t>**shinsei_hosei7_NOTIFY_DATE</t>
  </si>
  <si>
    <t>**shinsei_hosei7_NOTIFY_DOCNO</t>
  </si>
  <si>
    <t>**shinsei_hosei7_KENSAIN_USER_ID</t>
  </si>
  <si>
    <t>**shinsei_hosei7_LIMIT_DATE</t>
  </si>
  <si>
    <t>**shinsei_hosei7_ANSWER_DATE</t>
  </si>
  <si>
    <t>**shinsei_hosei7_NOTIFY_NOTE</t>
  </si>
  <si>
    <t>**shinsei_hosei7_NOTIFY_SOUFU_SAKI</t>
  </si>
  <si>
    <t>**shinsei_hosei7_STRUCTNOTIFT_USE</t>
  </si>
  <si>
    <t>**shinsei_hosei7_STRUCTNOTIFT_NOTIFT_DATE</t>
  </si>
  <si>
    <t>**shinsei_hosei7_STRUCTNOTIFT_NOTIFT_NO</t>
  </si>
  <si>
    <t>**shinsei_hosei7_STRUCTNOTIFT_TOUTYAKU_MEMO</t>
  </si>
  <si>
    <t>**shinsei_hosei7_STRUCTNOTIFT_BIKO</t>
  </si>
  <si>
    <t>**shinsei_hosei7_STRUCTNOTIFT_TUIKA_DATE</t>
  </si>
  <si>
    <t>**shinsei_hosei7_STRUCTNOTIFT_DOCNO</t>
  </si>
  <si>
    <t>**shinsei_hosei7_STRUCTTUIKA_NOTIFT_DATE</t>
  </si>
  <si>
    <t>**shinsei_hosei7_STRUCTNOTIFT_HENKOU_NOTIFT_DATE</t>
  </si>
  <si>
    <t>**shinsei_hosei7_STRUCTTUIKA_DOCNO</t>
  </si>
  <si>
    <t>**shinsei_hosei7_STRUCTNOTIFT_HENKOU_LIMIT_DATE</t>
  </si>
  <si>
    <t>**shinsei_hosei7_BIKO</t>
  </si>
  <si>
    <t>● 回数8</t>
    <rPh sb="2" eb="4">
      <t>カイスウ</t>
    </rPh>
    <phoneticPr fontId="2"/>
  </si>
  <si>
    <t>**shinsei_hosei8_NOTIFY_DATE</t>
  </si>
  <si>
    <t>**shinsei_hosei8_NOTIFY_DOCNO</t>
  </si>
  <si>
    <t>**shinsei_hosei8_KENSAIN_USER_ID</t>
  </si>
  <si>
    <t>**shinsei_hosei8_LIMIT_DATE</t>
  </si>
  <si>
    <t>**shinsei_hosei8_ANSWER_DATE</t>
  </si>
  <si>
    <t>**shinsei_hosei8_NOTIFY_NOTE</t>
  </si>
  <si>
    <t>**shinsei_hosei8_NOTIFY_SOUFU_SAKI</t>
  </si>
  <si>
    <t>**shinsei_hosei8_STRUCTNOTIFT_USE</t>
  </si>
  <si>
    <t>**shinsei_hosei8_STRUCTNOTIFT_NOTIFT_DATE</t>
  </si>
  <si>
    <t>**shinsei_hosei8_STRUCTNOTIFT_NOTIFT_NO</t>
  </si>
  <si>
    <t>**shinsei_hosei8_STRUCTNOTIFT_TOUTYAKU_MEMO</t>
  </si>
  <si>
    <t>**shinsei_hosei8_STRUCTNOTIFT_BIKO</t>
  </si>
  <si>
    <t>**shinsei_hosei8_STRUCTNOTIFT_TUIKA_DATE</t>
  </si>
  <si>
    <t>**shinsei_hosei8_STRUCTNOTIFT_DOCNO</t>
  </si>
  <si>
    <t>**shinsei_hosei8_STRUCTTUIKA_NOTIFT_DATE</t>
  </si>
  <si>
    <t>**shinsei_hosei8_STRUCTNOTIFT_HENKOU_NOTIFT_DATE</t>
  </si>
  <si>
    <t>**shinsei_hosei8_STRUCTTUIKA_DOCNO</t>
  </si>
  <si>
    <t>**shinsei_hosei8_STRUCTNOTIFT_HENKOU_LIMIT_DATE</t>
  </si>
  <si>
    <t>**shinsei_hosei8_BIKO</t>
  </si>
  <si>
    <t>● 回数9</t>
    <rPh sb="2" eb="4">
      <t>カイスウ</t>
    </rPh>
    <phoneticPr fontId="2"/>
  </si>
  <si>
    <t>**shinsei_hosei9_NOTIFY_DATE</t>
  </si>
  <si>
    <t>**shinsei_hosei9_NOTIFY_DOCNO</t>
  </si>
  <si>
    <t>**shinsei_hosei9_KENSAIN_USER_ID</t>
  </si>
  <si>
    <t>**shinsei_hosei9_LIMIT_DATE</t>
  </si>
  <si>
    <t>**shinsei_hosei9_ANSWER_DATE</t>
  </si>
  <si>
    <t>**shinsei_hosei9_NOTIFY_NOTE</t>
  </si>
  <si>
    <t>**shinsei_hosei9_NOTIFY_SOUFU_SAKI</t>
  </si>
  <si>
    <t>**shinsei_hosei9_STRUCTNOTIFT_USE</t>
  </si>
  <si>
    <t>**shinsei_hosei9_STRUCTNOTIFT_NOTIFT_DATE</t>
  </si>
  <si>
    <t>**shinsei_hosei9_STRUCTNOTIFT_NOTIFT_NO</t>
  </si>
  <si>
    <t>**shinsei_hosei9_STRUCTNOTIFT_TOUTYAKU_MEMO</t>
  </si>
  <si>
    <t>**shinsei_hosei9_STRUCTNOTIFT_BIKO</t>
  </si>
  <si>
    <t>**shinsei_hosei9_STRUCTNOTIFT_TUIKA_DATE</t>
  </si>
  <si>
    <t>**shinsei_hosei9_STRUCTNOTIFT_DOCNO</t>
  </si>
  <si>
    <t>**shinsei_hosei9_STRUCTTUIKA_NOTIFT_DATE</t>
  </si>
  <si>
    <t>**shinsei_hosei9_STRUCTNOTIFT_HENKOU_NOTIFT_DATE</t>
  </si>
  <si>
    <t>**shinsei_hosei9_STRUCTTUIKA_DOCNO</t>
  </si>
  <si>
    <t>**shinsei_hosei9_STRUCTNOTIFT_HENKOU_LIMIT_DATE</t>
  </si>
  <si>
    <t>**shinsei_hosei9_BIKO</t>
  </si>
  <si>
    <t>● 回数10</t>
    <rPh sb="2" eb="4">
      <t>カイスウ</t>
    </rPh>
    <phoneticPr fontId="2"/>
  </si>
  <si>
    <t>**shinsei_hosei10_NOTIFY_DATE</t>
  </si>
  <si>
    <t>**shinsei_hosei10_NOTIFY_DOCNO</t>
  </si>
  <si>
    <t>**shinsei_hosei10_KENSAIN_USER_ID</t>
  </si>
  <si>
    <t>**shinsei_hosei10_LIMIT_DATE</t>
  </si>
  <si>
    <t>**shinsei_hosei10_ANSWER_DATE</t>
  </si>
  <si>
    <t>**shinsei_hosei10_NOTIFY_NOTE</t>
  </si>
  <si>
    <t>**shinsei_hosei10_NOTIFY_SOUFU_SAKI</t>
  </si>
  <si>
    <t>**shinsei_hosei10_STRUCTNOTIFT_USE</t>
  </si>
  <si>
    <t>**shinsei_hosei10_STRUCTNOTIFT_NOTIFT_DATE</t>
  </si>
  <si>
    <t>**shinsei_hosei10_STRUCTNOTIFT_NOTIFT_NO</t>
  </si>
  <si>
    <t>**shinsei_hosei10_STRUCTNOTIFT_TOUTYAKU_MEMO</t>
  </si>
  <si>
    <t>**shinsei_hosei10_STRUCTNOTIFT_BIKO</t>
  </si>
  <si>
    <t>**shinsei_hosei10_STRUCTNOTIFT_TUIKA_DATE</t>
  </si>
  <si>
    <t>**shinsei_hosei10_STRUCTNOTIFT_DOCNO</t>
  </si>
  <si>
    <t>**shinsei_hosei10_STRUCTTUIKA_NOTIFT_DATE</t>
  </si>
  <si>
    <t>**shinsei_hosei10_STRUCTNOTIFT_HENKOU_NOTIFT_DATE</t>
  </si>
  <si>
    <t>**shinsei_hosei10_STRUCTTUIKA_DOCNO</t>
  </si>
  <si>
    <t>**shinsei_hosei10_STRUCTNOTIFT_HENKOU_LIMIT_DATE</t>
  </si>
  <si>
    <t>**shinsei_hosei10_BIKO</t>
  </si>
  <si>
    <t>関連付けされている業務</t>
    <rPh sb="0" eb="3">
      <t>カンレンヅ</t>
    </rPh>
    <rPh sb="9" eb="11">
      <t>ギョウム</t>
    </rPh>
    <phoneticPr fontId="2"/>
  </si>
  <si>
    <t>適合証明</t>
    <rPh sb="0" eb="2">
      <t>テキゴウ</t>
    </rPh>
    <rPh sb="2" eb="4">
      <t>ショウメイ</t>
    </rPh>
    <phoneticPr fontId="2"/>
  </si>
  <si>
    <t>受付番号</t>
    <rPh sb="0" eb="2">
      <t>ウケツケ</t>
    </rPh>
    <rPh sb="2" eb="4">
      <t>バンゴウ</t>
    </rPh>
    <phoneticPr fontId="2"/>
  </si>
  <si>
    <t>**flat35_ACCEPT_NO</t>
    <phoneticPr fontId="2"/>
  </si>
  <si>
    <t>cst_flat35_ACCEPT_NO</t>
    <phoneticPr fontId="2"/>
  </si>
  <si>
    <t>設計受付日</t>
    <rPh sb="0" eb="2">
      <t>セッケイ</t>
    </rPh>
    <rPh sb="2" eb="5">
      <t>ウケツケビ</t>
    </rPh>
    <phoneticPr fontId="2"/>
  </si>
  <si>
    <t>**flat35_DI_ACCEPT_DATE</t>
    <phoneticPr fontId="2"/>
  </si>
  <si>
    <t>cst_flat35_DI_ACCEPT_DATE</t>
    <phoneticPr fontId="2"/>
  </si>
  <si>
    <t>cst_flat35_DI_ACCEPT_DATE_dsp</t>
    <phoneticPr fontId="2"/>
  </si>
  <si>
    <t>空欄時　年号表示</t>
    <rPh sb="0" eb="2">
      <t>クウラン</t>
    </rPh>
    <rPh sb="2" eb="3">
      <t>ジ</t>
    </rPh>
    <rPh sb="4" eb="6">
      <t>ネンゴウ</t>
    </rPh>
    <rPh sb="6" eb="8">
      <t>ヒョウジ</t>
    </rPh>
    <phoneticPr fontId="2"/>
  </si>
  <si>
    <t>設計合格日</t>
    <rPh sb="0" eb="2">
      <t>セッケイ</t>
    </rPh>
    <rPh sb="2" eb="5">
      <t>ゴウカクビ</t>
    </rPh>
    <phoneticPr fontId="2"/>
  </si>
  <si>
    <t>**flat35_DI_ISSUE_DATE</t>
    <phoneticPr fontId="2"/>
  </si>
  <si>
    <t>cst_flat35_DI_ISSUE_DATE</t>
    <phoneticPr fontId="2"/>
  </si>
  <si>
    <t>cst_flat35_DI_ISSUE_DATE_dsp</t>
    <phoneticPr fontId="2"/>
  </si>
  <si>
    <t>data_values_NEW__end</t>
    <phoneticPr fontId="2"/>
  </si>
  <si>
    <t>備考：</t>
    <rPh sb="0" eb="2">
      <t>ビコウ</t>
    </rPh>
    <phoneticPr fontId="2"/>
  </si>
  <si>
    <t>（セル名）</t>
    <rPh sb="3" eb="4">
      <t>メイ</t>
    </rPh>
    <phoneticPr fontId="2"/>
  </si>
  <si>
    <t>（Customセル名）</t>
    <rPh sb="9" eb="10">
      <t>メイ</t>
    </rPh>
    <phoneticPr fontId="2"/>
  </si>
  <si>
    <t>■ 受付 - 手数料1</t>
    <rPh sb="2" eb="4">
      <t>ウケツケ</t>
    </rPh>
    <rPh sb="7" eb="10">
      <t>テスウリョウ</t>
    </rPh>
    <phoneticPr fontId="2"/>
  </si>
  <si>
    <t>◇ 手数料1</t>
    <rPh sb="2" eb="5">
      <t>テスウリョウ</t>
    </rPh>
    <phoneticPr fontId="2"/>
  </si>
  <si>
    <t>取引区分</t>
    <phoneticPr fontId="2"/>
  </si>
  <si>
    <t>1:掛売, 2:現金, 3:振込</t>
    <rPh sb="2" eb="4">
      <t>カケウリ</t>
    </rPh>
    <rPh sb="8" eb="10">
      <t>ゲンキン</t>
    </rPh>
    <rPh sb="14" eb="16">
      <t>フリコミ</t>
    </rPh>
    <phoneticPr fontId="2"/>
  </si>
  <si>
    <t>請求日</t>
    <rPh sb="0" eb="2">
      <t>セイキュウ</t>
    </rPh>
    <phoneticPr fontId="2"/>
  </si>
  <si>
    <t>cst_shinsei_CHARGE_ID__bill__date</t>
  </si>
  <si>
    <t>請求発生日</t>
    <rPh sb="0" eb="2">
      <t>セイキュウ</t>
    </rPh>
    <rPh sb="2" eb="5">
      <t>ハッセイビ</t>
    </rPh>
    <phoneticPr fontId="2"/>
  </si>
  <si>
    <t>cst_shinsei_CHARGE_ID__BASE_DATE</t>
    <phoneticPr fontId="2"/>
  </si>
  <si>
    <t>領収日</t>
    <rPh sb="0" eb="2">
      <t>リョウシュウ</t>
    </rPh>
    <rPh sb="2" eb="3">
      <t>ビ</t>
    </rPh>
    <phoneticPr fontId="2"/>
  </si>
  <si>
    <t>cst_shinsei_CHARGE_ID__RECEIPT_DATE__add_disp</t>
    <phoneticPr fontId="2"/>
  </si>
  <si>
    <t>cst_shinsei_CHARGE_ID__RECEIPT_DATE</t>
    <phoneticPr fontId="2"/>
  </si>
  <si>
    <t>領収証宛先</t>
    <phoneticPr fontId="2"/>
  </si>
  <si>
    <t>cst_shinsei_CHARGE_ID__RECEIPT_TO__add_sama</t>
  </si>
  <si>
    <t>様付</t>
    <rPh sb="0" eb="1">
      <t>サマ</t>
    </rPh>
    <rPh sb="1" eb="2">
      <t>ツキ</t>
    </rPh>
    <phoneticPr fontId="2"/>
  </si>
  <si>
    <t>cst_shinsei_CHARGE_ID__RECEIPT_TO</t>
    <phoneticPr fontId="2"/>
  </si>
  <si>
    <t>伝票番号</t>
    <rPh sb="0" eb="2">
      <t>デンピョウ</t>
    </rPh>
    <rPh sb="2" eb="4">
      <t>バンゴウ</t>
    </rPh>
    <phoneticPr fontId="2"/>
  </si>
  <si>
    <t>cst_shinsei_CHARGE_ID__DENPYOU_NO</t>
    <phoneticPr fontId="2"/>
  </si>
  <si>
    <t>○請求先（旧名：得意先）</t>
    <rPh sb="1" eb="3">
      <t>セイキュウ</t>
    </rPh>
    <rPh sb="3" eb="4">
      <t>サキ</t>
    </rPh>
    <rPh sb="5" eb="7">
      <t>キュウメイ</t>
    </rPh>
    <phoneticPr fontId="2"/>
  </si>
  <si>
    <t>郵便番号</t>
  </si>
  <si>
    <t>cst_shinsei_CHARGE_ID__cust__zip</t>
    <phoneticPr fontId="2"/>
  </si>
  <si>
    <t>住所</t>
  </si>
  <si>
    <t>cst_shinsei_CHARGE_ID__cust__address</t>
    <phoneticPr fontId="2"/>
  </si>
  <si>
    <t>名称</t>
  </si>
  <si>
    <t>cst_shinsei_CHARGE_ID__cust__caption</t>
    <phoneticPr fontId="2"/>
  </si>
  <si>
    <t>電話番号</t>
  </si>
  <si>
    <t>cst_shinsei_CHARGE_ID__cust__tel</t>
    <phoneticPr fontId="2"/>
  </si>
  <si>
    <t>cst_shinsei_CHARGE_ID__NOTE</t>
    <phoneticPr fontId="2"/>
  </si>
  <si>
    <t>手数料（合計）</t>
    <rPh sb="0" eb="3">
      <t>テスウリョウ</t>
    </rPh>
    <rPh sb="4" eb="6">
      <t>ゴウケイ</t>
    </rPh>
    <phoneticPr fontId="2"/>
  </si>
  <si>
    <t>cst_shinsei_CHARGE_ID__RECEIPT_PRICE</t>
    <phoneticPr fontId="2"/>
  </si>
  <si>
    <t>cst_shinsei_CHARGE_ID__RECEIPT_PRICE__disp</t>
    <phoneticPr fontId="2"/>
  </si>
  <si>
    <t>円, 円也</t>
    <rPh sb="0" eb="1">
      <t>エン</t>
    </rPh>
    <rPh sb="3" eb="4">
      <t>エン</t>
    </rPh>
    <rPh sb="4" eb="5">
      <t>ナリ</t>
    </rPh>
    <phoneticPr fontId="2"/>
  </si>
  <si>
    <t>構造判定にかかる手数料（合計）</t>
    <rPh sb="0" eb="2">
      <t>コウゾウ</t>
    </rPh>
    <rPh sb="2" eb="4">
      <t>ハンテイ</t>
    </rPh>
    <rPh sb="8" eb="11">
      <t>テスウリョウ</t>
    </rPh>
    <rPh sb="12" eb="14">
      <t>ゴウケイ</t>
    </rPh>
    <phoneticPr fontId="2"/>
  </si>
  <si>
    <t>cst_shinsei_STR_TOTAL_CHARGE</t>
    <phoneticPr fontId="2"/>
  </si>
  <si>
    <t>金額</t>
    <rPh sb="0" eb="2">
      <t>キンガク</t>
    </rPh>
    <phoneticPr fontId="2"/>
  </si>
  <si>
    <t>cst_shinsei_CHARGE_ID__STR_CHARGE</t>
    <phoneticPr fontId="2"/>
  </si>
  <si>
    <t>cst_shinsei_CHARGE_ID__STR_CHARGE_WARIMASHI</t>
    <phoneticPr fontId="2"/>
  </si>
  <si>
    <t>◇ 手数料1 - 手数料詳細設定 - 手数料設定</t>
    <rPh sb="2" eb="5">
      <t>テスウリョウ</t>
    </rPh>
    <rPh sb="9" eb="12">
      <t>テスウリョウ</t>
    </rPh>
    <rPh sb="12" eb="14">
      <t>ショウサイ</t>
    </rPh>
    <rPh sb="14" eb="16">
      <t>セッテイ</t>
    </rPh>
    <rPh sb="19" eb="22">
      <t>テスウリョウ</t>
    </rPh>
    <rPh sb="22" eb="24">
      <t>セッテイ</t>
    </rPh>
    <phoneticPr fontId="2"/>
  </si>
  <si>
    <t>申請種別</t>
    <rPh sb="0" eb="2">
      <t>シンセイ</t>
    </rPh>
    <rPh sb="2" eb="4">
      <t>シュベツ</t>
    </rPh>
    <phoneticPr fontId="2"/>
  </si>
  <si>
    <t>基本手数料</t>
    <rPh sb="0" eb="2">
      <t>キホン</t>
    </rPh>
    <rPh sb="2" eb="5">
      <t>テスウリョウ</t>
    </rPh>
    <phoneticPr fontId="2"/>
  </si>
  <si>
    <t>cst_shinsei_CHARGE_ID__BASIC_CHARGE</t>
    <phoneticPr fontId="2"/>
  </si>
  <si>
    <t>コンバートデータ等で、基本手数料欄が空欄の場合の処理</t>
    <rPh sb="8" eb="9">
      <t>ナド</t>
    </rPh>
    <rPh sb="11" eb="16">
      <t>キホンテスウリョウ</t>
    </rPh>
    <rPh sb="16" eb="17">
      <t>ラン</t>
    </rPh>
    <rPh sb="18" eb="20">
      <t>クウラン</t>
    </rPh>
    <rPh sb="21" eb="23">
      <t>バアイ</t>
    </rPh>
    <rPh sb="24" eb="26">
      <t>ショリ</t>
    </rPh>
    <phoneticPr fontId="2"/>
  </si>
  <si>
    <t>cst_shinsei_CHARGE_ID__BASIC_CHARGE__case0</t>
    <phoneticPr fontId="2"/>
  </si>
  <si>
    <t>明細合計</t>
    <rPh sb="0" eb="2">
      <t>メイサイ</t>
    </rPh>
    <rPh sb="2" eb="4">
      <t>ゴウケイ</t>
    </rPh>
    <phoneticPr fontId="2"/>
  </si>
  <si>
    <t>cst_CHARGE_MEISAI_GOUKEI</t>
  </si>
  <si>
    <t>基本手数料＋明細合計</t>
    <rPh sb="0" eb="2">
      <t>キホン</t>
    </rPh>
    <rPh sb="2" eb="5">
      <t>テスウリョウ</t>
    </rPh>
    <rPh sb="6" eb="8">
      <t>メイサイ</t>
    </rPh>
    <rPh sb="8" eb="10">
      <t>ゴウケイ</t>
    </rPh>
    <phoneticPr fontId="2"/>
  </si>
  <si>
    <t>cst_CHARGE__BASIC_MEISAI_GOUKEI</t>
    <phoneticPr fontId="2"/>
  </si>
  <si>
    <t>地域割増</t>
    <rPh sb="0" eb="2">
      <t>チイキ</t>
    </rPh>
    <rPh sb="2" eb="4">
      <t>ワリマシ</t>
    </rPh>
    <phoneticPr fontId="2"/>
  </si>
  <si>
    <t>数量</t>
    <rPh sb="0" eb="2">
      <t>スウリョウ</t>
    </rPh>
    <phoneticPr fontId="2"/>
  </si>
  <si>
    <t>cst_shinsei_CHARGE_ID__TIIKIWARIMASHI_SURYOU</t>
    <phoneticPr fontId="2"/>
  </si>
  <si>
    <t>単価</t>
    <rPh sb="0" eb="2">
      <t>タンカ</t>
    </rPh>
    <phoneticPr fontId="2"/>
  </si>
  <si>
    <t>cst_shinsei_CHARGE_ID__TIIKIWARIMASHI_TANKA</t>
    <phoneticPr fontId="2"/>
  </si>
  <si>
    <t>cst_shinsei_CHARGE_ID__TIIKIWARIMASHI_CHARGE</t>
    <phoneticPr fontId="2"/>
  </si>
  <si>
    <t>明細1</t>
    <rPh sb="0" eb="2">
      <t>メイサイ</t>
    </rPh>
    <phoneticPr fontId="2"/>
  </si>
  <si>
    <t>cst_shinsei_CHARGE_ID__meisai01_ITEM_NAME</t>
    <phoneticPr fontId="2"/>
  </si>
  <si>
    <t>txt</t>
    <phoneticPr fontId="2"/>
  </si>
  <si>
    <t>cst_shinsei_CHARGE_ID__meisai01_SURYOU</t>
    <phoneticPr fontId="2"/>
  </si>
  <si>
    <t xml:space="preserve">#,##0_ </t>
  </si>
  <si>
    <t>cst_shinsei_CHARGE_ID__meisai01_TANKA</t>
    <phoneticPr fontId="2"/>
  </si>
  <si>
    <t>金額</t>
    <rPh sb="0" eb="1">
      <t>キン</t>
    </rPh>
    <rPh sb="1" eb="2">
      <t>ガク</t>
    </rPh>
    <phoneticPr fontId="2"/>
  </si>
  <si>
    <t>cst_shinsei_CHARGE_ID__meisai01_SYOUKEI</t>
    <phoneticPr fontId="2"/>
  </si>
  <si>
    <t>txt</t>
    <phoneticPr fontId="2"/>
  </si>
  <si>
    <t>明細2</t>
    <rPh sb="0" eb="2">
      <t>メイサイ</t>
    </rPh>
    <phoneticPr fontId="2"/>
  </si>
  <si>
    <t>cst_shinsei_CHARGE_ID__meisai02_ITEM_NAME</t>
    <phoneticPr fontId="2"/>
  </si>
  <si>
    <t>cst_shinsei_CHARGE_ID__meisai02_SURYOU</t>
    <phoneticPr fontId="2"/>
  </si>
  <si>
    <t>cst_shinsei_CHARGE_ID__meisai02_TANKA</t>
    <phoneticPr fontId="2"/>
  </si>
  <si>
    <t>cst_shinsei_CHARGE_ID__meisai02_SYOUKEI</t>
    <phoneticPr fontId="2"/>
  </si>
  <si>
    <t>明細3</t>
    <rPh sb="0" eb="2">
      <t>メイサイ</t>
    </rPh>
    <phoneticPr fontId="2"/>
  </si>
  <si>
    <t>cst_shinsei_CHARGE_ID__meisai03_ITEM_NAME</t>
    <phoneticPr fontId="2"/>
  </si>
  <si>
    <t>txt</t>
    <phoneticPr fontId="2"/>
  </si>
  <si>
    <t>cst_shinsei_CHARGE_ID__meisai03_SURYOU</t>
    <phoneticPr fontId="2"/>
  </si>
  <si>
    <t>cst_shinsei_CHARGE_ID__meisai03_TANKA</t>
    <phoneticPr fontId="2"/>
  </si>
  <si>
    <t>cst_shinsei_CHARGE_ID__meisai03_SYOUKEI</t>
    <phoneticPr fontId="2"/>
  </si>
  <si>
    <t>明細4</t>
    <rPh sb="0" eb="2">
      <t>メイサイ</t>
    </rPh>
    <phoneticPr fontId="2"/>
  </si>
  <si>
    <t>cst_shinsei_CHARGE_ID__meisai04_ITEM_NAME</t>
    <phoneticPr fontId="2"/>
  </si>
  <si>
    <t>cst_shinsei_CHARGE_ID__meisai04_SURYOU</t>
    <phoneticPr fontId="2"/>
  </si>
  <si>
    <t>cst_shinsei_CHARGE_ID__meisai04_TANKA</t>
    <phoneticPr fontId="2"/>
  </si>
  <si>
    <t>cst_shinsei_CHARGE_ID__meisai04_SYOUKEI</t>
    <phoneticPr fontId="2"/>
  </si>
  <si>
    <t>明細5</t>
    <rPh sb="0" eb="2">
      <t>メイサイ</t>
    </rPh>
    <phoneticPr fontId="2"/>
  </si>
  <si>
    <t>cst_shinsei_CHARGE_ID__meisai05_ITEM_NAME</t>
    <phoneticPr fontId="2"/>
  </si>
  <si>
    <t>cst_shinsei_CHARGE_ID__meisai05_SURYOU</t>
    <phoneticPr fontId="2"/>
  </si>
  <si>
    <t>cst_shinsei_CHARGE_ID__meisai05_TANKA</t>
    <phoneticPr fontId="2"/>
  </si>
  <si>
    <t>cst_shinsei_CHARGE_ID__meisai05_SYOUKEI</t>
    <phoneticPr fontId="2"/>
  </si>
  <si>
    <t>明細6</t>
    <rPh sb="0" eb="2">
      <t>メイサイ</t>
    </rPh>
    <phoneticPr fontId="2"/>
  </si>
  <si>
    <t>cst_shinsei_CHARGE_ID__meisai06_ITEM_NAME</t>
    <phoneticPr fontId="2"/>
  </si>
  <si>
    <t>txt</t>
    <phoneticPr fontId="2"/>
  </si>
  <si>
    <t>cst_shinsei_CHARGE_ID__meisai06_SURYOU</t>
    <phoneticPr fontId="2"/>
  </si>
  <si>
    <t>cst_shinsei_CHARGE_ID__meisai06_TANKA</t>
    <phoneticPr fontId="2"/>
  </si>
  <si>
    <t>cst_shinsei_CHARGE_ID__meisai06_SYOUKEI</t>
    <phoneticPr fontId="2"/>
  </si>
  <si>
    <t>明細7</t>
    <rPh sb="0" eb="2">
      <t>メイサイ</t>
    </rPh>
    <phoneticPr fontId="2"/>
  </si>
  <si>
    <t>cst_shinsei_CHARGE_ID__meisai07_ITEM_NAME</t>
    <phoneticPr fontId="2"/>
  </si>
  <si>
    <t>cst_shinsei_CHARGE_ID__meisai07_SURYOU</t>
    <phoneticPr fontId="2"/>
  </si>
  <si>
    <t>cst_shinsei_CHARGE_ID__meisai07_TANKA</t>
    <phoneticPr fontId="2"/>
  </si>
  <si>
    <t>cst_shinsei_CHARGE_ID__meisai07_SYOUKEI</t>
    <phoneticPr fontId="2"/>
  </si>
  <si>
    <t>明細8</t>
    <rPh sb="0" eb="2">
      <t>メイサイ</t>
    </rPh>
    <phoneticPr fontId="2"/>
  </si>
  <si>
    <t>cst_shinsei_SEKOU_TEL</t>
    <phoneticPr fontId="2"/>
  </si>
  <si>
    <t>工事施工者2</t>
    <rPh sb="0" eb="2">
      <t>コウジ</t>
    </rPh>
    <rPh sb="2" eb="5">
      <t>セコウシャ</t>
    </rPh>
    <phoneticPr fontId="2"/>
  </si>
  <si>
    <t>cst_shinsei_sekou2_NAME</t>
    <phoneticPr fontId="2"/>
  </si>
  <si>
    <t>**shinsei_sekou2_JIMU_TOUROKU_KIKAN</t>
  </si>
  <si>
    <t>cst_shinsei_sekou2_JIMU_TOUROKU_KIKAN</t>
  </si>
  <si>
    <t>**shinsei_sekou2_JIMU_NO</t>
  </si>
  <si>
    <t>cst_shinsei_sekou2_JIMU_NO</t>
  </si>
  <si>
    <t>営業所名</t>
    <phoneticPr fontId="2"/>
  </si>
  <si>
    <t>**shinsei_sekou2_JIMU_NAME</t>
  </si>
  <si>
    <t>建築場所</t>
    <rPh sb="0" eb="2">
      <t>ケンチク</t>
    </rPh>
    <rPh sb="2" eb="4">
      <t>バショ</t>
    </rPh>
    <phoneticPr fontId="2"/>
  </si>
  <si>
    <t>東京本社</t>
  </si>
  <si>
    <t>Ver.1.0</t>
    <phoneticPr fontId="2"/>
  </si>
  <si>
    <t>一斉出力</t>
    <rPh sb="0" eb="2">
      <t>イッセイ</t>
    </rPh>
    <rPh sb="2" eb="4">
      <t>シュツリョク</t>
    </rPh>
    <phoneticPr fontId="2"/>
  </si>
  <si>
    <t>Ver.2.0</t>
    <phoneticPr fontId="2"/>
  </si>
  <si>
    <t>全項目対応</t>
    <rPh sb="0" eb="1">
      <t>ゼン</t>
    </rPh>
    <rPh sb="1" eb="3">
      <t>コウモク</t>
    </rPh>
    <rPh sb="3" eb="5">
      <t>タイオウ</t>
    </rPh>
    <phoneticPr fontId="2"/>
  </si>
  <si>
    <t>Ver.3.0</t>
    <phoneticPr fontId="2"/>
  </si>
  <si>
    <t>DATAシート分離（機関別対応）</t>
    <rPh sb="7" eb="9">
      <t>ブンリ</t>
    </rPh>
    <rPh sb="10" eb="12">
      <t>キカン</t>
    </rPh>
    <rPh sb="12" eb="13">
      <t>ベツ</t>
    </rPh>
    <rPh sb="13" eb="15">
      <t>タイオウ</t>
    </rPh>
    <phoneticPr fontId="2"/>
  </si>
  <si>
    <t>Ver.4.0</t>
    <phoneticPr fontId="2"/>
  </si>
  <si>
    <t>高速出力対応</t>
    <rPh sb="0" eb="2">
      <t>コウソク</t>
    </rPh>
    <rPh sb="2" eb="4">
      <t>シュツリョク</t>
    </rPh>
    <rPh sb="4" eb="6">
      <t>タイオウ</t>
    </rPh>
    <phoneticPr fontId="2"/>
  </si>
  <si>
    <t>但し、手数料のセル名は未整理</t>
    <rPh sb="0" eb="1">
      <t>タダ</t>
    </rPh>
    <rPh sb="3" eb="6">
      <t>テスウリョウ</t>
    </rPh>
    <rPh sb="9" eb="10">
      <t>メイ</t>
    </rPh>
    <rPh sb="11" eb="14">
      <t>ミセイリ</t>
    </rPh>
    <phoneticPr fontId="2"/>
  </si>
  <si>
    <t>日付</t>
    <rPh sb="0" eb="2">
      <t>ヒヅケ</t>
    </rPh>
    <phoneticPr fontId="2"/>
  </si>
  <si>
    <t>変更内容</t>
    <rPh sb="0" eb="2">
      <t>ヘンコウ</t>
    </rPh>
    <rPh sb="2" eb="4">
      <t>ナイヨウ</t>
    </rPh>
    <phoneticPr fontId="2"/>
  </si>
  <si>
    <t>請求書の宛名を領収書宛名に変更</t>
    <rPh sb="0" eb="3">
      <t>セイキュウショ</t>
    </rPh>
    <rPh sb="4" eb="6">
      <t>アテナ</t>
    </rPh>
    <rPh sb="7" eb="10">
      <t>リョウシュウショ</t>
    </rPh>
    <rPh sb="10" eb="12">
      <t>アテナ</t>
    </rPh>
    <rPh sb="13" eb="15">
      <t>ヘンコウ</t>
    </rPh>
    <phoneticPr fontId="2"/>
  </si>
  <si>
    <t>請求書タイトルの文字フォントが左寄りで且つ小さくなっていたのを修正</t>
    <rPh sb="0" eb="3">
      <t>セイキュウショ</t>
    </rPh>
    <rPh sb="8" eb="10">
      <t>モジ</t>
    </rPh>
    <rPh sb="15" eb="17">
      <t>ヒダリヨ</t>
    </rPh>
    <rPh sb="19" eb="20">
      <t>カ</t>
    </rPh>
    <rPh sb="21" eb="22">
      <t>チイ</t>
    </rPh>
    <rPh sb="31" eb="33">
      <t>シュウセイ</t>
    </rPh>
    <phoneticPr fontId="2"/>
  </si>
  <si>
    <t>合格証、検査済証の発行者の住所が会社名になっていたのを修正</t>
    <rPh sb="0" eb="2">
      <t>ゴウカク</t>
    </rPh>
    <rPh sb="2" eb="3">
      <t>ショウ</t>
    </rPh>
    <rPh sb="4" eb="6">
      <t>ケンサ</t>
    </rPh>
    <rPh sb="6" eb="7">
      <t>ズミ</t>
    </rPh>
    <rPh sb="7" eb="8">
      <t>ショウ</t>
    </rPh>
    <rPh sb="9" eb="11">
      <t>ハッコウ</t>
    </rPh>
    <rPh sb="11" eb="12">
      <t>シャ</t>
    </rPh>
    <rPh sb="13" eb="15">
      <t>ジュウショ</t>
    </rPh>
    <rPh sb="16" eb="19">
      <t>カイシャメイ</t>
    </rPh>
    <rPh sb="27" eb="29">
      <t>シュウセイ</t>
    </rPh>
    <phoneticPr fontId="2"/>
  </si>
  <si>
    <t>適判名の手入力対策の一致条件を追加</t>
    <rPh sb="0" eb="2">
      <t>テキハン</t>
    </rPh>
    <rPh sb="2" eb="3">
      <t>メイ</t>
    </rPh>
    <rPh sb="4" eb="5">
      <t>テ</t>
    </rPh>
    <rPh sb="5" eb="7">
      <t>ニュウリョク</t>
    </rPh>
    <rPh sb="7" eb="9">
      <t>タイサク</t>
    </rPh>
    <rPh sb="10" eb="12">
      <t>イッチ</t>
    </rPh>
    <rPh sb="12" eb="14">
      <t>ジョウケン</t>
    </rPh>
    <rPh sb="15" eb="17">
      <t>ツイカ</t>
    </rPh>
    <phoneticPr fontId="2"/>
  </si>
  <si>
    <t>領収書宛名に既に「様」がある場合に対応した処理を追加。</t>
    <rPh sb="0" eb="3">
      <t>リョウシュウショ</t>
    </rPh>
    <rPh sb="3" eb="5">
      <t>アテナ</t>
    </rPh>
    <rPh sb="6" eb="7">
      <t>スデ</t>
    </rPh>
    <rPh sb="9" eb="10">
      <t>サマ</t>
    </rPh>
    <rPh sb="14" eb="16">
      <t>バアイ</t>
    </rPh>
    <rPh sb="17" eb="19">
      <t>タイオウ</t>
    </rPh>
    <rPh sb="21" eb="23">
      <t>ショリ</t>
    </rPh>
    <rPh sb="24" eb="26">
      <t>ツイカ</t>
    </rPh>
    <phoneticPr fontId="2"/>
  </si>
  <si>
    <t>検査済証、報告書の建築物名称において、最終名称を反映させる処理を追加</t>
    <rPh sb="0" eb="2">
      <t>ケンサ</t>
    </rPh>
    <rPh sb="2" eb="3">
      <t>ズミ</t>
    </rPh>
    <rPh sb="3" eb="4">
      <t>ショウ</t>
    </rPh>
    <rPh sb="5" eb="8">
      <t>ホウコクショ</t>
    </rPh>
    <rPh sb="9" eb="12">
      <t>ケンチクブツ</t>
    </rPh>
    <rPh sb="12" eb="14">
      <t>メイショウ</t>
    </rPh>
    <rPh sb="19" eb="21">
      <t>サイシュウ</t>
    </rPh>
    <rPh sb="21" eb="23">
      <t>メイショウ</t>
    </rPh>
    <rPh sb="24" eb="26">
      <t>ハンエイ</t>
    </rPh>
    <rPh sb="29" eb="31">
      <t>ショリ</t>
    </rPh>
    <rPh sb="32" eb="34">
      <t>ツイカ</t>
    </rPh>
    <phoneticPr fontId="2"/>
  </si>
  <si>
    <t>構造計算適合性判定機関への確認結果報告書の担当者欄の文字の重なりを修正</t>
    <rPh sb="21" eb="24">
      <t>タントウシャ</t>
    </rPh>
    <rPh sb="24" eb="25">
      <t>ラン</t>
    </rPh>
    <rPh sb="26" eb="28">
      <t>モジ</t>
    </rPh>
    <rPh sb="29" eb="30">
      <t>カサ</t>
    </rPh>
    <rPh sb="33" eb="35">
      <t>シュウセイ</t>
    </rPh>
    <phoneticPr fontId="2"/>
  </si>
  <si>
    <t>浄化槽の規模面積を入力する欄を追加する必要がある。</t>
    <rPh sb="0" eb="3">
      <t>ジョウカソウ</t>
    </rPh>
    <rPh sb="4" eb="6">
      <t>キボ</t>
    </rPh>
    <rPh sb="6" eb="8">
      <t>メンセキ</t>
    </rPh>
    <rPh sb="9" eb="11">
      <t>ニュウリョク</t>
    </rPh>
    <rPh sb="13" eb="14">
      <t>ラン</t>
    </rPh>
    <rPh sb="15" eb="17">
      <t>ツイカ</t>
    </rPh>
    <rPh sb="19" eb="21">
      <t>ヒツヨウ</t>
    </rPh>
    <phoneticPr fontId="2"/>
  </si>
  <si>
    <t>代表者名変更に伴う処理</t>
    <rPh sb="0" eb="3">
      <t>ダイヒョウシャ</t>
    </rPh>
    <rPh sb="3" eb="4">
      <t>メイ</t>
    </rPh>
    <rPh sb="4" eb="6">
      <t>ヘンコウ</t>
    </rPh>
    <rPh sb="7" eb="8">
      <t>トモナ</t>
    </rPh>
    <rPh sb="9" eb="11">
      <t>ショリ</t>
    </rPh>
    <phoneticPr fontId="2"/>
  </si>
  <si>
    <t>屎尿浄化槽の構造形式の種類、面積を追加</t>
    <rPh sb="17" eb="19">
      <t>ツイカ</t>
    </rPh>
    <phoneticPr fontId="2"/>
  </si>
  <si>
    <t>帳票発行者のレイアウト変更</t>
    <rPh sb="0" eb="2">
      <t>チョウヒョウ</t>
    </rPh>
    <rPh sb="2" eb="5">
      <t>ハッコウシャ</t>
    </rPh>
    <rPh sb="11" eb="13">
      <t>ヘンコウ</t>
    </rPh>
    <phoneticPr fontId="2"/>
  </si>
  <si>
    <t>工作物 区分が未選択の場合88-1を選択するように変更</t>
    <rPh sb="0" eb="3">
      <t>コウサクブツ</t>
    </rPh>
    <rPh sb="4" eb="6">
      <t>クブン</t>
    </rPh>
    <rPh sb="7" eb="8">
      <t>ミ</t>
    </rPh>
    <rPh sb="8" eb="10">
      <t>センタク</t>
    </rPh>
    <rPh sb="11" eb="13">
      <t>バアイ</t>
    </rPh>
    <rPh sb="18" eb="20">
      <t>センタク</t>
    </rPh>
    <rPh sb="25" eb="27">
      <t>ヘンコウ</t>
    </rPh>
    <phoneticPr fontId="2"/>
  </si>
  <si>
    <t>適判手数料部分を追加</t>
    <rPh sb="0" eb="2">
      <t>テキハン</t>
    </rPh>
    <rPh sb="2" eb="5">
      <t>テスウリョウ</t>
    </rPh>
    <rPh sb="5" eb="7">
      <t>ブブン</t>
    </rPh>
    <rPh sb="8" eb="10">
      <t>ツイカ</t>
    </rPh>
    <phoneticPr fontId="2"/>
  </si>
  <si>
    <t>消防署宛名処理を修正</t>
    <rPh sb="0" eb="3">
      <t>ショウボウショ</t>
    </rPh>
    <rPh sb="3" eb="5">
      <t>アテナ</t>
    </rPh>
    <rPh sb="5" eb="7">
      <t>ショリ</t>
    </rPh>
    <rPh sb="8" eb="10">
      <t>シュウセイ</t>
    </rPh>
    <phoneticPr fontId="2"/>
  </si>
  <si>
    <t>検査済証・報告書の最終名称の処理が間違っていた問題を修正</t>
    <rPh sb="0" eb="2">
      <t>ケンサ</t>
    </rPh>
    <rPh sb="2" eb="3">
      <t>ズミ</t>
    </rPh>
    <rPh sb="3" eb="4">
      <t>ショウ</t>
    </rPh>
    <rPh sb="5" eb="8">
      <t>ホウコクショ</t>
    </rPh>
    <rPh sb="9" eb="11">
      <t>サイシュウ</t>
    </rPh>
    <rPh sb="11" eb="13">
      <t>メイショウ</t>
    </rPh>
    <rPh sb="14" eb="16">
      <t>ショリ</t>
    </rPh>
    <rPh sb="17" eb="19">
      <t>マチガ</t>
    </rPh>
    <rPh sb="23" eb="25">
      <t>モンダイ</t>
    </rPh>
    <rPh sb="26" eb="28">
      <t>シュウセイ</t>
    </rPh>
    <phoneticPr fontId="2"/>
  </si>
  <si>
    <t>合格証、報告書の特定工程に該当工区を付加。</t>
    <rPh sb="0" eb="2">
      <t>ゴウカク</t>
    </rPh>
    <rPh sb="2" eb="3">
      <t>ショウ</t>
    </rPh>
    <rPh sb="4" eb="7">
      <t>ホウコクショ</t>
    </rPh>
    <rPh sb="8" eb="10">
      <t>トクテイ</t>
    </rPh>
    <rPh sb="10" eb="12">
      <t>コウテイ</t>
    </rPh>
    <rPh sb="13" eb="15">
      <t>ガイトウ</t>
    </rPh>
    <rPh sb="15" eb="17">
      <t>コウク</t>
    </rPh>
    <rPh sb="18" eb="20">
      <t>フカ</t>
    </rPh>
    <phoneticPr fontId="2"/>
  </si>
  <si>
    <t>主要用途（印刷用）を追加。</t>
    <rPh sb="0" eb="2">
      <t>シュヨウ</t>
    </rPh>
    <rPh sb="2" eb="4">
      <t>ヨウト</t>
    </rPh>
    <rPh sb="5" eb="8">
      <t>インサツヨウ</t>
    </rPh>
    <rPh sb="10" eb="12">
      <t>ツイカ</t>
    </rPh>
    <phoneticPr fontId="2"/>
  </si>
  <si>
    <t>グット→グッドに修正</t>
    <rPh sb="8" eb="10">
      <t>シュウセイ</t>
    </rPh>
    <phoneticPr fontId="2"/>
  </si>
  <si>
    <t>工作物の報告書、色が取れていなかった。</t>
    <rPh sb="0" eb="3">
      <t>コウサクブツ</t>
    </rPh>
    <rPh sb="4" eb="7">
      <t>ホウコクショ</t>
    </rPh>
    <rPh sb="8" eb="9">
      <t>イロ</t>
    </rPh>
    <rPh sb="10" eb="11">
      <t>ト</t>
    </rPh>
    <phoneticPr fontId="2"/>
  </si>
  <si>
    <t>確認済証交付者に「会長」を追加、理事の判定を理事長に変更</t>
    <rPh sb="0" eb="2">
      <t>カクニン</t>
    </rPh>
    <rPh sb="2" eb="3">
      <t>ズミ</t>
    </rPh>
    <rPh sb="3" eb="4">
      <t>ショウ</t>
    </rPh>
    <rPh sb="4" eb="6">
      <t>コウフ</t>
    </rPh>
    <rPh sb="6" eb="7">
      <t>シャ</t>
    </rPh>
    <rPh sb="9" eb="11">
      <t>カイチョウ</t>
    </rPh>
    <rPh sb="13" eb="15">
      <t>ツイカ</t>
    </rPh>
    <rPh sb="16" eb="18">
      <t>リジ</t>
    </rPh>
    <rPh sb="19" eb="21">
      <t>ハンテイ</t>
    </rPh>
    <rPh sb="22" eb="25">
      <t>リジチョウ</t>
    </rPh>
    <rPh sb="26" eb="28">
      <t>ヘンコウ</t>
    </rPh>
    <phoneticPr fontId="2"/>
  </si>
  <si>
    <t>特定工程、工区分けを結合する時に正しく表示しない場合があるのを修正</t>
    <rPh sb="0" eb="2">
      <t>トクテイ</t>
    </rPh>
    <rPh sb="2" eb="4">
      <t>コウテイ</t>
    </rPh>
    <rPh sb="5" eb="6">
      <t>コウ</t>
    </rPh>
    <rPh sb="6" eb="8">
      <t>クワ</t>
    </rPh>
    <rPh sb="10" eb="12">
      <t>ケツゴウ</t>
    </rPh>
    <rPh sb="14" eb="15">
      <t>トキ</t>
    </rPh>
    <rPh sb="16" eb="17">
      <t>タダ</t>
    </rPh>
    <rPh sb="19" eb="21">
      <t>ヒョウジ</t>
    </rPh>
    <rPh sb="24" eb="26">
      <t>バアイ</t>
    </rPh>
    <rPh sb="31" eb="33">
      <t>シュウセイ</t>
    </rPh>
    <phoneticPr fontId="2"/>
  </si>
  <si>
    <t>消防署名と所長名の間に１行挿入</t>
    <rPh sb="0" eb="3">
      <t>ショウボウショ</t>
    </rPh>
    <rPh sb="3" eb="4">
      <t>メイ</t>
    </rPh>
    <rPh sb="5" eb="7">
      <t>ショチョウ</t>
    </rPh>
    <rPh sb="7" eb="8">
      <t>メイ</t>
    </rPh>
    <rPh sb="9" eb="10">
      <t>アイダ</t>
    </rPh>
    <rPh sb="12" eb="13">
      <t>ギョウ</t>
    </rPh>
    <rPh sb="13" eb="15">
      <t>ソウニュウ</t>
    </rPh>
    <phoneticPr fontId="2"/>
  </si>
  <si>
    <t>建築主のレイアウトを１行で全て表示する新方式から別々の行で表示する従来の方式に変更。</t>
    <rPh sb="0" eb="2">
      <t>ケンチク</t>
    </rPh>
    <rPh sb="2" eb="3">
      <t>ヌシ</t>
    </rPh>
    <rPh sb="11" eb="12">
      <t>ギョウ</t>
    </rPh>
    <rPh sb="13" eb="14">
      <t>スベ</t>
    </rPh>
    <rPh sb="15" eb="17">
      <t>ヒョウジ</t>
    </rPh>
    <rPh sb="19" eb="22">
      <t>シンホウシキ</t>
    </rPh>
    <rPh sb="24" eb="26">
      <t>ベツベツ</t>
    </rPh>
    <rPh sb="27" eb="28">
      <t>ギョウ</t>
    </rPh>
    <rPh sb="29" eb="31">
      <t>ヒョウジ</t>
    </rPh>
    <rPh sb="33" eb="35">
      <t>ジュウライ</t>
    </rPh>
    <rPh sb="36" eb="38">
      <t>ホウシキ</t>
    </rPh>
    <rPh sb="39" eb="41">
      <t>ヘンコウ</t>
    </rPh>
    <phoneticPr fontId="2"/>
  </si>
  <si>
    <t>都市居住の代表者、代表取締役社長 小栁  義雄 （漢字間違い）</t>
    <rPh sb="0" eb="2">
      <t>トシ</t>
    </rPh>
    <rPh sb="2" eb="4">
      <t>キョジュウ</t>
    </rPh>
    <rPh sb="5" eb="8">
      <t>ダイヒョウシャ</t>
    </rPh>
    <rPh sb="25" eb="27">
      <t>カンジ</t>
    </rPh>
    <rPh sb="27" eb="29">
      <t>マチガ</t>
    </rPh>
    <phoneticPr fontId="2"/>
  </si>
  <si>
    <t>中間の請求書の内訳の回数をshinsei_INSPECTION_NOから手入力のshinsei_intermediate_CYU1_KAISUUに変更。</t>
    <rPh sb="0" eb="2">
      <t>チュウカン</t>
    </rPh>
    <rPh sb="3" eb="6">
      <t>セイキュウショ</t>
    </rPh>
    <rPh sb="7" eb="9">
      <t>ウチワケ</t>
    </rPh>
    <rPh sb="10" eb="12">
      <t>カイスウ</t>
    </rPh>
    <rPh sb="36" eb="37">
      <t>テ</t>
    </rPh>
    <rPh sb="37" eb="39">
      <t>ニュウリョク</t>
    </rPh>
    <rPh sb="73" eb="75">
      <t>ヘンコウ</t>
    </rPh>
    <phoneticPr fontId="2"/>
  </si>
  <si>
    <t>済証、報告書の適判通知書番号に第、号を出力しない様に変更。</t>
    <rPh sb="0" eb="1">
      <t>ズミ</t>
    </rPh>
    <rPh sb="1" eb="2">
      <t>ショウ</t>
    </rPh>
    <rPh sb="3" eb="6">
      <t>ホウコクショ</t>
    </rPh>
    <rPh sb="7" eb="9">
      <t>テキハン</t>
    </rPh>
    <rPh sb="9" eb="12">
      <t>ツウチショ</t>
    </rPh>
    <rPh sb="12" eb="14">
      <t>バンゴウ</t>
    </rPh>
    <rPh sb="15" eb="16">
      <t>ダイ</t>
    </rPh>
    <rPh sb="17" eb="18">
      <t>ゴウ</t>
    </rPh>
    <rPh sb="19" eb="21">
      <t>シュツリョク</t>
    </rPh>
    <rPh sb="24" eb="25">
      <t>ヨウ</t>
    </rPh>
    <rPh sb="26" eb="28">
      <t>ヘンコウ</t>
    </rPh>
    <phoneticPr fontId="2"/>
  </si>
  <si>
    <t>ビューロベリタス → ビューローベリタス</t>
    <phoneticPr fontId="2"/>
  </si>
  <si>
    <t>適判機関代表者取得方式を改良。</t>
    <rPh sb="0" eb="2">
      <t>テキハン</t>
    </rPh>
    <rPh sb="2" eb="4">
      <t>キカン</t>
    </rPh>
    <rPh sb="4" eb="7">
      <t>ダイヒョウシャ</t>
    </rPh>
    <rPh sb="7" eb="9">
      <t>シュトク</t>
    </rPh>
    <rPh sb="9" eb="11">
      <t>ホウシキ</t>
    </rPh>
    <rPh sb="12" eb="14">
      <t>カイリョウ</t>
    </rPh>
    <phoneticPr fontId="2"/>
  </si>
  <si>
    <t>・PackShinsei系：_button_kindを変更にともなう修正</t>
    <rPh sb="34" eb="36">
      <t>シュウセイ</t>
    </rPh>
    <phoneticPr fontId="2"/>
  </si>
  <si>
    <t>中間の引受通知書の特定工程のセルがほかの書式と異なり２セル分右から始まっていたので同じにした。</t>
    <rPh sb="0" eb="2">
      <t>チュウカン</t>
    </rPh>
    <rPh sb="3" eb="5">
      <t>ヒキウケ</t>
    </rPh>
    <rPh sb="5" eb="8">
      <t>ツウチショ</t>
    </rPh>
    <rPh sb="9" eb="11">
      <t>トクテイ</t>
    </rPh>
    <rPh sb="11" eb="13">
      <t>コウテイ</t>
    </rPh>
    <rPh sb="20" eb="22">
      <t>ショシキ</t>
    </rPh>
    <rPh sb="23" eb="24">
      <t>コト</t>
    </rPh>
    <rPh sb="29" eb="30">
      <t>ブン</t>
    </rPh>
    <rPh sb="30" eb="31">
      <t>ミギ</t>
    </rPh>
    <rPh sb="33" eb="34">
      <t>ハジ</t>
    </rPh>
    <rPh sb="41" eb="42">
      <t>オナ</t>
    </rPh>
    <phoneticPr fontId="2"/>
  </si>
  <si>
    <t>会長名変更</t>
    <rPh sb="0" eb="2">
      <t>カイチョウ</t>
    </rPh>
    <rPh sb="2" eb="3">
      <t>メイ</t>
    </rPh>
    <rPh sb="3" eb="5">
      <t>ヘンコウ</t>
    </rPh>
    <phoneticPr fontId="2"/>
  </si>
  <si>
    <t>会長名変更、3/1からも高田さんに変更。</t>
    <rPh sb="0" eb="2">
      <t>カイチョウ</t>
    </rPh>
    <rPh sb="2" eb="3">
      <t>メイ</t>
    </rPh>
    <rPh sb="3" eb="5">
      <t>ヘンコウ</t>
    </rPh>
    <rPh sb="12" eb="14">
      <t>タカダ</t>
    </rPh>
    <rPh sb="17" eb="19">
      <t>ヘンコウ</t>
    </rPh>
    <phoneticPr fontId="2"/>
  </si>
  <si>
    <t>3/1-3/14は池田さん</t>
    <rPh sb="9" eb="11">
      <t>イケダ</t>
    </rPh>
    <phoneticPr fontId="2"/>
  </si>
  <si>
    <t>適判、アウェイネットの構造判定部長交代における修正。</t>
    <rPh sb="0" eb="2">
      <t>テキハン</t>
    </rPh>
    <rPh sb="11" eb="13">
      <t>コウゾウ</t>
    </rPh>
    <rPh sb="13" eb="15">
      <t>ハンテイ</t>
    </rPh>
    <rPh sb="15" eb="17">
      <t>ブチョウ</t>
    </rPh>
    <rPh sb="17" eb="19">
      <t>コウタイ</t>
    </rPh>
    <rPh sb="23" eb="25">
      <t>シュウセイ</t>
    </rPh>
    <phoneticPr fontId="2"/>
  </si>
  <si>
    <t>保健所通知（浄化槽）の宛名を特定行政庁⇒登録名、及び無い場合は所轄保健所長  様になるように変更。</t>
    <rPh sb="0" eb="3">
      <t>ホケンジョ</t>
    </rPh>
    <rPh sb="3" eb="5">
      <t>ツウチ</t>
    </rPh>
    <rPh sb="6" eb="9">
      <t>ジョウカソウ</t>
    </rPh>
    <rPh sb="11" eb="13">
      <t>アテナ</t>
    </rPh>
    <rPh sb="14" eb="16">
      <t>トクテイ</t>
    </rPh>
    <rPh sb="16" eb="19">
      <t>ギョウセイチョウ</t>
    </rPh>
    <rPh sb="20" eb="22">
      <t>トウロク</t>
    </rPh>
    <rPh sb="22" eb="23">
      <t>メイ</t>
    </rPh>
    <rPh sb="24" eb="25">
      <t>オヨ</t>
    </rPh>
    <rPh sb="26" eb="27">
      <t>ナ</t>
    </rPh>
    <rPh sb="28" eb="30">
      <t>バアイ</t>
    </rPh>
    <rPh sb="31" eb="33">
      <t>ショカツ</t>
    </rPh>
    <rPh sb="33" eb="36">
      <t>ホケンジョ</t>
    </rPh>
    <rPh sb="36" eb="37">
      <t>チョウ</t>
    </rPh>
    <rPh sb="39" eb="40">
      <t>サマ</t>
    </rPh>
    <rPh sb="46" eb="48">
      <t>ヘンコウ</t>
    </rPh>
    <phoneticPr fontId="2"/>
  </si>
  <si>
    <t>確認済証の文言で「読」がだぶっている問題を修正。</t>
    <rPh sb="0" eb="2">
      <t>カクニン</t>
    </rPh>
    <rPh sb="2" eb="3">
      <t>ズミ</t>
    </rPh>
    <rPh sb="3" eb="4">
      <t>ショウ</t>
    </rPh>
    <rPh sb="5" eb="7">
      <t>モンゴン</t>
    </rPh>
    <rPh sb="9" eb="10">
      <t>ドク</t>
    </rPh>
    <rPh sb="18" eb="20">
      <t>モンダイ</t>
    </rPh>
    <rPh sb="21" eb="23">
      <t>シュウセイ</t>
    </rPh>
    <phoneticPr fontId="2"/>
  </si>
  <si>
    <t>補正等画面を搭載</t>
    <rPh sb="0" eb="3">
      <t>ホセイナド</t>
    </rPh>
    <rPh sb="3" eb="5">
      <t>ガメン</t>
    </rPh>
    <rPh sb="6" eb="8">
      <t>トウサイ</t>
    </rPh>
    <phoneticPr fontId="2"/>
  </si>
  <si>
    <t>NPO静岡県建築技術安心支援センター理事長名の変更</t>
  </si>
  <si>
    <t>補正等画面処理を搭載。</t>
    <rPh sb="0" eb="3">
      <t>ホセイナド</t>
    </rPh>
    <rPh sb="3" eb="5">
      <t>ガメン</t>
    </rPh>
    <rPh sb="5" eb="7">
      <t>ショリ</t>
    </rPh>
    <rPh sb="8" eb="10">
      <t>トウサイ</t>
    </rPh>
    <phoneticPr fontId="2"/>
  </si>
  <si>
    <t>適判機関：愛知県建築住宅センターの理事長変更対応</t>
    <rPh sb="0" eb="1">
      <t>テキ</t>
    </rPh>
    <rPh sb="1" eb="2">
      <t>ハン</t>
    </rPh>
    <rPh sb="2" eb="4">
      <t>キカン</t>
    </rPh>
    <rPh sb="5" eb="8">
      <t>アイチケン</t>
    </rPh>
    <rPh sb="8" eb="10">
      <t>ケンチク</t>
    </rPh>
    <rPh sb="10" eb="12">
      <t>ジュウタク</t>
    </rPh>
    <rPh sb="17" eb="20">
      <t>リジチョウ</t>
    </rPh>
    <rPh sb="20" eb="22">
      <t>ヘンコウ</t>
    </rPh>
    <rPh sb="22" eb="24">
      <t>タイオウ</t>
    </rPh>
    <phoneticPr fontId="2"/>
  </si>
  <si>
    <t>財団法人 さいたま住宅検査センターの理事長が変更</t>
    <rPh sb="18" eb="21">
      <t>リジチョウ</t>
    </rPh>
    <rPh sb="22" eb="24">
      <t>ヘンコウ</t>
    </rPh>
    <phoneticPr fontId="2"/>
  </si>
  <si>
    <t>株式会社 東京建築検査機構の代表者が変更</t>
    <rPh sb="14" eb="17">
      <t>ダイヒョウシャ</t>
    </rPh>
    <rPh sb="18" eb="20">
      <t>ヘンコウ</t>
    </rPh>
    <phoneticPr fontId="2"/>
  </si>
  <si>
    <t>確認済証の延べ面積の書式が数値になっていて右揃えになっていなかったのを修正。</t>
    <rPh sb="0" eb="2">
      <t>カクニン</t>
    </rPh>
    <rPh sb="2" eb="3">
      <t>ズミ</t>
    </rPh>
    <rPh sb="3" eb="4">
      <t>ショウ</t>
    </rPh>
    <rPh sb="5" eb="6">
      <t>ノ</t>
    </rPh>
    <rPh sb="7" eb="9">
      <t>メンセキ</t>
    </rPh>
    <rPh sb="10" eb="12">
      <t>ショシキ</t>
    </rPh>
    <rPh sb="13" eb="15">
      <t>スウチ</t>
    </rPh>
    <rPh sb="21" eb="22">
      <t>ミギ</t>
    </rPh>
    <rPh sb="22" eb="23">
      <t>ソロ</t>
    </rPh>
    <rPh sb="35" eb="37">
      <t>シュウセイ</t>
    </rPh>
    <phoneticPr fontId="2"/>
  </si>
  <si>
    <t>適判機関識別コードが　兵庫県住宅の場合、報告書結果を　適合　それ以外は　適正　に変更</t>
    <rPh sb="0" eb="1">
      <t>テキ</t>
    </rPh>
    <rPh sb="1" eb="2">
      <t>ハン</t>
    </rPh>
    <rPh sb="2" eb="4">
      <t>キカン</t>
    </rPh>
    <rPh sb="4" eb="6">
      <t>シキベツ</t>
    </rPh>
    <rPh sb="11" eb="14">
      <t>ヒョウゴケン</t>
    </rPh>
    <rPh sb="14" eb="16">
      <t>ジュウタク</t>
    </rPh>
    <rPh sb="17" eb="19">
      <t>バアイ</t>
    </rPh>
    <rPh sb="20" eb="22">
      <t>ホウコク</t>
    </rPh>
    <rPh sb="22" eb="23">
      <t>ショ</t>
    </rPh>
    <rPh sb="23" eb="25">
      <t>ケッカ</t>
    </rPh>
    <rPh sb="27" eb="29">
      <t>テキゴウ</t>
    </rPh>
    <rPh sb="32" eb="34">
      <t>イガイ</t>
    </rPh>
    <rPh sb="36" eb="38">
      <t>テキセイ</t>
    </rPh>
    <rPh sb="40" eb="42">
      <t>ヘンコウ</t>
    </rPh>
    <phoneticPr fontId="2"/>
  </si>
  <si>
    <t>領収書を　中間・完了時でも　出力可能へ</t>
    <rPh sb="0" eb="3">
      <t>リョウシュウショ</t>
    </rPh>
    <rPh sb="5" eb="7">
      <t>チュウカン</t>
    </rPh>
    <rPh sb="8" eb="10">
      <t>カンリョウ</t>
    </rPh>
    <rPh sb="10" eb="11">
      <t>ジ</t>
    </rPh>
    <rPh sb="14" eb="16">
      <t>シュツリョク</t>
    </rPh>
    <rPh sb="16" eb="18">
      <t>カノウ</t>
    </rPh>
    <phoneticPr fontId="2"/>
  </si>
  <si>
    <t>領収書　No.削除　及び　日付を　請求発生日へ変更</t>
    <rPh sb="0" eb="3">
      <t>リョウシュウショ</t>
    </rPh>
    <rPh sb="7" eb="9">
      <t>サクジョ</t>
    </rPh>
    <rPh sb="10" eb="11">
      <t>オヨ</t>
    </rPh>
    <rPh sb="13" eb="15">
      <t>ヒヅケ</t>
    </rPh>
    <rPh sb="17" eb="19">
      <t>セイキュウ</t>
    </rPh>
    <rPh sb="19" eb="21">
      <t>ハッセイ</t>
    </rPh>
    <rPh sb="21" eb="22">
      <t>ヒ</t>
    </rPh>
    <rPh sb="23" eb="25">
      <t>ヘンコウ</t>
    </rPh>
    <phoneticPr fontId="2"/>
  </si>
  <si>
    <t>面積、階数表示を　－　から　０　表示へ変更</t>
    <rPh sb="0" eb="2">
      <t>メンセキ</t>
    </rPh>
    <rPh sb="3" eb="5">
      <t>カイスウ</t>
    </rPh>
    <rPh sb="5" eb="7">
      <t>ヒョウジ</t>
    </rPh>
    <rPh sb="16" eb="18">
      <t>ヒョウジ</t>
    </rPh>
    <rPh sb="19" eb="21">
      <t>ヘンコウ</t>
    </rPh>
    <phoneticPr fontId="2"/>
  </si>
  <si>
    <t>領収書　基本手数料が入力されている場合のみ　手数料タイトルを表示</t>
    <rPh sb="0" eb="3">
      <t>リョウシュウショ</t>
    </rPh>
    <rPh sb="4" eb="6">
      <t>キホン</t>
    </rPh>
    <rPh sb="6" eb="9">
      <t>テスウリョウ</t>
    </rPh>
    <rPh sb="10" eb="12">
      <t>ニュウリョク</t>
    </rPh>
    <rPh sb="17" eb="19">
      <t>バアイ</t>
    </rPh>
    <rPh sb="22" eb="25">
      <t>テスウリョウ</t>
    </rPh>
    <rPh sb="30" eb="32">
      <t>ヒョウジ</t>
    </rPh>
    <phoneticPr fontId="2"/>
  </si>
  <si>
    <t>PrintModule搭載</t>
    <rPh sb="11" eb="13">
      <t>トウサイ</t>
    </rPh>
    <phoneticPr fontId="2"/>
  </si>
  <si>
    <t>消防通知・保健所通知　交付時出力に変更</t>
    <rPh sb="0" eb="2">
      <t>ショウボウ</t>
    </rPh>
    <rPh sb="2" eb="4">
      <t>ツウチ</t>
    </rPh>
    <rPh sb="5" eb="7">
      <t>ホケン</t>
    </rPh>
    <rPh sb="7" eb="8">
      <t>ショ</t>
    </rPh>
    <rPh sb="8" eb="10">
      <t>ツウチ</t>
    </rPh>
    <rPh sb="11" eb="13">
      <t>コウフ</t>
    </rPh>
    <rPh sb="13" eb="14">
      <t>ジ</t>
    </rPh>
    <rPh sb="14" eb="16">
      <t>シュツリョク</t>
    </rPh>
    <rPh sb="17" eb="19">
      <t>ヘンコウ</t>
    </rPh>
    <phoneticPr fontId="2"/>
  </si>
  <si>
    <t>領収書形式変更</t>
    <rPh sb="0" eb="3">
      <t>リョウシュウショ</t>
    </rPh>
    <rPh sb="3" eb="5">
      <t>ケイシキ</t>
    </rPh>
    <rPh sb="5" eb="7">
      <t>ヘンコウ</t>
    </rPh>
    <phoneticPr fontId="2"/>
  </si>
  <si>
    <t>中間・完了報告書　上ぞろえに変更</t>
    <rPh sb="0" eb="2">
      <t>チュウカン</t>
    </rPh>
    <rPh sb="3" eb="5">
      <t>カンリョウ</t>
    </rPh>
    <rPh sb="5" eb="8">
      <t>ホウコクショ</t>
    </rPh>
    <rPh sb="9" eb="10">
      <t>ウエ</t>
    </rPh>
    <rPh sb="14" eb="16">
      <t>ヘンコウ</t>
    </rPh>
    <phoneticPr fontId="2"/>
  </si>
  <si>
    <t>中間合格証　備考出力を削除</t>
    <rPh sb="0" eb="2">
      <t>チュウカン</t>
    </rPh>
    <rPh sb="2" eb="4">
      <t>ゴウカク</t>
    </rPh>
    <rPh sb="4" eb="5">
      <t>ショウ</t>
    </rPh>
    <rPh sb="6" eb="8">
      <t>ビコウ</t>
    </rPh>
    <rPh sb="8" eb="10">
      <t>シュツリョク</t>
    </rPh>
    <rPh sb="11" eb="13">
      <t>サクジョ</t>
    </rPh>
    <phoneticPr fontId="2"/>
  </si>
  <si>
    <t>領収書　適判　構造判定が　有時　適判　を表示（手数料１のみ）</t>
    <rPh sb="0" eb="3">
      <t>リョウシュウショ</t>
    </rPh>
    <rPh sb="4" eb="5">
      <t>テキ</t>
    </rPh>
    <rPh sb="5" eb="6">
      <t>ハン</t>
    </rPh>
    <rPh sb="7" eb="9">
      <t>コウゾウ</t>
    </rPh>
    <rPh sb="9" eb="11">
      <t>ハンテイ</t>
    </rPh>
    <rPh sb="13" eb="14">
      <t>アリ</t>
    </rPh>
    <rPh sb="14" eb="15">
      <t>ジ</t>
    </rPh>
    <rPh sb="16" eb="17">
      <t>テキ</t>
    </rPh>
    <rPh sb="17" eb="18">
      <t>ハン</t>
    </rPh>
    <rPh sb="20" eb="22">
      <t>ヒョウジ</t>
    </rPh>
    <rPh sb="23" eb="26">
      <t>テスウリョウ</t>
    </rPh>
    <phoneticPr fontId="2"/>
  </si>
  <si>
    <t>領収書　適判割増手数料を追加（手数料１のみ）</t>
    <rPh sb="0" eb="3">
      <t>リョウシュウショ</t>
    </rPh>
    <rPh sb="4" eb="5">
      <t>テキ</t>
    </rPh>
    <rPh sb="5" eb="6">
      <t>ハン</t>
    </rPh>
    <rPh sb="6" eb="8">
      <t>ワリマシ</t>
    </rPh>
    <rPh sb="8" eb="11">
      <t>テスウリョウ</t>
    </rPh>
    <rPh sb="12" eb="14">
      <t>ツイカ</t>
    </rPh>
    <rPh sb="15" eb="18">
      <t>テスウリョウ</t>
    </rPh>
    <phoneticPr fontId="2"/>
  </si>
  <si>
    <t>領収書　リスト項目　「遠隔地検査料」選択時、市を表示</t>
    <rPh sb="0" eb="3">
      <t>リョウシュウショ</t>
    </rPh>
    <rPh sb="7" eb="9">
      <t>コウモク</t>
    </rPh>
    <rPh sb="11" eb="17">
      <t>エンカクチケンサリョウ</t>
    </rPh>
    <rPh sb="18" eb="20">
      <t>センタク</t>
    </rPh>
    <rPh sb="20" eb="21">
      <t>ジ</t>
    </rPh>
    <rPh sb="22" eb="23">
      <t>シ</t>
    </rPh>
    <rPh sb="24" eb="26">
      <t>ヒョウジ</t>
    </rPh>
    <phoneticPr fontId="2"/>
  </si>
  <si>
    <t>領収書　手数料２・３を追加（適判情報は非搭載。代わりに明細４・５を表示）</t>
    <rPh sb="0" eb="3">
      <t>リョウシュウショ</t>
    </rPh>
    <rPh sb="4" eb="7">
      <t>テスウリョウ</t>
    </rPh>
    <rPh sb="11" eb="13">
      <t>ツイカ</t>
    </rPh>
    <rPh sb="14" eb="15">
      <t>テキ</t>
    </rPh>
    <rPh sb="15" eb="16">
      <t>ハン</t>
    </rPh>
    <rPh sb="16" eb="18">
      <t>ジョウホウ</t>
    </rPh>
    <rPh sb="19" eb="20">
      <t>ヒ</t>
    </rPh>
    <rPh sb="20" eb="22">
      <t>トウサイ</t>
    </rPh>
    <rPh sb="23" eb="24">
      <t>カ</t>
    </rPh>
    <rPh sb="27" eb="29">
      <t>メイサイ</t>
    </rPh>
    <rPh sb="33" eb="35">
      <t>ヒョウジ</t>
    </rPh>
    <phoneticPr fontId="2"/>
  </si>
  <si>
    <t>エラーチェック　領収書No.が未入力時にエラー表示</t>
    <rPh sb="8" eb="11">
      <t>リョウシュウショ</t>
    </rPh>
    <rPh sb="15" eb="19">
      <t>ミニュウリョクジ</t>
    </rPh>
    <rPh sb="23" eb="25">
      <t>ヒョウジ</t>
    </rPh>
    <phoneticPr fontId="2"/>
  </si>
  <si>
    <t>昇降機確認済証　２－７その他　表示フィールドを２行に変更</t>
    <rPh sb="0" eb="3">
      <t>ショウコウキ</t>
    </rPh>
    <rPh sb="3" eb="5">
      <t>カクニン</t>
    </rPh>
    <rPh sb="5" eb="7">
      <t>スミショウ</t>
    </rPh>
    <rPh sb="13" eb="14">
      <t>タ</t>
    </rPh>
    <rPh sb="15" eb="17">
      <t>ヒョウジ</t>
    </rPh>
    <rPh sb="24" eb="25">
      <t>ギョウ</t>
    </rPh>
    <rPh sb="26" eb="28">
      <t>ヘンコウ</t>
    </rPh>
    <phoneticPr fontId="2"/>
  </si>
  <si>
    <t>建築物　報告書　適判名を左寄せで表示</t>
    <rPh sb="0" eb="3">
      <t>ケンチクブツ</t>
    </rPh>
    <rPh sb="4" eb="7">
      <t>ホウコクショ</t>
    </rPh>
    <rPh sb="8" eb="9">
      <t>テキ</t>
    </rPh>
    <rPh sb="9" eb="10">
      <t>ハン</t>
    </rPh>
    <rPh sb="10" eb="11">
      <t>メイ</t>
    </rPh>
    <rPh sb="12" eb="14">
      <t>ヒダリヨ</t>
    </rPh>
    <rPh sb="16" eb="18">
      <t>ヒョウジ</t>
    </rPh>
    <phoneticPr fontId="2"/>
  </si>
  <si>
    <t>検査記録票を追加</t>
    <rPh sb="0" eb="5">
      <t>ケンサキロクヒョウ</t>
    </rPh>
    <rPh sb="6" eb="8">
      <t>ツイカ</t>
    </rPh>
    <phoneticPr fontId="2"/>
  </si>
  <si>
    <t>預り書を追加</t>
    <rPh sb="0" eb="1">
      <t>アズカ</t>
    </rPh>
    <rPh sb="2" eb="3">
      <t>ショ</t>
    </rPh>
    <rPh sb="4" eb="6">
      <t>ツイカ</t>
    </rPh>
    <phoneticPr fontId="2"/>
  </si>
  <si>
    <t>領収書　適判時、項目が表示されなかったのを修正</t>
    <rPh sb="0" eb="3">
      <t>リョウシュウショ</t>
    </rPh>
    <rPh sb="4" eb="5">
      <t>テキ</t>
    </rPh>
    <rPh sb="5" eb="6">
      <t>ハン</t>
    </rPh>
    <rPh sb="6" eb="7">
      <t>ジ</t>
    </rPh>
    <rPh sb="8" eb="10">
      <t>コウモク</t>
    </rPh>
    <rPh sb="11" eb="13">
      <t>ヒョウジ</t>
    </rPh>
    <rPh sb="21" eb="23">
      <t>シュウセイ</t>
    </rPh>
    <phoneticPr fontId="2"/>
  </si>
  <si>
    <t>適判のキーワードが間違っていた問題を修正。</t>
    <rPh sb="0" eb="1">
      <t>テキ</t>
    </rPh>
    <rPh sb="1" eb="2">
      <t>ハン</t>
    </rPh>
    <rPh sb="9" eb="11">
      <t>マチガ</t>
    </rPh>
    <rPh sb="15" eb="17">
      <t>モンダイ</t>
    </rPh>
    <rPh sb="18" eb="20">
      <t>シュウセイ</t>
    </rPh>
    <phoneticPr fontId="2"/>
  </si>
  <si>
    <t>適判名の表示を右寄せに変更</t>
    <rPh sb="0" eb="1">
      <t>テキ</t>
    </rPh>
    <rPh sb="1" eb="2">
      <t>ハン</t>
    </rPh>
    <rPh sb="2" eb="3">
      <t>メイ</t>
    </rPh>
    <rPh sb="4" eb="6">
      <t>ヒョウジ</t>
    </rPh>
    <rPh sb="7" eb="9">
      <t>ミギヨ</t>
    </rPh>
    <rPh sb="11" eb="13">
      <t>ヘンコウ</t>
    </rPh>
    <phoneticPr fontId="2"/>
  </si>
  <si>
    <t>保健通知　和歌山県（和歌山市以外）時、宛名を　○○市長　様　と表示されるように変更</t>
    <rPh sb="0" eb="2">
      <t>ホケン</t>
    </rPh>
    <rPh sb="2" eb="4">
      <t>ツウチ</t>
    </rPh>
    <rPh sb="5" eb="8">
      <t>ワカヤマ</t>
    </rPh>
    <rPh sb="8" eb="9">
      <t>ケン</t>
    </rPh>
    <rPh sb="10" eb="14">
      <t>ワカヤマシ</t>
    </rPh>
    <rPh sb="14" eb="16">
      <t>イガイ</t>
    </rPh>
    <rPh sb="17" eb="18">
      <t>ジ</t>
    </rPh>
    <rPh sb="19" eb="21">
      <t>アテナ</t>
    </rPh>
    <rPh sb="25" eb="27">
      <t>シチョウ</t>
    </rPh>
    <rPh sb="28" eb="29">
      <t>サマ</t>
    </rPh>
    <rPh sb="31" eb="33">
      <t>ヒョウジ</t>
    </rPh>
    <rPh sb="39" eb="41">
      <t>ヘンコウ</t>
    </rPh>
    <phoneticPr fontId="2"/>
  </si>
  <si>
    <t>検査引受証　右肩部分に　（検査予定日）　の文字を追加</t>
    <rPh sb="0" eb="2">
      <t>ケンサ</t>
    </rPh>
    <rPh sb="2" eb="4">
      <t>ヒキウケ</t>
    </rPh>
    <rPh sb="4" eb="5">
      <t>ショウ</t>
    </rPh>
    <rPh sb="6" eb="8">
      <t>ミギカタ</t>
    </rPh>
    <rPh sb="8" eb="10">
      <t>ブブン</t>
    </rPh>
    <rPh sb="21" eb="23">
      <t>モジ</t>
    </rPh>
    <rPh sb="24" eb="26">
      <t>ツイカ</t>
    </rPh>
    <phoneticPr fontId="2"/>
  </si>
  <si>
    <t>検査記録票　建築主名称に　様　が表示されるように変更</t>
    <rPh sb="0" eb="5">
      <t>ケンサキロクヒョウ</t>
    </rPh>
    <rPh sb="6" eb="8">
      <t>ケンチク</t>
    </rPh>
    <rPh sb="8" eb="9">
      <t>ヌシ</t>
    </rPh>
    <rPh sb="9" eb="11">
      <t>メイショウ</t>
    </rPh>
    <rPh sb="13" eb="14">
      <t>サマ</t>
    </rPh>
    <rPh sb="16" eb="18">
      <t>ヒョウジ</t>
    </rPh>
    <rPh sb="24" eb="26">
      <t>ヘンコウ</t>
    </rPh>
    <phoneticPr fontId="2"/>
  </si>
  <si>
    <t>検査報告書関係　複数の建築主が存在する場合、スペースを入れて表示するように変更</t>
    <rPh sb="0" eb="2">
      <t>ケンサ</t>
    </rPh>
    <rPh sb="2" eb="5">
      <t>ホウコクショ</t>
    </rPh>
    <rPh sb="5" eb="7">
      <t>カンケイ</t>
    </rPh>
    <rPh sb="8" eb="10">
      <t>フクスウ</t>
    </rPh>
    <rPh sb="11" eb="13">
      <t>ケンチク</t>
    </rPh>
    <rPh sb="13" eb="14">
      <t>ヌシ</t>
    </rPh>
    <rPh sb="15" eb="17">
      <t>ソンザイ</t>
    </rPh>
    <rPh sb="19" eb="21">
      <t>バアイ</t>
    </rPh>
    <rPh sb="27" eb="28">
      <t>イ</t>
    </rPh>
    <rPh sb="30" eb="32">
      <t>ヒョウジ</t>
    </rPh>
    <rPh sb="37" eb="39">
      <t>ヘンコウ</t>
    </rPh>
    <phoneticPr fontId="2"/>
  </si>
  <si>
    <t>消防同意書式追加</t>
    <rPh sb="0" eb="2">
      <t>ショウボウ</t>
    </rPh>
    <rPh sb="2" eb="4">
      <t>ドウイ</t>
    </rPh>
    <rPh sb="4" eb="6">
      <t>ショシキ</t>
    </rPh>
    <rPh sb="6" eb="8">
      <t>ツイカ</t>
    </rPh>
    <phoneticPr fontId="2"/>
  </si>
  <si>
    <t>検査記録票　番号表記を修正</t>
    <rPh sb="0" eb="2">
      <t>ケンサ</t>
    </rPh>
    <rPh sb="2" eb="4">
      <t>キロク</t>
    </rPh>
    <rPh sb="4" eb="5">
      <t>ヒョウ</t>
    </rPh>
    <rPh sb="6" eb="8">
      <t>バンゴウ</t>
    </rPh>
    <rPh sb="8" eb="10">
      <t>ヒョウキ</t>
    </rPh>
    <rPh sb="11" eb="13">
      <t>シュウセイ</t>
    </rPh>
    <phoneticPr fontId="2"/>
  </si>
  <si>
    <t>手数料　適判時の文言を変更</t>
    <rPh sb="0" eb="3">
      <t>テスウリョウ</t>
    </rPh>
    <rPh sb="4" eb="5">
      <t>テキ</t>
    </rPh>
    <rPh sb="5" eb="6">
      <t>ハン</t>
    </rPh>
    <rPh sb="6" eb="7">
      <t>ジ</t>
    </rPh>
    <rPh sb="8" eb="10">
      <t>モンゴン</t>
    </rPh>
    <rPh sb="11" eb="13">
      <t>ヘンコウ</t>
    </rPh>
    <phoneticPr fontId="2"/>
  </si>
  <si>
    <t>手数料　明細金額を右寄せに変更</t>
    <rPh sb="0" eb="3">
      <t>テスウリョウ</t>
    </rPh>
    <rPh sb="4" eb="6">
      <t>メイサイ</t>
    </rPh>
    <rPh sb="6" eb="8">
      <t>キンガク</t>
    </rPh>
    <rPh sb="9" eb="11">
      <t>ミギヨ</t>
    </rPh>
    <rPh sb="13" eb="15">
      <t>ヘンコウ</t>
    </rPh>
    <phoneticPr fontId="2"/>
  </si>
  <si>
    <t>消防シート名変更</t>
    <rPh sb="0" eb="2">
      <t>ショウボウ</t>
    </rPh>
    <rPh sb="5" eb="6">
      <t>メイ</t>
    </rPh>
    <rPh sb="6" eb="8">
      <t>ヘンコウ</t>
    </rPh>
    <phoneticPr fontId="2"/>
  </si>
  <si>
    <t>中間・完了ﾁｪｯｸｼｰﾄを追加</t>
    <rPh sb="0" eb="2">
      <t>チュウカン</t>
    </rPh>
    <rPh sb="3" eb="5">
      <t>カンリョウ</t>
    </rPh>
    <rPh sb="13" eb="15">
      <t>ツイカ</t>
    </rPh>
    <phoneticPr fontId="2"/>
  </si>
  <si>
    <t>中間報告書に　確認メッセージを追加</t>
    <rPh sb="0" eb="2">
      <t>チュウカン</t>
    </rPh>
    <rPh sb="2" eb="5">
      <t>ホウコクショ</t>
    </rPh>
    <rPh sb="7" eb="9">
      <t>カクニン</t>
    </rPh>
    <rPh sb="15" eb="17">
      <t>ツイカ</t>
    </rPh>
    <phoneticPr fontId="2"/>
  </si>
  <si>
    <t>完了引受通知書に　確認メッセージを追加</t>
    <rPh sb="0" eb="2">
      <t>カンリョウ</t>
    </rPh>
    <rPh sb="2" eb="4">
      <t>ヒキウケ</t>
    </rPh>
    <rPh sb="4" eb="7">
      <t>ツウチショ</t>
    </rPh>
    <rPh sb="9" eb="11">
      <t>カクニン</t>
    </rPh>
    <rPh sb="17" eb="19">
      <t>ツイカ</t>
    </rPh>
    <phoneticPr fontId="2"/>
  </si>
  <si>
    <t>建築物完了検査済証に　確認メッセージを追加</t>
    <rPh sb="0" eb="3">
      <t>ケンチクブツ</t>
    </rPh>
    <rPh sb="3" eb="5">
      <t>カンリョウ</t>
    </rPh>
    <rPh sb="5" eb="7">
      <t>ケンサ</t>
    </rPh>
    <rPh sb="7" eb="9">
      <t>スミショウ</t>
    </rPh>
    <rPh sb="11" eb="13">
      <t>カクニン</t>
    </rPh>
    <rPh sb="19" eb="21">
      <t>ツイカ</t>
    </rPh>
    <phoneticPr fontId="2"/>
  </si>
  <si>
    <t>消防　大阪府以外のシート名を変更、シートの順番を変更</t>
    <rPh sb="0" eb="2">
      <t>ショウボウ</t>
    </rPh>
    <phoneticPr fontId="2"/>
  </si>
  <si>
    <t>検査チェック　文言が間違えていたのを修正、消防照会の条件が　一戸建て以外　になっていなかったのを修正、完了処理時、　消防の照会確認　の条件から　尼崎市を削除</t>
    <rPh sb="0" eb="2">
      <t>ケンサ</t>
    </rPh>
    <phoneticPr fontId="2"/>
  </si>
  <si>
    <t>領収書　下部　入金伝票の金額を　カンマ付に修正</t>
    <rPh sb="0" eb="3">
      <t>リョウシュウショ</t>
    </rPh>
    <rPh sb="4" eb="6">
      <t>カブ</t>
    </rPh>
    <phoneticPr fontId="2"/>
  </si>
  <si>
    <t>消防送付書　及び　消防マスタ追加</t>
    <rPh sb="0" eb="2">
      <t>ショウボウ</t>
    </rPh>
    <rPh sb="2" eb="4">
      <t>ソウフ</t>
    </rPh>
    <rPh sb="4" eb="5">
      <t>ショ</t>
    </rPh>
    <rPh sb="6" eb="7">
      <t>オヨ</t>
    </rPh>
    <rPh sb="9" eb="11">
      <t>ショウボウ</t>
    </rPh>
    <rPh sb="14" eb="16">
      <t>ツイカ</t>
    </rPh>
    <phoneticPr fontId="2"/>
  </si>
  <si>
    <t>検査報告書　特記事項に　メモ欄の内容をリンクするように変更</t>
    <rPh sb="0" eb="2">
      <t>ケンサ</t>
    </rPh>
    <rPh sb="2" eb="5">
      <t>ホウコクショ</t>
    </rPh>
    <rPh sb="6" eb="8">
      <t>トッキ</t>
    </rPh>
    <rPh sb="8" eb="10">
      <t>ジコウ</t>
    </rPh>
    <rPh sb="14" eb="15">
      <t>ラン</t>
    </rPh>
    <rPh sb="16" eb="18">
      <t>ナイヨウ</t>
    </rPh>
    <rPh sb="27" eb="29">
      <t>ヘンコウ</t>
    </rPh>
    <phoneticPr fontId="2"/>
  </si>
  <si>
    <t>適判機関名と、代表者の間にスペースを挿入</t>
    <rPh sb="0" eb="1">
      <t>テキ</t>
    </rPh>
    <rPh sb="1" eb="2">
      <t>ハン</t>
    </rPh>
    <rPh sb="2" eb="4">
      <t>キカン</t>
    </rPh>
    <rPh sb="4" eb="5">
      <t>メイ</t>
    </rPh>
    <rPh sb="7" eb="10">
      <t>ダイヒョウシャ</t>
    </rPh>
    <rPh sb="11" eb="12">
      <t>アイダ</t>
    </rPh>
    <rPh sb="18" eb="20">
      <t>ソウニュウ</t>
    </rPh>
    <phoneticPr fontId="2"/>
  </si>
  <si>
    <t>中間合格証　検査員氏名の表示位置を変更</t>
    <rPh sb="0" eb="2">
      <t>チュウカン</t>
    </rPh>
    <rPh sb="2" eb="4">
      <t>ゴウカク</t>
    </rPh>
    <rPh sb="4" eb="5">
      <t>ショウ</t>
    </rPh>
    <rPh sb="6" eb="9">
      <t>ケンサイン</t>
    </rPh>
    <rPh sb="9" eb="11">
      <t>シメイ</t>
    </rPh>
    <rPh sb="12" eb="14">
      <t>ヒョウジ</t>
    </rPh>
    <rPh sb="14" eb="16">
      <t>イチ</t>
    </rPh>
    <rPh sb="17" eb="19">
      <t>ヘンコウ</t>
    </rPh>
    <phoneticPr fontId="2"/>
  </si>
  <si>
    <t>取引区分が入力されていない場合、チェックシートにエラー表示</t>
    <rPh sb="0" eb="4">
      <t>トリヒキクブン</t>
    </rPh>
    <rPh sb="5" eb="7">
      <t>ニュウリョク</t>
    </rPh>
    <rPh sb="13" eb="15">
      <t>バアイ</t>
    </rPh>
    <rPh sb="27" eb="29">
      <t>ヒョウジ</t>
    </rPh>
    <phoneticPr fontId="2"/>
  </si>
  <si>
    <t>完了引受書　エラーメッセージが　正常に出ていなかったのを修正</t>
    <rPh sb="0" eb="2">
      <t>カンリョウ</t>
    </rPh>
    <rPh sb="2" eb="4">
      <t>ヒキウケ</t>
    </rPh>
    <rPh sb="4" eb="5">
      <t>ショ</t>
    </rPh>
    <rPh sb="16" eb="18">
      <t>セイジョウ</t>
    </rPh>
    <rPh sb="19" eb="20">
      <t>デ</t>
    </rPh>
    <rPh sb="28" eb="30">
      <t>シュウセイ</t>
    </rPh>
    <phoneticPr fontId="2"/>
  </si>
  <si>
    <t>中間・完了エラーシートに　検査日と交付日のチェックを追加</t>
    <rPh sb="0" eb="2">
      <t>チュウカン</t>
    </rPh>
    <rPh sb="3" eb="5">
      <t>カンリョウ</t>
    </rPh>
    <rPh sb="13" eb="15">
      <t>ケンサ</t>
    </rPh>
    <rPh sb="15" eb="16">
      <t>ビ</t>
    </rPh>
    <rPh sb="17" eb="20">
      <t>コウフビ</t>
    </rPh>
    <rPh sb="26" eb="28">
      <t>ツイカ</t>
    </rPh>
    <phoneticPr fontId="2"/>
  </si>
  <si>
    <t>消防通知の2.受付日　リンク先を引受日から受付日へ変更</t>
    <rPh sb="0" eb="2">
      <t>ショウボウ</t>
    </rPh>
    <rPh sb="2" eb="4">
      <t>ツウチ</t>
    </rPh>
    <rPh sb="7" eb="10">
      <t>ウケツケビ</t>
    </rPh>
    <rPh sb="14" eb="15">
      <t>サキ</t>
    </rPh>
    <rPh sb="16" eb="18">
      <t>ヒキウケ</t>
    </rPh>
    <rPh sb="18" eb="19">
      <t>ビ</t>
    </rPh>
    <rPh sb="21" eb="24">
      <t>ウケツケビ</t>
    </rPh>
    <rPh sb="25" eb="27">
      <t>ヘンコウ</t>
    </rPh>
    <phoneticPr fontId="2"/>
  </si>
  <si>
    <t>中間・完了検査済証及び報告書　棟、階　表示を　2012/2/13以前は非表示　以後は　表示</t>
    <rPh sb="0" eb="2">
      <t>チュウカン</t>
    </rPh>
    <rPh sb="3" eb="5">
      <t>カンリョウ</t>
    </rPh>
    <rPh sb="5" eb="7">
      <t>ケンサ</t>
    </rPh>
    <rPh sb="7" eb="9">
      <t>スミショウ</t>
    </rPh>
    <rPh sb="9" eb="10">
      <t>オヨ</t>
    </rPh>
    <rPh sb="11" eb="14">
      <t>ホウコクショ</t>
    </rPh>
    <rPh sb="15" eb="16">
      <t>トウ</t>
    </rPh>
    <rPh sb="17" eb="18">
      <t>カイ</t>
    </rPh>
    <rPh sb="19" eb="21">
      <t>ヒョウジ</t>
    </rPh>
    <rPh sb="32" eb="34">
      <t>イゼン</t>
    </rPh>
    <rPh sb="35" eb="38">
      <t>ヒヒョウジ</t>
    </rPh>
    <rPh sb="39" eb="41">
      <t>イゴ</t>
    </rPh>
    <rPh sb="43" eb="45">
      <t>ヒョウジ</t>
    </rPh>
    <phoneticPr fontId="2"/>
  </si>
  <si>
    <t>中間・完了エラーシートに　検査日と交付日が同日の場合にエラーが表示されていた問題を修正</t>
    <rPh sb="21" eb="23">
      <t>ドウジツ</t>
    </rPh>
    <rPh sb="24" eb="26">
      <t>バアイ</t>
    </rPh>
    <rPh sb="31" eb="33">
      <t>ヒョウジ</t>
    </rPh>
    <rPh sb="38" eb="40">
      <t>モンダイ</t>
    </rPh>
    <rPh sb="41" eb="43">
      <t>シュウセイ</t>
    </rPh>
    <phoneticPr fontId="2"/>
  </si>
  <si>
    <t>行政経由番号未入力エラー表示をﾁｪｯｸｼｰﾄのみに変更</t>
    <rPh sb="0" eb="2">
      <t>ギョウセイ</t>
    </rPh>
    <rPh sb="2" eb="4">
      <t>ケイユ</t>
    </rPh>
    <rPh sb="4" eb="6">
      <t>バンゴウ</t>
    </rPh>
    <rPh sb="6" eb="9">
      <t>ミニュウリョク</t>
    </rPh>
    <rPh sb="12" eb="14">
      <t>ヒョウジ</t>
    </rPh>
    <rPh sb="25" eb="27">
      <t>ヘンコウ</t>
    </rPh>
    <phoneticPr fontId="2"/>
  </si>
  <si>
    <t>昇降機・工作物　確認ﾁｪｯｸｼｰﾄを追加</t>
    <rPh sb="0" eb="3">
      <t>ショウコウキ</t>
    </rPh>
    <rPh sb="4" eb="7">
      <t>コウサクブツ</t>
    </rPh>
    <rPh sb="8" eb="10">
      <t>カクニン</t>
    </rPh>
    <rPh sb="18" eb="20">
      <t>ツイカ</t>
    </rPh>
    <phoneticPr fontId="2"/>
  </si>
  <si>
    <t>申請種別が未入力時にエラー表示</t>
    <rPh sb="0" eb="2">
      <t>シンセイ</t>
    </rPh>
    <rPh sb="2" eb="4">
      <t>シュベツ</t>
    </rPh>
    <rPh sb="5" eb="9">
      <t>ミニュウリョクジ</t>
    </rPh>
    <rPh sb="13" eb="15">
      <t>ヒョウジ</t>
    </rPh>
    <phoneticPr fontId="2"/>
  </si>
  <si>
    <t>エラーチェック　工作物　建築物との関連付けエラー表示を削除</t>
    <rPh sb="8" eb="11">
      <t>コウサクブツ</t>
    </rPh>
    <rPh sb="12" eb="15">
      <t>ケンチクブツ</t>
    </rPh>
    <rPh sb="17" eb="20">
      <t>カンレンヅ</t>
    </rPh>
    <rPh sb="24" eb="26">
      <t>ヒョウジ</t>
    </rPh>
    <rPh sb="27" eb="29">
      <t>サクジョ</t>
    </rPh>
    <phoneticPr fontId="2"/>
  </si>
  <si>
    <t>2012/4/1以降の受付日で三田市消防本部の場合、５．（５）その他に　住宅用火災警報器設置　を表示</t>
    <rPh sb="8" eb="10">
      <t>イコウ</t>
    </rPh>
    <rPh sb="11" eb="14">
      <t>ウケツケビ</t>
    </rPh>
    <phoneticPr fontId="2"/>
  </si>
  <si>
    <t>検査記録票　検査年月日のリンクを　検査予定日から検査日へ変更</t>
    <rPh sb="0" eb="2">
      <t>ケンサ</t>
    </rPh>
    <rPh sb="2" eb="4">
      <t>キロク</t>
    </rPh>
    <rPh sb="4" eb="5">
      <t>ヒョウ</t>
    </rPh>
    <rPh sb="6" eb="8">
      <t>ケンサ</t>
    </rPh>
    <rPh sb="8" eb="11">
      <t>ネンガッピ</t>
    </rPh>
    <rPh sb="17" eb="19">
      <t>ケンサ</t>
    </rPh>
    <rPh sb="19" eb="22">
      <t>ヨテイビ</t>
    </rPh>
    <rPh sb="24" eb="26">
      <t>ケンサ</t>
    </rPh>
    <rPh sb="26" eb="27">
      <t>ビ</t>
    </rPh>
    <rPh sb="28" eb="30">
      <t>ヘンコウ</t>
    </rPh>
    <phoneticPr fontId="2"/>
  </si>
  <si>
    <t>確認エラーチェック　済証番号、検査員が入力されていない場合は　エラー表示</t>
    <rPh sb="0" eb="2">
      <t>カクニン</t>
    </rPh>
    <rPh sb="10" eb="12">
      <t>スミショウ</t>
    </rPh>
    <rPh sb="12" eb="14">
      <t>バンゴウ</t>
    </rPh>
    <rPh sb="15" eb="18">
      <t>ケンサイン</t>
    </rPh>
    <rPh sb="19" eb="21">
      <t>ニュウリョク</t>
    </rPh>
    <rPh sb="27" eb="29">
      <t>バアイ</t>
    </rPh>
    <rPh sb="34" eb="36">
      <t>ヒョウジ</t>
    </rPh>
    <phoneticPr fontId="2"/>
  </si>
  <si>
    <t>検査エラーチェック　法６条区分が入力されていない場合は　エラー表示</t>
    <rPh sb="0" eb="2">
      <t>ケンサ</t>
    </rPh>
    <rPh sb="10" eb="11">
      <t>ホウ</t>
    </rPh>
    <rPh sb="12" eb="13">
      <t>ジョウ</t>
    </rPh>
    <rPh sb="13" eb="15">
      <t>クブン</t>
    </rPh>
    <rPh sb="16" eb="18">
      <t>ニュウリョク</t>
    </rPh>
    <rPh sb="24" eb="26">
      <t>バアイ</t>
    </rPh>
    <rPh sb="31" eb="33">
      <t>ヒョウジ</t>
    </rPh>
    <phoneticPr fontId="2"/>
  </si>
  <si>
    <t>消防関係を修正　送付書　確認番号を受付番号へ変更</t>
    <rPh sb="0" eb="2">
      <t>ショウボウ</t>
    </rPh>
    <rPh sb="2" eb="4">
      <t>カンケイ</t>
    </rPh>
    <rPh sb="5" eb="7">
      <t>シュウセイ</t>
    </rPh>
    <rPh sb="8" eb="10">
      <t>ソウフ</t>
    </rPh>
    <rPh sb="10" eb="11">
      <t>ショ</t>
    </rPh>
    <rPh sb="12" eb="14">
      <t>カクニン</t>
    </rPh>
    <rPh sb="14" eb="16">
      <t>バンゴウ</t>
    </rPh>
    <rPh sb="17" eb="19">
      <t>ウケツケ</t>
    </rPh>
    <rPh sb="19" eb="21">
      <t>バンゴウ</t>
    </rPh>
    <rPh sb="22" eb="24">
      <t>ヘンコウ</t>
    </rPh>
    <phoneticPr fontId="2"/>
  </si>
  <si>
    <t>預書を修正</t>
    <rPh sb="0" eb="1">
      <t>アズ</t>
    </rPh>
    <rPh sb="1" eb="2">
      <t>ショ</t>
    </rPh>
    <rPh sb="3" eb="5">
      <t>シュウセイ</t>
    </rPh>
    <phoneticPr fontId="2"/>
  </si>
  <si>
    <t>消防マスタを修正</t>
    <rPh sb="0" eb="2">
      <t>ショウボウ</t>
    </rPh>
    <rPh sb="6" eb="8">
      <t>シュウセイ</t>
    </rPh>
    <phoneticPr fontId="2"/>
  </si>
  <si>
    <t>送付書（３）に返信先の消防署電話番号及びFAX番号を表示</t>
    <rPh sb="0" eb="2">
      <t>ソウフ</t>
    </rPh>
    <rPh sb="2" eb="3">
      <t>ショ</t>
    </rPh>
    <rPh sb="7" eb="9">
      <t>ヘンシン</t>
    </rPh>
    <rPh sb="9" eb="10">
      <t>サキ</t>
    </rPh>
    <rPh sb="11" eb="13">
      <t>ショウボウ</t>
    </rPh>
    <rPh sb="13" eb="14">
      <t>ショ</t>
    </rPh>
    <rPh sb="14" eb="16">
      <t>デンワ</t>
    </rPh>
    <rPh sb="16" eb="18">
      <t>バンゴウ</t>
    </rPh>
    <rPh sb="18" eb="19">
      <t>オヨ</t>
    </rPh>
    <rPh sb="23" eb="25">
      <t>バンゴウ</t>
    </rPh>
    <rPh sb="26" eb="28">
      <t>ヒョウジ</t>
    </rPh>
    <phoneticPr fontId="2"/>
  </si>
  <si>
    <t>送付書に　当社控え　を追加</t>
    <rPh sb="0" eb="2">
      <t>ソウフ</t>
    </rPh>
    <rPh sb="2" eb="3">
      <t>ショ</t>
    </rPh>
    <rPh sb="5" eb="7">
      <t>トウシャ</t>
    </rPh>
    <rPh sb="7" eb="8">
      <t>ヒカ</t>
    </rPh>
    <rPh sb="11" eb="13">
      <t>ツイカ</t>
    </rPh>
    <phoneticPr fontId="2"/>
  </si>
  <si>
    <t>同意等、消防宛先を消防署名+宛名へ変更</t>
    <rPh sb="0" eb="2">
      <t>ドウイ</t>
    </rPh>
    <rPh sb="2" eb="3">
      <t>トウ</t>
    </rPh>
    <rPh sb="4" eb="6">
      <t>ショウボウ</t>
    </rPh>
    <rPh sb="6" eb="8">
      <t>アテサキ</t>
    </rPh>
    <rPh sb="9" eb="12">
      <t>ショウボウショ</t>
    </rPh>
    <rPh sb="12" eb="13">
      <t>メイ</t>
    </rPh>
    <rPh sb="14" eb="16">
      <t>アテナ</t>
    </rPh>
    <rPh sb="17" eb="19">
      <t>ヘンコウ</t>
    </rPh>
    <phoneticPr fontId="2"/>
  </si>
  <si>
    <t>建築物エラーチェックに　適判物件では無い時、適判情報が入力されている場合にエラー表示</t>
    <rPh sb="0" eb="3">
      <t>ケンチクブツ</t>
    </rPh>
    <rPh sb="12" eb="13">
      <t>テキ</t>
    </rPh>
    <rPh sb="13" eb="14">
      <t>ハン</t>
    </rPh>
    <rPh sb="14" eb="16">
      <t>ブッケン</t>
    </rPh>
    <rPh sb="18" eb="19">
      <t>ナ</t>
    </rPh>
    <rPh sb="20" eb="21">
      <t>トキ</t>
    </rPh>
    <rPh sb="22" eb="23">
      <t>テキ</t>
    </rPh>
    <rPh sb="23" eb="24">
      <t>ハン</t>
    </rPh>
    <rPh sb="24" eb="26">
      <t>ジョウホウ</t>
    </rPh>
    <rPh sb="27" eb="29">
      <t>ニュウリョク</t>
    </rPh>
    <rPh sb="34" eb="36">
      <t>バアイ</t>
    </rPh>
    <rPh sb="40" eb="42">
      <t>ヒョウジ</t>
    </rPh>
    <phoneticPr fontId="2"/>
  </si>
  <si>
    <t>消防　送付書　宛名のセルの大きさを変更</t>
    <rPh sb="0" eb="2">
      <t>ショウボウ</t>
    </rPh>
    <rPh sb="3" eb="5">
      <t>ソウフ</t>
    </rPh>
    <rPh sb="5" eb="6">
      <t>ショ</t>
    </rPh>
    <rPh sb="7" eb="9">
      <t>アテナ</t>
    </rPh>
    <rPh sb="13" eb="14">
      <t>オオ</t>
    </rPh>
    <rPh sb="17" eb="19">
      <t>ヘンコウ</t>
    </rPh>
    <phoneticPr fontId="2"/>
  </si>
  <si>
    <t>消防　受付日を　引受日から受付日に修正</t>
    <rPh sb="0" eb="2">
      <t>ショウボウ</t>
    </rPh>
    <rPh sb="3" eb="6">
      <t>ウケツケビ</t>
    </rPh>
    <rPh sb="8" eb="10">
      <t>ヒキウケ</t>
    </rPh>
    <rPh sb="10" eb="11">
      <t>ビ</t>
    </rPh>
    <rPh sb="13" eb="16">
      <t>ウケツケビ</t>
    </rPh>
    <rPh sb="17" eb="19">
      <t>シュウセイ</t>
    </rPh>
    <phoneticPr fontId="2"/>
  </si>
  <si>
    <t>工作物　審査報告書　大阪市物件のみ　上部に受付日を表示</t>
    <phoneticPr fontId="2"/>
  </si>
  <si>
    <t>消防台帳シート名変更</t>
    <rPh sb="0" eb="2">
      <t>ショウボウ</t>
    </rPh>
    <rPh sb="2" eb="4">
      <t>ダイチョウ</t>
    </rPh>
    <rPh sb="7" eb="8">
      <t>メイ</t>
    </rPh>
    <rPh sb="8" eb="10">
      <t>ヘンコウ</t>
    </rPh>
    <phoneticPr fontId="2"/>
  </si>
  <si>
    <t>消防送付書　当社控えの下部に　消防シート用リンクを設定</t>
    <rPh sb="0" eb="2">
      <t>ショウボウ</t>
    </rPh>
    <rPh sb="2" eb="4">
      <t>ソウフ</t>
    </rPh>
    <rPh sb="4" eb="5">
      <t>ショ</t>
    </rPh>
    <rPh sb="6" eb="8">
      <t>トウシャ</t>
    </rPh>
    <rPh sb="8" eb="9">
      <t>ヒカ</t>
    </rPh>
    <rPh sb="11" eb="13">
      <t>カブ</t>
    </rPh>
    <rPh sb="15" eb="17">
      <t>ショウボウ</t>
    </rPh>
    <rPh sb="20" eb="21">
      <t>ヨウ</t>
    </rPh>
    <rPh sb="25" eb="27">
      <t>セッテイ</t>
    </rPh>
    <phoneticPr fontId="2"/>
  </si>
  <si>
    <t>領収書備考　物件名部分　縮小して表示に変更</t>
    <rPh sb="0" eb="3">
      <t>リョウシュウショ</t>
    </rPh>
    <rPh sb="3" eb="5">
      <t>ビコウ</t>
    </rPh>
    <rPh sb="6" eb="8">
      <t>ブッケン</t>
    </rPh>
    <rPh sb="8" eb="9">
      <t>メイ</t>
    </rPh>
    <rPh sb="9" eb="11">
      <t>ブブン</t>
    </rPh>
    <rPh sb="12" eb="14">
      <t>シュクショウ</t>
    </rPh>
    <rPh sb="16" eb="18">
      <t>ヒョウジ</t>
    </rPh>
    <rPh sb="19" eb="21">
      <t>ヘンコウ</t>
    </rPh>
    <phoneticPr fontId="2"/>
  </si>
  <si>
    <t>消防：受付画面備考が入力されていた場合は、消防署名のところに受付備考文言を表示</t>
    <rPh sb="0" eb="2">
      <t>ショウボウ</t>
    </rPh>
    <rPh sb="3" eb="5">
      <t>ウケツケ</t>
    </rPh>
    <rPh sb="5" eb="7">
      <t>ガメン</t>
    </rPh>
    <rPh sb="7" eb="9">
      <t>ビコウ</t>
    </rPh>
    <rPh sb="10" eb="12">
      <t>ニュウリョク</t>
    </rPh>
    <rPh sb="17" eb="19">
      <t>バアイ</t>
    </rPh>
    <rPh sb="21" eb="24">
      <t>ショウボウショ</t>
    </rPh>
    <rPh sb="24" eb="25">
      <t>メイ</t>
    </rPh>
    <rPh sb="30" eb="32">
      <t>ウケツケ</t>
    </rPh>
    <rPh sb="32" eb="34">
      <t>ビコウ</t>
    </rPh>
    <rPh sb="34" eb="36">
      <t>モンゴン</t>
    </rPh>
    <rPh sb="37" eb="39">
      <t>ヒョウジ</t>
    </rPh>
    <phoneticPr fontId="2"/>
  </si>
  <si>
    <t>大阪市_豊中同意依頼書　正本及び副本の件数部分リンク漏れを修正</t>
    <rPh sb="0" eb="3">
      <t>オオサカシ</t>
    </rPh>
    <rPh sb="4" eb="6">
      <t>トヨナカ</t>
    </rPh>
    <rPh sb="6" eb="8">
      <t>ドウイ</t>
    </rPh>
    <rPh sb="8" eb="11">
      <t>イライショ</t>
    </rPh>
    <rPh sb="12" eb="14">
      <t>セイホン</t>
    </rPh>
    <rPh sb="14" eb="15">
      <t>オヨ</t>
    </rPh>
    <rPh sb="16" eb="18">
      <t>フクホン</t>
    </rPh>
    <rPh sb="19" eb="21">
      <t>ケンスウ</t>
    </rPh>
    <rPh sb="21" eb="23">
      <t>ブブン</t>
    </rPh>
    <rPh sb="26" eb="27">
      <t>モ</t>
    </rPh>
    <rPh sb="29" eb="31">
      <t>シュウセイ</t>
    </rPh>
    <phoneticPr fontId="2"/>
  </si>
  <si>
    <t>消防　書類送付シートを消防マスタの手前に移動</t>
    <rPh sb="0" eb="2">
      <t>ショウボウ</t>
    </rPh>
    <rPh sb="3" eb="5">
      <t>ショルイ</t>
    </rPh>
    <rPh sb="5" eb="7">
      <t>ソウフ</t>
    </rPh>
    <rPh sb="11" eb="13">
      <t>ショウボウ</t>
    </rPh>
    <rPh sb="17" eb="19">
      <t>テマエ</t>
    </rPh>
    <rPh sb="20" eb="22">
      <t>イドウ</t>
    </rPh>
    <phoneticPr fontId="2"/>
  </si>
  <si>
    <t>建築物確認済証、審査報告書　適判受付番号が入力されており、適判通知書番号が入力されていない場合</t>
    <rPh sb="0" eb="3">
      <t>ケンチクブツ</t>
    </rPh>
    <rPh sb="3" eb="5">
      <t>カクニン</t>
    </rPh>
    <rPh sb="5" eb="6">
      <t>ズミ</t>
    </rPh>
    <rPh sb="6" eb="7">
      <t>ショウ</t>
    </rPh>
    <rPh sb="8" eb="10">
      <t>シンサ</t>
    </rPh>
    <rPh sb="10" eb="13">
      <t>ホウコクショ</t>
    </rPh>
    <rPh sb="14" eb="15">
      <t>テキ</t>
    </rPh>
    <rPh sb="15" eb="16">
      <t>ハン</t>
    </rPh>
    <rPh sb="16" eb="18">
      <t>ウケツケ</t>
    </rPh>
    <rPh sb="18" eb="20">
      <t>バンゴウ</t>
    </rPh>
    <rPh sb="21" eb="23">
      <t>ニュウリョク</t>
    </rPh>
    <rPh sb="29" eb="30">
      <t>テキ</t>
    </rPh>
    <rPh sb="30" eb="31">
      <t>ハン</t>
    </rPh>
    <rPh sb="31" eb="34">
      <t>ツウチショ</t>
    </rPh>
    <rPh sb="34" eb="36">
      <t>バンゴウ</t>
    </rPh>
    <rPh sb="37" eb="39">
      <t>ニュウリョク</t>
    </rPh>
    <rPh sb="45" eb="47">
      <t>バアイ</t>
    </rPh>
    <phoneticPr fontId="2"/>
  </si>
  <si>
    <t>適判受付番号が表示されていたのを修正</t>
    <rPh sb="0" eb="1">
      <t>テキ</t>
    </rPh>
    <rPh sb="1" eb="2">
      <t>ハン</t>
    </rPh>
    <rPh sb="2" eb="4">
      <t>ウケツケ</t>
    </rPh>
    <rPh sb="4" eb="6">
      <t>バンゴウ</t>
    </rPh>
    <rPh sb="7" eb="9">
      <t>ヒョウジ</t>
    </rPh>
    <rPh sb="16" eb="18">
      <t>シュウセイ</t>
    </rPh>
    <phoneticPr fontId="2"/>
  </si>
  <si>
    <t>消防　書類送付シートを領収書の後ろへ移動</t>
    <rPh sb="11" eb="14">
      <t>リョウシュウショ</t>
    </rPh>
    <rPh sb="15" eb="16">
      <t>ウシ</t>
    </rPh>
    <rPh sb="18" eb="20">
      <t>イドウ</t>
    </rPh>
    <phoneticPr fontId="2"/>
  </si>
  <si>
    <t>消防　送付書　消防FAX番号のリンク先が間違っていたのを修正</t>
    <rPh sb="3" eb="5">
      <t>ソウフ</t>
    </rPh>
    <rPh sb="5" eb="6">
      <t>ショ</t>
    </rPh>
    <rPh sb="7" eb="9">
      <t>ショウボウ</t>
    </rPh>
    <rPh sb="12" eb="14">
      <t>バンゴウ</t>
    </rPh>
    <rPh sb="18" eb="19">
      <t>サキ</t>
    </rPh>
    <rPh sb="20" eb="22">
      <t>マチガ</t>
    </rPh>
    <rPh sb="28" eb="30">
      <t>シュウセイ</t>
    </rPh>
    <phoneticPr fontId="2"/>
  </si>
  <si>
    <t>消防送付書（３）に建築主　２～９を追加</t>
    <rPh sb="0" eb="2">
      <t>ショウボウ</t>
    </rPh>
    <rPh sb="2" eb="4">
      <t>ソウフ</t>
    </rPh>
    <rPh sb="4" eb="5">
      <t>ショ</t>
    </rPh>
    <rPh sb="9" eb="11">
      <t>ケンチク</t>
    </rPh>
    <rPh sb="11" eb="12">
      <t>ヌシ</t>
    </rPh>
    <rPh sb="17" eb="19">
      <t>ツイカ</t>
    </rPh>
    <phoneticPr fontId="2"/>
  </si>
  <si>
    <t>適判機関：防災センター、日総試の会社タイプ変更対応</t>
    <rPh sb="0" eb="1">
      <t>テキ</t>
    </rPh>
    <rPh sb="1" eb="2">
      <t>ハン</t>
    </rPh>
    <rPh sb="2" eb="4">
      <t>キカン</t>
    </rPh>
    <rPh sb="5" eb="7">
      <t>ボウサイ</t>
    </rPh>
    <rPh sb="12" eb="13">
      <t>ニッ</t>
    </rPh>
    <rPh sb="13" eb="14">
      <t>ソウ</t>
    </rPh>
    <rPh sb="14" eb="15">
      <t>シ</t>
    </rPh>
    <rPh sb="16" eb="18">
      <t>カイシャ</t>
    </rPh>
    <rPh sb="21" eb="23">
      <t>ヘンコウ</t>
    </rPh>
    <rPh sb="23" eb="25">
      <t>タイオウ</t>
    </rPh>
    <phoneticPr fontId="2"/>
  </si>
  <si>
    <t>消防マスタ変更</t>
    <rPh sb="0" eb="2">
      <t>ショウボウ</t>
    </rPh>
    <rPh sb="5" eb="7">
      <t>ヘンコウ</t>
    </rPh>
    <phoneticPr fontId="2"/>
  </si>
  <si>
    <t>適判が　GBRC時、番号から　第　を取る</t>
    <rPh sb="0" eb="1">
      <t>テキ</t>
    </rPh>
    <rPh sb="1" eb="2">
      <t>ハン</t>
    </rPh>
    <rPh sb="8" eb="9">
      <t>ジ</t>
    </rPh>
    <rPh sb="10" eb="12">
      <t>バンゴウ</t>
    </rPh>
    <rPh sb="15" eb="16">
      <t>ダイ</t>
    </rPh>
    <rPh sb="18" eb="19">
      <t>ト</t>
    </rPh>
    <phoneticPr fontId="2"/>
  </si>
  <si>
    <t>元確認が適判物件時、入力チェックに表示</t>
    <rPh sb="0" eb="1">
      <t>モト</t>
    </rPh>
    <rPh sb="1" eb="3">
      <t>カクニン</t>
    </rPh>
    <rPh sb="4" eb="5">
      <t>テキ</t>
    </rPh>
    <rPh sb="5" eb="6">
      <t>ハン</t>
    </rPh>
    <rPh sb="6" eb="8">
      <t>ブッケン</t>
    </rPh>
    <rPh sb="8" eb="9">
      <t>ジ</t>
    </rPh>
    <rPh sb="10" eb="12">
      <t>ニュウリョク</t>
    </rPh>
    <rPh sb="17" eb="19">
      <t>ヒョウジ</t>
    </rPh>
    <phoneticPr fontId="2"/>
  </si>
  <si>
    <t>消防マスタ　香芝　電話番号を変更</t>
    <rPh sb="0" eb="2">
      <t>ショウボウ</t>
    </rPh>
    <rPh sb="6" eb="8">
      <t>カシバ</t>
    </rPh>
    <rPh sb="9" eb="11">
      <t>デンワ</t>
    </rPh>
    <rPh sb="11" eb="13">
      <t>バンゴウ</t>
    </rPh>
    <rPh sb="14" eb="16">
      <t>ヘンコウ</t>
    </rPh>
    <phoneticPr fontId="2"/>
  </si>
  <si>
    <t>適判番号　第　及び　号　を削除</t>
    <rPh sb="0" eb="1">
      <t>テキ</t>
    </rPh>
    <rPh sb="1" eb="2">
      <t>ハン</t>
    </rPh>
    <rPh sb="2" eb="4">
      <t>バンゴウ</t>
    </rPh>
    <rPh sb="5" eb="6">
      <t>ダイ</t>
    </rPh>
    <rPh sb="7" eb="8">
      <t>オヨ</t>
    </rPh>
    <rPh sb="10" eb="11">
      <t>ゴウ</t>
    </rPh>
    <rPh sb="13" eb="15">
      <t>サクジョ</t>
    </rPh>
    <phoneticPr fontId="2"/>
  </si>
  <si>
    <t>消防通知　東大阪・枚方市の場合のみ　消防署名+消防署長に変更</t>
    <rPh sb="0" eb="2">
      <t>ショウボウ</t>
    </rPh>
    <rPh sb="2" eb="4">
      <t>ツウチ</t>
    </rPh>
    <rPh sb="5" eb="8">
      <t>ヒガシオオサカ</t>
    </rPh>
    <rPh sb="9" eb="11">
      <t>ヒラカタ</t>
    </rPh>
    <rPh sb="11" eb="12">
      <t>シ</t>
    </rPh>
    <rPh sb="13" eb="15">
      <t>バアイ</t>
    </rPh>
    <rPh sb="18" eb="21">
      <t>ショウボウショ</t>
    </rPh>
    <rPh sb="21" eb="22">
      <t>メイ</t>
    </rPh>
    <rPh sb="23" eb="26">
      <t>ショウボウショ</t>
    </rPh>
    <rPh sb="26" eb="27">
      <t>チョウ</t>
    </rPh>
    <rPh sb="28" eb="30">
      <t>ヘンコウ</t>
    </rPh>
    <phoneticPr fontId="2"/>
  </si>
  <si>
    <t>消防送付書　建築主が複数の場合　警告表示</t>
    <rPh sb="0" eb="2">
      <t>ショウボウ</t>
    </rPh>
    <rPh sb="2" eb="4">
      <t>ソウフ</t>
    </rPh>
    <rPh sb="4" eb="5">
      <t>ショ</t>
    </rPh>
    <rPh sb="6" eb="8">
      <t>ケンチク</t>
    </rPh>
    <rPh sb="8" eb="9">
      <t>ヌシ</t>
    </rPh>
    <rPh sb="10" eb="12">
      <t>フクスウ</t>
    </rPh>
    <rPh sb="13" eb="15">
      <t>バアイ</t>
    </rPh>
    <rPh sb="16" eb="18">
      <t>ケイコク</t>
    </rPh>
    <rPh sb="18" eb="20">
      <t>ヒョウジ</t>
    </rPh>
    <phoneticPr fontId="2"/>
  </si>
  <si>
    <t>消防通知（昇降機）　東大阪・枚方市の場合のみ　消防署名+消防署長に変更</t>
    <rPh sb="5" eb="8">
      <t>ショウコウキ</t>
    </rPh>
    <phoneticPr fontId="2"/>
  </si>
  <si>
    <t>消防マスタ　御坊市　副本を　1　に設定</t>
    <rPh sb="6" eb="9">
      <t>ゴボウシ</t>
    </rPh>
    <rPh sb="10" eb="12">
      <t>フクホン</t>
    </rPh>
    <rPh sb="17" eb="19">
      <t>セッテイ</t>
    </rPh>
    <phoneticPr fontId="2"/>
  </si>
  <si>
    <t>消防送付書　手数料未入力の場合　警告表示</t>
    <rPh sb="0" eb="2">
      <t>ショウボウ</t>
    </rPh>
    <rPh sb="2" eb="4">
      <t>ソウフ</t>
    </rPh>
    <rPh sb="4" eb="5">
      <t>ショ</t>
    </rPh>
    <rPh sb="6" eb="9">
      <t>テスウリョウ</t>
    </rPh>
    <rPh sb="9" eb="12">
      <t>ミニュウリョク</t>
    </rPh>
    <rPh sb="13" eb="15">
      <t>バアイ</t>
    </rPh>
    <rPh sb="16" eb="18">
      <t>ケイコク</t>
    </rPh>
    <rPh sb="18" eb="20">
      <t>ヒョウジ</t>
    </rPh>
    <phoneticPr fontId="2"/>
  </si>
  <si>
    <t>消防担当者変更、同意書に建築主２～９を追加</t>
    <rPh sb="0" eb="2">
      <t>ショウボウ</t>
    </rPh>
    <rPh sb="2" eb="4">
      <t>タントウ</t>
    </rPh>
    <rPh sb="4" eb="5">
      <t>シャ</t>
    </rPh>
    <rPh sb="5" eb="7">
      <t>ヘンコウ</t>
    </rPh>
    <rPh sb="8" eb="11">
      <t>ドウイショ</t>
    </rPh>
    <rPh sb="12" eb="14">
      <t>ケンチク</t>
    </rPh>
    <rPh sb="14" eb="15">
      <t>ヌシ</t>
    </rPh>
    <rPh sb="19" eb="21">
      <t>ツイカ</t>
    </rPh>
    <phoneticPr fontId="2"/>
  </si>
  <si>
    <t>消防署リスト　消防署名変更</t>
    <rPh sb="0" eb="3">
      <t>ショウボウショ</t>
    </rPh>
    <rPh sb="7" eb="10">
      <t>ショウボウショ</t>
    </rPh>
    <rPh sb="10" eb="11">
      <t>メイ</t>
    </rPh>
    <rPh sb="11" eb="13">
      <t>ヘンコウ</t>
    </rPh>
    <phoneticPr fontId="2"/>
  </si>
  <si>
    <t>消防署リストに　西脇消防署　を追加</t>
    <rPh sb="0" eb="3">
      <t>ショウボウショ</t>
    </rPh>
    <rPh sb="15" eb="17">
      <t>ツイカ</t>
    </rPh>
    <phoneticPr fontId="2"/>
  </si>
  <si>
    <t>保険通知　建築主一括表示へ変更</t>
    <rPh sb="0" eb="2">
      <t>ホケン</t>
    </rPh>
    <rPh sb="2" eb="4">
      <t>ツウチ</t>
    </rPh>
    <rPh sb="5" eb="7">
      <t>ケンチク</t>
    </rPh>
    <rPh sb="7" eb="8">
      <t>ヌシ</t>
    </rPh>
    <rPh sb="8" eb="10">
      <t>イッカツ</t>
    </rPh>
    <rPh sb="10" eb="12">
      <t>ヒョウジ</t>
    </rPh>
    <rPh sb="13" eb="15">
      <t>ヘンコウ</t>
    </rPh>
    <phoneticPr fontId="2"/>
  </si>
  <si>
    <t>神戸市消防局　電話、FAX番号を変更</t>
    <rPh sb="7" eb="9">
      <t>デンワ</t>
    </rPh>
    <rPh sb="13" eb="15">
      <t>バンゴウ</t>
    </rPh>
    <rPh sb="16" eb="18">
      <t>ヘンコウ</t>
    </rPh>
    <phoneticPr fontId="2"/>
  </si>
  <si>
    <t>入力チェック　計変時、元確認が適判物件である旨の表示を削除</t>
    <rPh sb="0" eb="2">
      <t>ニュウリョク</t>
    </rPh>
    <rPh sb="7" eb="8">
      <t>ケイ</t>
    </rPh>
    <rPh sb="8" eb="9">
      <t>ヘン</t>
    </rPh>
    <rPh sb="9" eb="10">
      <t>ジ</t>
    </rPh>
    <rPh sb="11" eb="12">
      <t>モト</t>
    </rPh>
    <rPh sb="12" eb="14">
      <t>カクニン</t>
    </rPh>
    <rPh sb="15" eb="16">
      <t>テキ</t>
    </rPh>
    <rPh sb="16" eb="17">
      <t>ハン</t>
    </rPh>
    <rPh sb="17" eb="19">
      <t>ブッケン</t>
    </rPh>
    <rPh sb="22" eb="23">
      <t>ムネ</t>
    </rPh>
    <rPh sb="24" eb="26">
      <t>ヒョウジ</t>
    </rPh>
    <rPh sb="27" eb="29">
      <t>サクジョ</t>
    </rPh>
    <phoneticPr fontId="2"/>
  </si>
  <si>
    <t>第二面　人情報追加</t>
    <rPh sb="0" eb="1">
      <t>ダイ</t>
    </rPh>
    <rPh sb="1" eb="3">
      <t>ニメン</t>
    </rPh>
    <rPh sb="4" eb="5">
      <t>ヒト</t>
    </rPh>
    <rPh sb="5" eb="7">
      <t>ジョウホウ</t>
    </rPh>
    <rPh sb="7" eb="9">
      <t>ツイカ</t>
    </rPh>
    <phoneticPr fontId="2"/>
  </si>
  <si>
    <t>建築主　会社名、役職、氏名表示方法を変更</t>
    <rPh sb="0" eb="2">
      <t>ケンチク</t>
    </rPh>
    <rPh sb="2" eb="3">
      <t>ヌシ</t>
    </rPh>
    <rPh sb="4" eb="7">
      <t>カイシャメイ</t>
    </rPh>
    <rPh sb="8" eb="10">
      <t>ヤクショク</t>
    </rPh>
    <rPh sb="11" eb="13">
      <t>シメイ</t>
    </rPh>
    <rPh sb="13" eb="15">
      <t>ヒョウジ</t>
    </rPh>
    <rPh sb="15" eb="17">
      <t>ホウホウ</t>
    </rPh>
    <rPh sb="18" eb="20">
      <t>ヘンコウ</t>
    </rPh>
    <phoneticPr fontId="2"/>
  </si>
  <si>
    <t>計画変更時　チェックシートに　行政経由番号の確認　を表示</t>
    <rPh sb="0" eb="2">
      <t>ケイカク</t>
    </rPh>
    <rPh sb="2" eb="4">
      <t>ヘンコウ</t>
    </rPh>
    <rPh sb="4" eb="5">
      <t>ジ</t>
    </rPh>
    <rPh sb="15" eb="17">
      <t>ギョウセイ</t>
    </rPh>
    <rPh sb="17" eb="19">
      <t>ケイユ</t>
    </rPh>
    <rPh sb="19" eb="21">
      <t>バンゴウ</t>
    </rPh>
    <rPh sb="22" eb="24">
      <t>カクニン</t>
    </rPh>
    <rPh sb="26" eb="28">
      <t>ヒョウジ</t>
    </rPh>
    <phoneticPr fontId="2"/>
  </si>
  <si>
    <t>第二面　建築士Noチェックを追加</t>
    <rPh sb="0" eb="1">
      <t>ダイ</t>
    </rPh>
    <rPh sb="1" eb="3">
      <t>ニメン</t>
    </rPh>
    <rPh sb="4" eb="7">
      <t>ケンチクシ</t>
    </rPh>
    <rPh sb="14" eb="16">
      <t>ツイカ</t>
    </rPh>
    <phoneticPr fontId="2"/>
  </si>
  <si>
    <t>二級建築士チェックを追加</t>
    <rPh sb="0" eb="2">
      <t>ニキュウ</t>
    </rPh>
    <rPh sb="2" eb="5">
      <t>ケンチクシ</t>
    </rPh>
    <rPh sb="10" eb="12">
      <t>ツイカ</t>
    </rPh>
    <phoneticPr fontId="2"/>
  </si>
  <si>
    <t>消防宛名　リンク先変更</t>
    <rPh sb="0" eb="2">
      <t>ショウボウ</t>
    </rPh>
    <rPh sb="2" eb="4">
      <t>アテナ</t>
    </rPh>
    <rPh sb="8" eb="9">
      <t>サキ</t>
    </rPh>
    <rPh sb="9" eb="11">
      <t>ヘンコウ</t>
    </rPh>
    <phoneticPr fontId="2"/>
  </si>
  <si>
    <t>行政経由番号対象市町村物件で計画変更時にチェックを表示</t>
    <rPh sb="0" eb="2">
      <t>ギョウセイ</t>
    </rPh>
    <rPh sb="2" eb="4">
      <t>ケイユ</t>
    </rPh>
    <rPh sb="4" eb="6">
      <t>バンゴウ</t>
    </rPh>
    <rPh sb="6" eb="8">
      <t>タイショウ</t>
    </rPh>
    <rPh sb="8" eb="11">
      <t>シチョウソン</t>
    </rPh>
    <rPh sb="11" eb="13">
      <t>ブッケン</t>
    </rPh>
    <rPh sb="14" eb="16">
      <t>ケイカク</t>
    </rPh>
    <rPh sb="16" eb="18">
      <t>ヘンコウ</t>
    </rPh>
    <rPh sb="18" eb="19">
      <t>ジ</t>
    </rPh>
    <rPh sb="25" eb="27">
      <t>ヒョウジ</t>
    </rPh>
    <phoneticPr fontId="2"/>
  </si>
  <si>
    <t>二級建築士チェック　条件を変更</t>
    <rPh sb="0" eb="2">
      <t>ニキュウ</t>
    </rPh>
    <rPh sb="2" eb="5">
      <t>ケンチクシ</t>
    </rPh>
    <rPh sb="10" eb="12">
      <t>ジョウケン</t>
    </rPh>
    <rPh sb="13" eb="15">
      <t>ヘンコウ</t>
    </rPh>
    <phoneticPr fontId="2"/>
  </si>
  <si>
    <t>受付日のリンクを引受日へ変更</t>
    <rPh sb="0" eb="3">
      <t>ウケツケビ</t>
    </rPh>
    <rPh sb="8" eb="10">
      <t>ヒキウケ</t>
    </rPh>
    <rPh sb="10" eb="11">
      <t>ビ</t>
    </rPh>
    <rPh sb="12" eb="14">
      <t>ヘンコウ</t>
    </rPh>
    <phoneticPr fontId="2"/>
  </si>
  <si>
    <t>建築物チェックシートに第四面5の入力チェックを追加</t>
    <rPh sb="0" eb="3">
      <t>ケンチクブツ</t>
    </rPh>
    <rPh sb="11" eb="12">
      <t>ダイ</t>
    </rPh>
    <rPh sb="12" eb="14">
      <t>ヨンメン</t>
    </rPh>
    <rPh sb="16" eb="18">
      <t>ニュウリョク</t>
    </rPh>
    <rPh sb="23" eb="25">
      <t>ツイカ</t>
    </rPh>
    <phoneticPr fontId="2"/>
  </si>
  <si>
    <t>仙台用に帳票を修正</t>
    <rPh sb="0" eb="2">
      <t>センダイ</t>
    </rPh>
    <rPh sb="2" eb="3">
      <t>ヨウ</t>
    </rPh>
    <rPh sb="4" eb="6">
      <t>チョウヒョウ</t>
    </rPh>
    <rPh sb="7" eb="9">
      <t>シュウセイ</t>
    </rPh>
    <phoneticPr fontId="2"/>
  </si>
  <si>
    <t>要望の帳票を追加</t>
    <rPh sb="0" eb="2">
      <t>ヨウボウ</t>
    </rPh>
    <rPh sb="3" eb="5">
      <t>チョウヒョウ</t>
    </rPh>
    <rPh sb="6" eb="8">
      <t>ツイカ</t>
    </rPh>
    <phoneticPr fontId="2"/>
  </si>
  <si>
    <t>"建ぺい"の表記を"建蔽"に変更</t>
    <phoneticPr fontId="2"/>
  </si>
  <si>
    <t>出力条件設定。独自帳票修正。</t>
    <rPh sb="0" eb="2">
      <t>シュツリョク</t>
    </rPh>
    <rPh sb="2" eb="4">
      <t>ジョウケン</t>
    </rPh>
    <rPh sb="4" eb="6">
      <t>セッテイ</t>
    </rPh>
    <rPh sb="7" eb="9">
      <t>ドクジ</t>
    </rPh>
    <rPh sb="9" eb="11">
      <t>チョウヒョウ</t>
    </rPh>
    <rPh sb="11" eb="13">
      <t>シュウセイ</t>
    </rPh>
    <phoneticPr fontId="2"/>
  </si>
  <si>
    <t>各種帳票　修正願い通りに修正</t>
    <rPh sb="0" eb="2">
      <t>カクシュ</t>
    </rPh>
    <rPh sb="2" eb="4">
      <t>チョウヒョウ</t>
    </rPh>
    <rPh sb="5" eb="7">
      <t>シュウセイ</t>
    </rPh>
    <rPh sb="7" eb="8">
      <t>ネガ</t>
    </rPh>
    <rPh sb="9" eb="10">
      <t>ドオ</t>
    </rPh>
    <rPh sb="12" eb="14">
      <t>シュウセイ</t>
    </rPh>
    <phoneticPr fontId="2"/>
  </si>
  <si>
    <t>修正依頼に基づき　帳票を修正</t>
    <rPh sb="0" eb="2">
      <t>シュウセイ</t>
    </rPh>
    <rPh sb="2" eb="4">
      <t>イライ</t>
    </rPh>
    <rPh sb="5" eb="6">
      <t>モト</t>
    </rPh>
    <rPh sb="9" eb="11">
      <t>チョウヒョウ</t>
    </rPh>
    <rPh sb="12" eb="14">
      <t>シュウセイ</t>
    </rPh>
    <phoneticPr fontId="2"/>
  </si>
  <si>
    <t>確認結果報告書シートを追加</t>
    <rPh sb="11" eb="13">
      <t>ツイカ</t>
    </rPh>
    <phoneticPr fontId="2"/>
  </si>
  <si>
    <t>中間及び完了の済証、報告書文言レイアウト修正</t>
    <rPh sb="0" eb="2">
      <t>チュウカン</t>
    </rPh>
    <rPh sb="2" eb="3">
      <t>オヨ</t>
    </rPh>
    <rPh sb="4" eb="6">
      <t>カンリョウ</t>
    </rPh>
    <rPh sb="7" eb="9">
      <t>スミショウ</t>
    </rPh>
    <rPh sb="10" eb="13">
      <t>ホウコクショ</t>
    </rPh>
    <rPh sb="13" eb="15">
      <t>モンゴン</t>
    </rPh>
    <rPh sb="20" eb="22">
      <t>シュウセイ</t>
    </rPh>
    <phoneticPr fontId="2"/>
  </si>
  <si>
    <t>請求書のリンク先を手数料詳細内へ変更</t>
    <rPh sb="0" eb="3">
      <t>セイキュウショ</t>
    </rPh>
    <rPh sb="7" eb="8">
      <t>サキ</t>
    </rPh>
    <rPh sb="9" eb="12">
      <t>テスウリョウ</t>
    </rPh>
    <rPh sb="12" eb="14">
      <t>ショウサイ</t>
    </rPh>
    <rPh sb="14" eb="15">
      <t>ナイ</t>
    </rPh>
    <rPh sb="16" eb="18">
      <t>ヘンコウ</t>
    </rPh>
    <phoneticPr fontId="2"/>
  </si>
  <si>
    <t>事務処理カード　F35のリンクを削除。消防同意　担当者リンク先を　引受処理担当者へ変更</t>
    <rPh sb="0" eb="2">
      <t>ジム</t>
    </rPh>
    <rPh sb="2" eb="4">
      <t>ショリ</t>
    </rPh>
    <rPh sb="16" eb="18">
      <t>サクジョ</t>
    </rPh>
    <rPh sb="19" eb="21">
      <t>ショウボウ</t>
    </rPh>
    <rPh sb="21" eb="23">
      <t>ドウイ</t>
    </rPh>
    <rPh sb="24" eb="27">
      <t>タントウシャ</t>
    </rPh>
    <rPh sb="30" eb="31">
      <t>サキ</t>
    </rPh>
    <rPh sb="33" eb="35">
      <t>ヒキウケ</t>
    </rPh>
    <rPh sb="35" eb="37">
      <t>ショリ</t>
    </rPh>
    <rPh sb="37" eb="40">
      <t>タントウシャ</t>
    </rPh>
    <rPh sb="41" eb="43">
      <t>ヘンコウ</t>
    </rPh>
    <phoneticPr fontId="2"/>
  </si>
  <si>
    <t>請求書シートの、金額の\を外す処理を実行・手数料の文言を計画変更用に変更</t>
    <rPh sb="0" eb="3">
      <t>セイキュウショ</t>
    </rPh>
    <rPh sb="8" eb="10">
      <t>キンガク</t>
    </rPh>
    <rPh sb="13" eb="14">
      <t>ハズ</t>
    </rPh>
    <rPh sb="15" eb="17">
      <t>ショリ</t>
    </rPh>
    <rPh sb="18" eb="20">
      <t>ジッコウ</t>
    </rPh>
    <rPh sb="21" eb="24">
      <t>テスウリョウ</t>
    </rPh>
    <rPh sb="25" eb="27">
      <t>モンゴン</t>
    </rPh>
    <rPh sb="28" eb="30">
      <t>ケイカク</t>
    </rPh>
    <rPh sb="30" eb="32">
      <t>ヘンコウ</t>
    </rPh>
    <rPh sb="32" eb="33">
      <t>ヨウ</t>
    </rPh>
    <rPh sb="34" eb="36">
      <t>ヘンコウ</t>
    </rPh>
    <phoneticPr fontId="2"/>
  </si>
  <si>
    <t>完了検査報告書の、工事種別の文字切れを修正</t>
    <rPh sb="0" eb="2">
      <t>カンリョウ</t>
    </rPh>
    <rPh sb="2" eb="4">
      <t>ケンサ</t>
    </rPh>
    <rPh sb="4" eb="6">
      <t>ホウコク</t>
    </rPh>
    <rPh sb="6" eb="7">
      <t>ショ</t>
    </rPh>
    <rPh sb="9" eb="11">
      <t>コウジ</t>
    </rPh>
    <rPh sb="11" eb="13">
      <t>シュベツ</t>
    </rPh>
    <rPh sb="14" eb="16">
      <t>モジ</t>
    </rPh>
    <rPh sb="16" eb="17">
      <t>ギ</t>
    </rPh>
    <rPh sb="19" eb="21">
      <t>シュウセイ</t>
    </rPh>
    <phoneticPr fontId="2"/>
  </si>
  <si>
    <t>消防通知_昇シートを追加</t>
    <rPh sb="0" eb="2">
      <t>ショウボウ</t>
    </rPh>
    <rPh sb="2" eb="4">
      <t>ツウチ</t>
    </rPh>
    <rPh sb="5" eb="6">
      <t>ノボル</t>
    </rPh>
    <rPh sb="10" eb="12">
      <t>ツイカ</t>
    </rPh>
    <phoneticPr fontId="2"/>
  </si>
  <si>
    <t>請求書の宛先を、3space対応</t>
    <rPh sb="0" eb="3">
      <t>セイキュウショ</t>
    </rPh>
    <rPh sb="4" eb="6">
      <t>アテサキ</t>
    </rPh>
    <rPh sb="14" eb="16">
      <t>タイオウ</t>
    </rPh>
    <phoneticPr fontId="2"/>
  </si>
  <si>
    <t>全シート縮小表示等チェック</t>
    <rPh sb="0" eb="1">
      <t>ゼン</t>
    </rPh>
    <rPh sb="4" eb="6">
      <t>シュクショウ</t>
    </rPh>
    <rPh sb="6" eb="8">
      <t>ヒョウジ</t>
    </rPh>
    <rPh sb="8" eb="9">
      <t>ナド</t>
    </rPh>
    <phoneticPr fontId="2"/>
  </si>
  <si>
    <t>引受承諾書、請求書等の帳票をサンプルに沿って作成</t>
    <rPh sb="0" eb="2">
      <t>ヒキウケ</t>
    </rPh>
    <rPh sb="2" eb="5">
      <t>ショウダクショ</t>
    </rPh>
    <rPh sb="6" eb="9">
      <t>セイキュウショ</t>
    </rPh>
    <rPh sb="9" eb="10">
      <t>ナド</t>
    </rPh>
    <rPh sb="11" eb="13">
      <t>チョウヒョウ</t>
    </rPh>
    <rPh sb="19" eb="20">
      <t>ソ</t>
    </rPh>
    <rPh sb="22" eb="24">
      <t>サクセイ</t>
    </rPh>
    <phoneticPr fontId="2"/>
  </si>
  <si>
    <t>建築主の特別表記を追加</t>
    <rPh sb="0" eb="2">
      <t>ケンチク</t>
    </rPh>
    <rPh sb="2" eb="3">
      <t>ヌシ</t>
    </rPh>
    <rPh sb="4" eb="6">
      <t>トクベツ</t>
    </rPh>
    <rPh sb="6" eb="8">
      <t>ヒョウキ</t>
    </rPh>
    <rPh sb="9" eb="11">
      <t>ツイカ</t>
    </rPh>
    <phoneticPr fontId="2"/>
  </si>
  <si>
    <t>東京支店用とそれ以外の建築主の表記の式を追加</t>
    <rPh sb="0" eb="2">
      <t>トウキョウ</t>
    </rPh>
    <rPh sb="2" eb="4">
      <t>シテン</t>
    </rPh>
    <rPh sb="4" eb="5">
      <t>ヨウ</t>
    </rPh>
    <rPh sb="8" eb="10">
      <t>イガイ</t>
    </rPh>
    <rPh sb="11" eb="13">
      <t>ケンチク</t>
    </rPh>
    <rPh sb="13" eb="14">
      <t>ヌシ</t>
    </rPh>
    <rPh sb="15" eb="17">
      <t>ヒョウキ</t>
    </rPh>
    <rPh sb="18" eb="19">
      <t>シキ</t>
    </rPh>
    <rPh sb="20" eb="22">
      <t>ツイカ</t>
    </rPh>
    <phoneticPr fontId="2"/>
  </si>
  <si>
    <t>東京支店限定の帳票の為に、式を追加</t>
    <rPh sb="0" eb="2">
      <t>トウキョウ</t>
    </rPh>
    <rPh sb="2" eb="4">
      <t>シテン</t>
    </rPh>
    <rPh sb="4" eb="6">
      <t>ゲンテイ</t>
    </rPh>
    <rPh sb="7" eb="9">
      <t>チョウヒョウ</t>
    </rPh>
    <rPh sb="10" eb="11">
      <t>タメ</t>
    </rPh>
    <rPh sb="13" eb="14">
      <t>シキ</t>
    </rPh>
    <rPh sb="15" eb="17">
      <t>ツイカ</t>
    </rPh>
    <phoneticPr fontId="2"/>
  </si>
  <si>
    <t>共通処理 データ関数処理シート（機関専用処理）</t>
    <rPh sb="0" eb="2">
      <t>キョウツウ</t>
    </rPh>
    <rPh sb="2" eb="4">
      <t>ショリ</t>
    </rPh>
    <rPh sb="8" eb="10">
      <t>カンスウ</t>
    </rPh>
    <rPh sb="10" eb="12">
      <t>ショリ</t>
    </rPh>
    <rPh sb="16" eb="18">
      <t>キカン</t>
    </rPh>
    <rPh sb="18" eb="20">
      <t>センヨウ</t>
    </rPh>
    <rPh sb="20" eb="22">
      <t>ショリ</t>
    </rPh>
    <phoneticPr fontId="2"/>
  </si>
  <si>
    <t>項目名</t>
    <rPh sb="0" eb="2">
      <t>コウモク</t>
    </rPh>
    <rPh sb="2" eb="3">
      <t>メイ</t>
    </rPh>
    <phoneticPr fontId="2"/>
  </si>
  <si>
    <t>セル名</t>
    <rPh sb="2" eb="3">
      <t>メイ</t>
    </rPh>
    <phoneticPr fontId="2"/>
  </si>
  <si>
    <t>データ</t>
    <phoneticPr fontId="2"/>
  </si>
  <si>
    <t>Customセル名</t>
    <rPh sb="8" eb="9">
      <t>メイ</t>
    </rPh>
    <phoneticPr fontId="2"/>
  </si>
  <si>
    <t>Customデータ</t>
    <phoneticPr fontId="2"/>
  </si>
  <si>
    <t>備考</t>
    <rPh sb="0" eb="2">
      <t>ビコウ</t>
    </rPh>
    <phoneticPr fontId="2"/>
  </si>
  <si>
    <t>■ 確認検査機関</t>
    <rPh sb="2" eb="4">
      <t>カクニン</t>
    </rPh>
    <rPh sb="4" eb="6">
      <t>ケンサ</t>
    </rPh>
    <rPh sb="6" eb="8">
      <t>キカン</t>
    </rPh>
    <phoneticPr fontId="2"/>
  </si>
  <si>
    <t>【 組織情報 】</t>
    <rPh sb="2" eb="4">
      <t>ソシキ</t>
    </rPh>
    <rPh sb="4" eb="6">
      <t>ジョウホウ</t>
    </rPh>
    <phoneticPr fontId="2"/>
  </si>
  <si>
    <t>会社（帳票上部の署名部分）</t>
    <rPh sb="3" eb="5">
      <t>チョウヒョウ</t>
    </rPh>
    <rPh sb="5" eb="7">
      <t>ジョウブ</t>
    </rPh>
    <rPh sb="8" eb="10">
      <t>ショメイ</t>
    </rPh>
    <rPh sb="10" eb="12">
      <t>ブブン</t>
    </rPh>
    <phoneticPr fontId="2"/>
  </si>
  <si>
    <t>dOFFICE_name シートで履歴管理</t>
    <rPh sb="17" eb="19">
      <t>リレキ</t>
    </rPh>
    <rPh sb="19" eb="21">
      <t>カンリ</t>
    </rPh>
    <phoneticPr fontId="2"/>
  </si>
  <si>
    <t>法人種別</t>
    <rPh sb="0" eb="2">
      <t>ホウジン</t>
    </rPh>
    <rPh sb="2" eb="4">
      <t>シュベツ</t>
    </rPh>
    <phoneticPr fontId="2"/>
  </si>
  <si>
    <t>会社名</t>
    <rPh sb="0" eb="3">
      <t>カイシャメイ</t>
    </rPh>
    <phoneticPr fontId="2"/>
  </si>
  <si>
    <t>代表者</t>
    <rPh sb="0" eb="2">
      <t>ダイヒョウ</t>
    </rPh>
    <rPh sb="2" eb="3">
      <t>シャ</t>
    </rPh>
    <phoneticPr fontId="2"/>
  </si>
  <si>
    <t>住所</t>
    <rPh sb="0" eb="2">
      <t>ジュウショ</t>
    </rPh>
    <phoneticPr fontId="2"/>
  </si>
  <si>
    <t>cst_config_PRESENTER_ADDRESS</t>
    <phoneticPr fontId="2"/>
  </si>
  <si>
    <t>txt</t>
    <phoneticPr fontId="2"/>
  </si>
  <si>
    <t>電話番号</t>
    <rPh sb="0" eb="2">
      <t>デンワ</t>
    </rPh>
    <rPh sb="2" eb="4">
      <t>バンゴウ</t>
    </rPh>
    <phoneticPr fontId="2"/>
  </si>
  <si>
    <t>銀行情報</t>
    <rPh sb="0" eb="2">
      <t>ギンコウ</t>
    </rPh>
    <rPh sb="2" eb="4">
      <t>ジョウホウ</t>
    </rPh>
    <phoneticPr fontId="2"/>
  </si>
  <si>
    <t>銀行名</t>
    <rPh sb="0" eb="3">
      <t>ギンコウメイ</t>
    </rPh>
    <phoneticPr fontId="2"/>
  </si>
  <si>
    <t>支店名</t>
    <rPh sb="0" eb="3">
      <t>シテンメイ</t>
    </rPh>
    <phoneticPr fontId="2"/>
  </si>
  <si>
    <t>口座種類</t>
    <rPh sb="0" eb="2">
      <t>コウザ</t>
    </rPh>
    <rPh sb="2" eb="4">
      <t>シュルイ</t>
    </rPh>
    <phoneticPr fontId="2"/>
  </si>
  <si>
    <t>口座番号</t>
    <rPh sb="0" eb="2">
      <t>コウザ</t>
    </rPh>
    <rPh sb="2" eb="4">
      <t>バンゴウ</t>
    </rPh>
    <phoneticPr fontId="2"/>
  </si>
  <si>
    <t>機関モード</t>
    <rPh sb="0" eb="2">
      <t>キカン</t>
    </rPh>
    <phoneticPr fontId="2"/>
  </si>
  <si>
    <t>機関管理コード</t>
    <rPh sb="0" eb="2">
      <t>キカン</t>
    </rPh>
    <rPh sb="2" eb="4">
      <t>カンリ</t>
    </rPh>
    <phoneticPr fontId="2"/>
  </si>
  <si>
    <t>【 受付店情報 】</t>
    <rPh sb="2" eb="4">
      <t>ウケツケ</t>
    </rPh>
    <rPh sb="4" eb="5">
      <t>テン</t>
    </rPh>
    <rPh sb="5" eb="7">
      <t>ジョウホウ</t>
    </rPh>
    <phoneticPr fontId="2"/>
  </si>
  <si>
    <t>受付店（本店・支店）</t>
    <rPh sb="0" eb="2">
      <t>ウケツケ</t>
    </rPh>
    <rPh sb="2" eb="3">
      <t>テン</t>
    </rPh>
    <rPh sb="4" eb="6">
      <t>ホンテン</t>
    </rPh>
    <rPh sb="7" eb="9">
      <t>シテン</t>
    </rPh>
    <phoneticPr fontId="2"/>
  </si>
  <si>
    <t>会社名</t>
    <phoneticPr fontId="2"/>
  </si>
  <si>
    <t>郵便番号</t>
    <phoneticPr fontId="2"/>
  </si>
  <si>
    <t>住所２</t>
    <rPh sb="0" eb="2">
      <t>ジュウショ</t>
    </rPh>
    <phoneticPr fontId="2"/>
  </si>
  <si>
    <t>住所１と住所２を連結させて表示。</t>
    <rPh sb="0" eb="2">
      <t>ジュウショ</t>
    </rPh>
    <rPh sb="4" eb="6">
      <t>ジュウショ</t>
    </rPh>
    <rPh sb="8" eb="10">
      <t>レンケツ</t>
    </rPh>
    <rPh sb="13" eb="15">
      <t>ヒョウジ</t>
    </rPh>
    <phoneticPr fontId="2"/>
  </si>
  <si>
    <t>電話番号</t>
    <phoneticPr fontId="2"/>
  </si>
  <si>
    <t>ＦＡＸ番号</t>
    <phoneticPr fontId="2"/>
  </si>
  <si>
    <t>1:東京本社, 2:大阪本店, 3:阪神支店, 4:九州支店, 5:東北支店</t>
    <rPh sb="2" eb="6">
      <t>トウキョウホンシャ</t>
    </rPh>
    <rPh sb="10" eb="14">
      <t>オオサカホンテン</t>
    </rPh>
    <rPh sb="18" eb="22">
      <t>ハンシンシテン</t>
    </rPh>
    <rPh sb="26" eb="30">
      <t>キュウシュウシテン</t>
    </rPh>
    <rPh sb="34" eb="38">
      <t>トウホクシテン</t>
    </rPh>
    <phoneticPr fontId="2"/>
  </si>
  <si>
    <t>【 社員情報 】</t>
    <rPh sb="2" eb="4">
      <t>シャイン</t>
    </rPh>
    <rPh sb="4" eb="6">
      <t>ジョウホウ</t>
    </rPh>
    <phoneticPr fontId="2"/>
  </si>
  <si>
    <t>● Standard, Advanced, Evolution</t>
    <phoneticPr fontId="2"/>
  </si>
  <si>
    <t>小規模用</t>
    <rPh sb="0" eb="3">
      <t>ショウキボ</t>
    </rPh>
    <rPh sb="3" eb="4">
      <t>ヨウ</t>
    </rPh>
    <phoneticPr fontId="2"/>
  </si>
  <si>
    <t>社内担当者（事前）</t>
    <rPh sb="0" eb="2">
      <t>シャナイ</t>
    </rPh>
    <rPh sb="2" eb="5">
      <t>タントウシャ</t>
    </rPh>
    <rPh sb="6" eb="8">
      <t>ジゼン</t>
    </rPh>
    <phoneticPr fontId="2"/>
  </si>
  <si>
    <t>cst_shinsei_PROVO_TANTO_USER_ID</t>
    <phoneticPr fontId="2"/>
  </si>
  <si>
    <t>社内担当者（引受）</t>
    <rPh sb="0" eb="2">
      <t>シャナイ</t>
    </rPh>
    <rPh sb="2" eb="5">
      <t>タントウシャ</t>
    </rPh>
    <rPh sb="6" eb="8">
      <t>ヒキウケ</t>
    </rPh>
    <phoneticPr fontId="2"/>
  </si>
  <si>
    <t>**shinsei_HIKIUKE_TANTO</t>
  </si>
  <si>
    <t>cst_shinsei_HIKIUKE_TANTO</t>
    <phoneticPr fontId="2"/>
  </si>
  <si>
    <t>社内構造一次担当者</t>
    <rPh sb="0" eb="2">
      <t>シャナイ</t>
    </rPh>
    <rPh sb="2" eb="4">
      <t>コウゾウ</t>
    </rPh>
    <rPh sb="4" eb="6">
      <t>イチジ</t>
    </rPh>
    <rPh sb="6" eb="9">
      <t>タントウシャ</t>
    </rPh>
    <phoneticPr fontId="2"/>
  </si>
  <si>
    <t>cst_shinsei_KOUZOU_TANTO1</t>
    <phoneticPr fontId="2"/>
  </si>
  <si>
    <t>社内構造二次担当者</t>
    <rPh sb="4" eb="6">
      <t>ニジ</t>
    </rPh>
    <phoneticPr fontId="2"/>
  </si>
  <si>
    <t>cst_shinsei_KOUZOU_TANTO2</t>
    <phoneticPr fontId="2"/>
  </si>
  <si>
    <t>● Progress</t>
    <phoneticPr fontId="2"/>
  </si>
  <si>
    <t>大規模用</t>
    <rPh sb="0" eb="3">
      <t>ダイキボ</t>
    </rPh>
    <rPh sb="3" eb="4">
      <t>ヨウ</t>
    </rPh>
    <phoneticPr fontId="2"/>
  </si>
  <si>
    <t>社内意匠一次担当者</t>
    <rPh sb="2" eb="4">
      <t>イショウ</t>
    </rPh>
    <rPh sb="4" eb="6">
      <t>イチジ</t>
    </rPh>
    <rPh sb="6" eb="9">
      <t>タントウシャ</t>
    </rPh>
    <phoneticPr fontId="2"/>
  </si>
  <si>
    <t>**shinseijudgehist_accept_isyou1_TANTO_USER_ID</t>
    <phoneticPr fontId="2"/>
  </si>
  <si>
    <t>cst_shinsei_ISHOU_TANTO</t>
    <phoneticPr fontId="2"/>
  </si>
  <si>
    <t>社内意匠二次担当者</t>
    <rPh sb="0" eb="2">
      <t>シャナイ</t>
    </rPh>
    <rPh sb="2" eb="4">
      <t>イショウ</t>
    </rPh>
    <rPh sb="4" eb="6">
      <t>ニジ</t>
    </rPh>
    <rPh sb="6" eb="9">
      <t>タントウシャ</t>
    </rPh>
    <phoneticPr fontId="2"/>
  </si>
  <si>
    <t>cst_shinsei_ev_TIKUZOUMENSEKI_SHINSEI__minus</t>
  </si>
  <si>
    <t>築造面積（申請以外の部分）</t>
  </si>
  <si>
    <t>cst_shinsei_ev_TIKUZOUMENSEKI_IGAI</t>
    <phoneticPr fontId="2"/>
  </si>
  <si>
    <t>築造面積（合計）</t>
  </si>
  <si>
    <t>cst_shinsei_ev_TIKUZOUMENSEKI_TOTAL</t>
    <phoneticPr fontId="2"/>
  </si>
  <si>
    <t>○分類</t>
    <rPh sb="1" eb="3">
      <t>ブンルイ</t>
    </rPh>
    <phoneticPr fontId="2"/>
  </si>
  <si>
    <t>**shinsei_WORK_TYPE</t>
  </si>
  <si>
    <t>cst_shinsei_WORK_TYPE</t>
    <phoneticPr fontId="2"/>
  </si>
  <si>
    <t>（擁壁, 煙突, 乗用, 広告塔・高架水槽等, 鉄筋コンクリート造等の柱, 遊戯施設, プラント, その他, 煙突, 擁壁）</t>
  </si>
  <si>
    <t>■ 概要データ　－　昇降機・工作物</t>
    <rPh sb="10" eb="13">
      <t>ショウコウキ</t>
    </rPh>
    <rPh sb="14" eb="17">
      <t>コウサクブツ</t>
    </rPh>
    <phoneticPr fontId="2"/>
  </si>
  <si>
    <t>建築物の確認申請の情報</t>
    <rPh sb="0" eb="3">
      <t>ケンチクブツ</t>
    </rPh>
    <rPh sb="4" eb="6">
      <t>カクニン</t>
    </rPh>
    <rPh sb="6" eb="8">
      <t>シンセイ</t>
    </rPh>
    <rPh sb="9" eb="11">
      <t>ジョウホウ</t>
    </rPh>
    <phoneticPr fontId="2"/>
  </si>
  <si>
    <t>建築物の確認申請番号</t>
  </si>
  <si>
    <t>建築物の確認申請交付日</t>
  </si>
  <si>
    <t>建築物の法６条区分</t>
  </si>
  <si>
    <t>建築物の工事種別</t>
    <rPh sb="0" eb="3">
      <t>ケンチクブツ</t>
    </rPh>
    <rPh sb="4" eb="6">
      <t>コウジ</t>
    </rPh>
    <rPh sb="6" eb="8">
      <t>シュベツ</t>
    </rPh>
    <phoneticPr fontId="2"/>
  </si>
  <si>
    <t>cst_buildobject__shinsei_build_kouji</t>
    <phoneticPr fontId="2"/>
  </si>
  <si>
    <t>■ 概要データ　－　中間検査申請</t>
    <rPh sb="10" eb="12">
      <t>チュウカン</t>
    </rPh>
    <rPh sb="12" eb="14">
      <t>ケンサ</t>
    </rPh>
    <rPh sb="14" eb="16">
      <t>シンセイ</t>
    </rPh>
    <phoneticPr fontId="2"/>
  </si>
  <si>
    <t>特定工程</t>
    <phoneticPr fontId="2"/>
  </si>
  <si>
    <t>回数</t>
  </si>
  <si>
    <t>**shinsei_intermediate_CYU1_KAISUU</t>
  </si>
  <si>
    <t>cst_shinsei_intermediate_CYU1_KAISUU</t>
    <phoneticPr fontId="2"/>
  </si>
  <si>
    <t>特定工程</t>
  </si>
  <si>
    <t>**shinsei_intermediate_SPECIFIC_KOUTEI</t>
  </si>
  <si>
    <t>cst_shinsei_intermediate_SPECIFIC_KOUTEI</t>
    <phoneticPr fontId="2"/>
  </si>
  <si>
    <t>特定工程終了予定年月日</t>
    <rPh sb="0" eb="2">
      <t>トクテイ</t>
    </rPh>
    <rPh sb="2" eb="4">
      <t>コウテイ</t>
    </rPh>
    <rPh sb="6" eb="8">
      <t>ヨテイ</t>
    </rPh>
    <rPh sb="8" eb="11">
      <t>ネンガッピ</t>
    </rPh>
    <phoneticPr fontId="2"/>
  </si>
  <si>
    <t>cst_shinsei_intermediate_CYU1_NITTEI</t>
    <phoneticPr fontId="2"/>
  </si>
  <si>
    <t>cst_shinsei_intermediate_CYU1_NITTEI__disp</t>
  </si>
  <si>
    <t>※中間の引受・引受通知</t>
    <rPh sb="1" eb="3">
      <t>チュウカン</t>
    </rPh>
    <rPh sb="4" eb="6">
      <t>ヒキウケ</t>
    </rPh>
    <rPh sb="7" eb="9">
      <t>ヒキウケ</t>
    </rPh>
    <rPh sb="9" eb="11">
      <t>ツウチ</t>
    </rPh>
    <phoneticPr fontId="2"/>
  </si>
  <si>
    <t>該当工区</t>
    <rPh sb="0" eb="2">
      <t>ガイトウ</t>
    </rPh>
    <rPh sb="2" eb="4">
      <t>コウク</t>
    </rPh>
    <phoneticPr fontId="2"/>
  </si>
  <si>
    <t>cst_shinsei_INTER_KOUKU</t>
    <phoneticPr fontId="2"/>
  </si>
  <si>
    <t>cst_shinsei_strtower04_STR_TOWER_NO</t>
    <phoneticPr fontId="2"/>
  </si>
  <si>
    <t>cst_shinsei_strtower04__TOWER_NO_STR_TOWER_NO</t>
    <phoneticPr fontId="2"/>
  </si>
  <si>
    <t>cst_shinsei_strtower04__TOWER_NO_STR_TOWERS</t>
    <phoneticPr fontId="2"/>
  </si>
  <si>
    <t>**shinsei_strtower04_STR_TOWER_NAME</t>
  </si>
  <si>
    <t>cst_shinsei_strtower04_STR_TOWER_NAME</t>
    <phoneticPr fontId="2"/>
  </si>
  <si>
    <t>**shinsei_strtower04_JUDGE</t>
  </si>
  <si>
    <t>cst_shinsei_strtower04_JUDGE</t>
    <phoneticPr fontId="2"/>
  </si>
  <si>
    <t>**shinsei_strtower04_STR_TOWER_YOUTO_TEXT</t>
  </si>
  <si>
    <t>cst_shinsei_strtower04_STR_TOWER_YOUTO_TEXT</t>
    <phoneticPr fontId="2"/>
  </si>
  <si>
    <t>**shinsei_strtower04_KOUJI_TEXT</t>
  </si>
  <si>
    <t>cst_shinsei_strtower04_KOUJI_TEXT</t>
    <phoneticPr fontId="2"/>
  </si>
  <si>
    <t>**shinsei_strtower04_KOUZOU</t>
  </si>
  <si>
    <t>cst_shinsei_strtower04_KOUZOU</t>
    <phoneticPr fontId="2"/>
  </si>
  <si>
    <t>**shinsei_strtower04_KOUZOU_TEXT</t>
  </si>
  <si>
    <t>cst_shinsei_strtower04_KOUZOU_TEXT</t>
    <phoneticPr fontId="2"/>
  </si>
  <si>
    <t>**shinsei_strtower04_KOUZOU_KEISAN</t>
  </si>
  <si>
    <t>cst_shinsei_strtower04_KOUZOU_KEISAN</t>
    <phoneticPr fontId="2"/>
  </si>
  <si>
    <t>cst_shinsei_CHARGE_ID2__bill__date</t>
    <phoneticPr fontId="2"/>
  </si>
  <si>
    <t>請求先（旧名：得意先）</t>
    <rPh sb="0" eb="2">
      <t>セイキュウ</t>
    </rPh>
    <rPh sb="2" eb="3">
      <t>サキ</t>
    </rPh>
    <rPh sb="4" eb="6">
      <t>キュウメイ</t>
    </rPh>
    <phoneticPr fontId="2"/>
  </si>
  <si>
    <t>住所</t>
    <phoneticPr fontId="2"/>
  </si>
  <si>
    <t>請求先</t>
    <rPh sb="0" eb="2">
      <t>セイキュウ</t>
    </rPh>
    <rPh sb="2" eb="3">
      <t>サキ</t>
    </rPh>
    <phoneticPr fontId="2"/>
  </si>
  <si>
    <t>申請延面積</t>
    <rPh sb="0" eb="2">
      <t>シンセイ</t>
    </rPh>
    <rPh sb="2" eb="3">
      <t>ノ</t>
    </rPh>
    <rPh sb="3" eb="5">
      <t>メンセキ</t>
    </rPh>
    <phoneticPr fontId="2"/>
  </si>
  <si>
    <t>cst_shinsei_CHARGE_ID2__RECEIPT_AREA</t>
    <phoneticPr fontId="2"/>
  </si>
  <si>
    <t>0円</t>
    <rPh sb="1" eb="2">
      <t>エン</t>
    </rPh>
    <phoneticPr fontId="2"/>
  </si>
  <si>
    <t>cst_shinsei_CHARGE_ID2__RECEIPT_PRICE</t>
    <phoneticPr fontId="2"/>
  </si>
  <si>
    <t>領収証宛名（団地名・建築主）</t>
    <rPh sb="3" eb="5">
      <t>アテナ</t>
    </rPh>
    <rPh sb="6" eb="8">
      <t>ダンチ</t>
    </rPh>
    <rPh sb="8" eb="9">
      <t>メイ</t>
    </rPh>
    <rPh sb="10" eb="12">
      <t>ケンチク</t>
    </rPh>
    <rPh sb="12" eb="13">
      <t>ヌシ</t>
    </rPh>
    <phoneticPr fontId="2"/>
  </si>
  <si>
    <t>cst_shinsei_CHARGE_ID2__RECEIPT_TO</t>
    <phoneticPr fontId="2"/>
  </si>
  <si>
    <t>cst_shinsei_CHARGE_ID2__RECEIPT_DATE</t>
    <phoneticPr fontId="2"/>
  </si>
  <si>
    <t>伝票手数料</t>
    <rPh sb="0" eb="2">
      <t>デンピョウ</t>
    </rPh>
    <rPh sb="2" eb="5">
      <t>テスウリョウ</t>
    </rPh>
    <phoneticPr fontId="2"/>
  </si>
  <si>
    <t>cst_shinsei_CHARGE_ID2__DENPYOU_PRICE</t>
    <phoneticPr fontId="2"/>
  </si>
  <si>
    <t>№（伝票番号）</t>
    <rPh sb="2" eb="4">
      <t>デンピョウ</t>
    </rPh>
    <rPh sb="4" eb="6">
      <t>バンゴウ</t>
    </rPh>
    <phoneticPr fontId="2"/>
  </si>
  <si>
    <t>cst_shinsei_CHARGE_ID2__DENPYOU_NO</t>
    <phoneticPr fontId="2"/>
  </si>
  <si>
    <t>再申請（Yes,No）</t>
    <rPh sb="0" eb="3">
      <t>サイシンセイ</t>
    </rPh>
    <phoneticPr fontId="2"/>
  </si>
  <si>
    <t>cst_shinsei_CHARGE_ID2__NOTE</t>
    <phoneticPr fontId="2"/>
  </si>
  <si>
    <t>◇ 手数料2 - 手数料詳細設定</t>
    <rPh sb="2" eb="5">
      <t>テスウリョウ</t>
    </rPh>
    <rPh sb="9" eb="12">
      <t>テスウリョウ</t>
    </rPh>
    <rPh sb="12" eb="14">
      <t>ショウサイ</t>
    </rPh>
    <rPh sb="14" eb="16">
      <t>セッテイ</t>
    </rPh>
    <phoneticPr fontId="2"/>
  </si>
  <si>
    <t>cst_shinsei_CHARGE_ID2__BASIC_CHARGE</t>
    <phoneticPr fontId="2"/>
  </si>
  <si>
    <t>cst_shinsei_CHARGE_ID2__TIIKIWARIMASHI_CHARGE</t>
    <phoneticPr fontId="2"/>
  </si>
  <si>
    <t>cst_shinsei_CHARGE_ID2__meisai01_ITEM_NAME</t>
    <phoneticPr fontId="2"/>
  </si>
  <si>
    <t>cst_shinsei_CHARGE_ID2__meisai01_SYOUKEI</t>
    <phoneticPr fontId="2"/>
  </si>
  <si>
    <t>cst_shinsei_CHARGE_ID2__meisai02_ITEM_NAME</t>
    <phoneticPr fontId="2"/>
  </si>
  <si>
    <t>cst_shinsei_CHARGE_ID2__meisai02_SYOUKEI</t>
    <phoneticPr fontId="2"/>
  </si>
  <si>
    <t>cst_shinsei_CHARGE_ID2__meisai03_ITEM_NAME</t>
    <phoneticPr fontId="2"/>
  </si>
  <si>
    <t>cst_shinsei_CHARGE_ID2__meisai03_SYOUKEI</t>
    <phoneticPr fontId="2"/>
  </si>
  <si>
    <t>cst_shinsei_CHARGE_ID2__meisai04_ITEM_NAME</t>
    <phoneticPr fontId="2"/>
  </si>
  <si>
    <t>cst_shinsei_CHARGE_ID2__meisai04_SYOUKEI</t>
    <phoneticPr fontId="2"/>
  </si>
  <si>
    <t>cst_shinsei_CHARGE_ID2__meisai05_ITEM_NAME</t>
    <phoneticPr fontId="2"/>
  </si>
  <si>
    <t>cst_shinsei_CHARGE_ID2__meisai05_SYOUKEI</t>
    <phoneticPr fontId="2"/>
  </si>
  <si>
    <t>cst_shinsei_CHARGE_ID2__meisai06_ITEM_NAME</t>
    <phoneticPr fontId="2"/>
  </si>
  <si>
    <t>cst_shinsei_CHARGE_ID2__meisai06_SYOUKEI</t>
    <phoneticPr fontId="2"/>
  </si>
  <si>
    <t>cst_shinsei_CHARGE_ID2__meisai07_ITEM_NAME</t>
    <phoneticPr fontId="2"/>
  </si>
  <si>
    <t>cst_shinsei_CHARGE_ID2__meisai07_SYOUKEI</t>
    <phoneticPr fontId="2"/>
  </si>
  <si>
    <t>cst_shinsei_CHARGE_ID2__meisai08_ITEM_NAME</t>
    <phoneticPr fontId="2"/>
  </si>
  <si>
    <t>cst_shinsei_CHARGE_ID2__meisai08_SYOUKEI</t>
    <phoneticPr fontId="2"/>
  </si>
  <si>
    <t>cst_shinsei_CHARGE_ID2__meisai09_ITEM_NAME</t>
    <phoneticPr fontId="2"/>
  </si>
  <si>
    <t>cst_shinsei_CHARGE_ID2__meisai09_SYOUKEI</t>
    <phoneticPr fontId="2"/>
  </si>
  <si>
    <t>cst_shinsei_CHARGE_ID2__meisai10_ITEM_NAME</t>
    <phoneticPr fontId="2"/>
  </si>
  <si>
    <t>cst_shinsei_CHARGE_ID2__meisai10_SYOUKEI</t>
    <phoneticPr fontId="2"/>
  </si>
  <si>
    <t>cst_shinsei_CHARGE_ID2__meisai11_ITEM_NAME</t>
    <phoneticPr fontId="2"/>
  </si>
  <si>
    <t>cst_shinsei_CHARGE_ID2__meisai11_SYOUKEI</t>
    <phoneticPr fontId="2"/>
  </si>
  <si>
    <t>適判 - 手数料（合計）</t>
    <phoneticPr fontId="2"/>
  </si>
  <si>
    <t>cst_CHARGE_ID2_STR_CHARGE</t>
    <phoneticPr fontId="2"/>
  </si>
  <si>
    <t>● 手数料3</t>
    <rPh sb="2" eb="5">
      <t>テスウリョウ</t>
    </rPh>
    <phoneticPr fontId="2"/>
  </si>
  <si>
    <t>取引区分</t>
    <phoneticPr fontId="2"/>
  </si>
  <si>
    <t>cst_shinsei_CHARGE_ID3__CASH_FLAG</t>
    <phoneticPr fontId="2"/>
  </si>
  <si>
    <t>cst_shinsei_CHARGE_ID3__BASE_DATE</t>
    <phoneticPr fontId="2"/>
  </si>
  <si>
    <t>cst_shinsei_CHARGE_ID3__bill__no</t>
    <phoneticPr fontId="2"/>
  </si>
  <si>
    <t>cst_shinsei_CHARGE_ID3__bill__date</t>
    <phoneticPr fontId="2"/>
  </si>
  <si>
    <t>cst_shinsei_CHARGE_ID3__RECEIPT_AREA</t>
    <phoneticPr fontId="2"/>
  </si>
  <si>
    <t>cst_shinsei_CHARGE_ID3__ZERO_FLAG</t>
    <phoneticPr fontId="2"/>
  </si>
  <si>
    <t>cst_shinsei_CHARGE_ID3__RECEIPT_PRICE</t>
    <phoneticPr fontId="2"/>
  </si>
  <si>
    <t>cst_shinsei_CHARGE_ID3__RECEIPT_TO</t>
    <phoneticPr fontId="2"/>
  </si>
  <si>
    <t>cst_shinsei_CHARGE_ID3__RECEIPT_DATE</t>
    <phoneticPr fontId="2"/>
  </si>
  <si>
    <t>cst_shinsei_CHARGE_ID3__DENPYOU_PRICE</t>
    <phoneticPr fontId="2"/>
  </si>
  <si>
    <t>cst_shinsei_CHARGE_ID3__DENPYOU_NO</t>
    <phoneticPr fontId="2"/>
  </si>
  <si>
    <t>cst_shinsei_CHARGE_ID3__NOTE</t>
    <phoneticPr fontId="2"/>
  </si>
  <si>
    <t>◇ 手数料3 - 手数料詳細設定</t>
    <rPh sb="2" eb="5">
      <t>テスウリョウ</t>
    </rPh>
    <rPh sb="9" eb="12">
      <t>テスウリョウ</t>
    </rPh>
    <rPh sb="12" eb="14">
      <t>ショウサイ</t>
    </rPh>
    <rPh sb="14" eb="16">
      <t>セッテイ</t>
    </rPh>
    <phoneticPr fontId="2"/>
  </si>
  <si>
    <t>cst_shinsei_CHARGE_ID3__BASIC_CHARGE</t>
    <phoneticPr fontId="2"/>
  </si>
  <si>
    <t>cst_shinsei_CHARGE_ID3__TIIKIWARIMASHI_CHARGE</t>
    <phoneticPr fontId="2"/>
  </si>
  <si>
    <t>cst_shinsei_CHARGE_ID3__meisai01_ITEM_NAME</t>
    <phoneticPr fontId="2"/>
  </si>
  <si>
    <t>cst_shinsei_CHARGE_ID3__meisai01_SYOUKEI</t>
    <phoneticPr fontId="2"/>
  </si>
  <si>
    <t>cst_shinsei_CHARGE_ID3__meisai02_ITEM_NAME</t>
    <phoneticPr fontId="2"/>
  </si>
  <si>
    <t>cst_shinsei_CHARGE_ID3__meisai02_SYOUKEI</t>
    <phoneticPr fontId="2"/>
  </si>
  <si>
    <t>cst_shinsei_CHARGE_ID3__meisai03_ITEM_NAME</t>
    <phoneticPr fontId="2"/>
  </si>
  <si>
    <t>cst_shinsei_CHARGE_ID3__meisai03_SYOUKEI</t>
    <phoneticPr fontId="2"/>
  </si>
  <si>
    <t>cst_shinsei_CHARGE_ID3__meisai04_ITEM_NAME</t>
    <phoneticPr fontId="2"/>
  </si>
  <si>
    <t>cst_shinsei_CHARGE_ID3__meisai04_SYOUKEI</t>
    <phoneticPr fontId="2"/>
  </si>
  <si>
    <t>cst_shinsei_CHARGE_ID3__meisai05_ITEM_NAME</t>
    <phoneticPr fontId="2"/>
  </si>
  <si>
    <t>cst_shinsei_CHARGE_ID3__meisai05_SYOUKEI</t>
    <phoneticPr fontId="2"/>
  </si>
  <si>
    <t>cst_shinsei_CHARGE_ID3__meisai06_ITEM_NAME</t>
    <phoneticPr fontId="2"/>
  </si>
  <si>
    <t>cst_shinsei_CHARGE_ID3__meisai06_SYOUKEI</t>
    <phoneticPr fontId="2"/>
  </si>
  <si>
    <t>cst_shinsei_CHARGE_ID3__meisai07_ITEM_NAME</t>
    <phoneticPr fontId="2"/>
  </si>
  <si>
    <t>cst_shinsei_CHARGE_ID3__meisai07_SYOUKEI</t>
    <phoneticPr fontId="2"/>
  </si>
  <si>
    <t>cst_shinsei_CHARGE_ID3__meisai08_ITEM_NAME</t>
    <phoneticPr fontId="2"/>
  </si>
  <si>
    <t>cst_shinsei_CHARGE_ID3__meisai08_SYOUKEI</t>
    <phoneticPr fontId="2"/>
  </si>
  <si>
    <t>cst_shinsei_CHARGE_ID3__meisai09_ITEM_NAME</t>
    <phoneticPr fontId="2"/>
  </si>
  <si>
    <t>cst_shinsei_CHARGE_ID3__meisai09_SYOUKEI</t>
    <phoneticPr fontId="2"/>
  </si>
  <si>
    <t>cst_shinsei_CHARGE_ID3__meisai10_ITEM_NAME</t>
    <phoneticPr fontId="2"/>
  </si>
  <si>
    <t>cst_shinsei_CHARGE_ID3__meisai10_SYOUKEI</t>
    <phoneticPr fontId="2"/>
  </si>
  <si>
    <t>cst_shinsei_CHARGE_ID3__meisai11_ITEM_NAME</t>
    <phoneticPr fontId="2"/>
  </si>
  <si>
    <t>cst_shinsei_CHARGE_ID3__meisai11_SYOUKEI</t>
    <phoneticPr fontId="2"/>
  </si>
  <si>
    <t>適判 - 手数料（合計）</t>
    <rPh sb="0" eb="2">
      <t>テキハン</t>
    </rPh>
    <rPh sb="5" eb="8">
      <t>テスウリョウ</t>
    </rPh>
    <rPh sb="9" eb="11">
      <t>ゴウケイ</t>
    </rPh>
    <phoneticPr fontId="2"/>
  </si>
  <si>
    <t>cst_shinsei_CHARGE_ID3__STR_CHARGE</t>
    <phoneticPr fontId="2"/>
  </si>
  <si>
    <t>■ 手数料詳細 - 共通処理（手数料詳細設定内の請求書・領収書のみ有効なセル名）</t>
    <rPh sb="2" eb="5">
      <t>テスウリョウ</t>
    </rPh>
    <rPh sb="5" eb="7">
      <t>ショウサイ</t>
    </rPh>
    <rPh sb="10" eb="12">
      <t>キョウツウ</t>
    </rPh>
    <rPh sb="12" eb="14">
      <t>ショリ</t>
    </rPh>
    <rPh sb="15" eb="18">
      <t>テスウリョウ</t>
    </rPh>
    <rPh sb="18" eb="20">
      <t>ショウサイ</t>
    </rPh>
    <rPh sb="20" eb="22">
      <t>セッテイ</t>
    </rPh>
    <rPh sb="22" eb="23">
      <t>ナイ</t>
    </rPh>
    <rPh sb="24" eb="27">
      <t>セイキュウショ</t>
    </rPh>
    <rPh sb="28" eb="31">
      <t>リョウシュウショ</t>
    </rPh>
    <rPh sb="33" eb="35">
      <t>ユウコウ</t>
    </rPh>
    <rPh sb="38" eb="39">
      <t>メイ</t>
    </rPh>
    <phoneticPr fontId="2"/>
  </si>
  <si>
    <t>**charge_BILL_TYPE</t>
    <phoneticPr fontId="2"/>
  </si>
  <si>
    <t>現金, 振込, 掛売（現金, 請求, コンビニ）</t>
    <rPh sb="0" eb="2">
      <t>ゲンキン</t>
    </rPh>
    <rPh sb="4" eb="6">
      <t>フリコミ</t>
    </rPh>
    <rPh sb="11" eb="13">
      <t>ゲンキン</t>
    </rPh>
    <rPh sb="15" eb="17">
      <t>セイキュウ</t>
    </rPh>
    <phoneticPr fontId="2"/>
  </si>
  <si>
    <t>0：無, 1：有</t>
    <rPh sb="2" eb="3">
      <t>ナシ</t>
    </rPh>
    <rPh sb="7" eb="8">
      <t>アリ</t>
    </rPh>
    <phoneticPr fontId="2"/>
  </si>
  <si>
    <t>**charge_ENABLED</t>
    <phoneticPr fontId="2"/>
  </si>
  <si>
    <t>cst_charge_BASE_DATE</t>
    <phoneticPr fontId="2"/>
  </si>
  <si>
    <t>cst_charge_BASE_DATE_dsp</t>
    <phoneticPr fontId="2"/>
  </si>
  <si>
    <t>**charge_bill__no</t>
    <phoneticPr fontId="2"/>
  </si>
  <si>
    <t>**charge_bill__date</t>
    <phoneticPr fontId="2"/>
  </si>
  <si>
    <t>**charge_cust__zip</t>
    <phoneticPr fontId="2"/>
  </si>
  <si>
    <t>**charge_cust__address</t>
    <phoneticPr fontId="2"/>
  </si>
  <si>
    <t>cst_charge_cust__caption</t>
    <phoneticPr fontId="2"/>
  </si>
  <si>
    <t>txt</t>
    <phoneticPr fontId="2"/>
  </si>
  <si>
    <t>**charge_cust__tel</t>
    <phoneticPr fontId="2"/>
  </si>
  <si>
    <t>**charge_RECEIPT_AREA</t>
    <phoneticPr fontId="2"/>
  </si>
  <si>
    <t>㎡</t>
    <phoneticPr fontId="2"/>
  </si>
  <si>
    <t>**charge_ZERO_FLAG</t>
    <phoneticPr fontId="2"/>
  </si>
  <si>
    <t>手数料</t>
    <rPh sb="0" eb="3">
      <t>テスウリョウ</t>
    </rPh>
    <phoneticPr fontId="2"/>
  </si>
  <si>
    <t>cst_charge_RECEIPT_PRICE</t>
    <phoneticPr fontId="2"/>
  </si>
  <si>
    <t>株式会社領収書   代表取締役　氏名</t>
    <rPh sb="0" eb="4">
      <t>カブシキガイシャ</t>
    </rPh>
    <rPh sb="4" eb="7">
      <t>リョウシュウショ</t>
    </rPh>
    <rPh sb="10" eb="12">
      <t>ダイヒョウ</t>
    </rPh>
    <rPh sb="12" eb="15">
      <t>トリシマリヤク</t>
    </rPh>
    <rPh sb="16" eb="18">
      <t>シメイ</t>
    </rPh>
    <phoneticPr fontId="2"/>
  </si>
  <si>
    <t>cst_charge_RECEIPT_TO</t>
    <phoneticPr fontId="2"/>
  </si>
  <si>
    <t>cst_charge_RECEIPT_TO__disp</t>
    <phoneticPr fontId="2"/>
  </si>
  <si>
    <t>cst_charge_RECEIPT_TO__add_sp3code</t>
    <phoneticPr fontId="2"/>
  </si>
  <si>
    <t>cst_charge_RECEIPT_DATE</t>
    <phoneticPr fontId="2"/>
  </si>
  <si>
    <t>date</t>
    <phoneticPr fontId="2"/>
  </si>
  <si>
    <t>**charge_DENPYOU_PRICE</t>
    <phoneticPr fontId="2"/>
  </si>
  <si>
    <t>**charge_DENPYOU_NO</t>
    <phoneticPr fontId="2"/>
  </si>
  <si>
    <t>txt</t>
    <phoneticPr fontId="2"/>
  </si>
  <si>
    <t>cst_charge_NOTE</t>
    <phoneticPr fontId="2"/>
  </si>
  <si>
    <t>txt</t>
    <phoneticPr fontId="2"/>
  </si>
  <si>
    <t>備考（手数料詳細画面右下）</t>
    <rPh sb="0" eb="2">
      <t>ビコウ</t>
    </rPh>
    <rPh sb="3" eb="6">
      <t>テスウリョウ</t>
    </rPh>
    <rPh sb="6" eb="8">
      <t>ショウサイ</t>
    </rPh>
    <rPh sb="8" eb="10">
      <t>ガメン</t>
    </rPh>
    <rPh sb="10" eb="12">
      <t>ミギシタ</t>
    </rPh>
    <phoneticPr fontId="2"/>
  </si>
  <si>
    <t>cst_charge_DETAIL_BIKO</t>
    <phoneticPr fontId="2"/>
  </si>
  <si>
    <t>但し書き</t>
    <rPh sb="0" eb="1">
      <t>タダ</t>
    </rPh>
    <rPh sb="2" eb="3">
      <t>ガ</t>
    </rPh>
    <phoneticPr fontId="2"/>
  </si>
  <si>
    <t>cst_charge_RECEIPT__title</t>
    <phoneticPr fontId="2"/>
  </si>
  <si>
    <t>NOTE：手数料＝基本手数料＋構造計算適合性判定手数料＋（増減手数料＋適判割増手数料）</t>
    <rPh sb="5" eb="8">
      <t>テスウリョウ</t>
    </rPh>
    <rPh sb="9" eb="11">
      <t>キホン</t>
    </rPh>
    <rPh sb="11" eb="14">
      <t>テスウリョウ</t>
    </rPh>
    <rPh sb="29" eb="31">
      <t>ゾウゲン</t>
    </rPh>
    <rPh sb="31" eb="34">
      <t>テスウリョウ</t>
    </rPh>
    <rPh sb="35" eb="37">
      <t>テキハン</t>
    </rPh>
    <rPh sb="37" eb="39">
      <t>ワリマシ</t>
    </rPh>
    <rPh sb="39" eb="42">
      <t>テスウリョウ</t>
    </rPh>
    <phoneticPr fontId="2"/>
  </si>
  <si>
    <t>cst_charge_BASIC_CHARGE</t>
    <phoneticPr fontId="2"/>
  </si>
  <si>
    <t>適判支払日</t>
  </si>
  <si>
    <t>cst_charge_STR_SIHARAI_DATE</t>
    <phoneticPr fontId="2"/>
  </si>
  <si>
    <t>構造計算適合性判定手数料</t>
    <phoneticPr fontId="2"/>
  </si>
  <si>
    <t>cst_charge_STR_CHARGE</t>
    <phoneticPr fontId="2"/>
  </si>
  <si>
    <t>構造計算適合性判定割増手数料</t>
    <rPh sb="9" eb="11">
      <t>ワリマシ</t>
    </rPh>
    <phoneticPr fontId="2"/>
  </si>
  <si>
    <t>cst_charge_STR_CHARGE__CHARGE_WARIMASHI</t>
    <phoneticPr fontId="2"/>
  </si>
  <si>
    <t>地域割増＋増減手数料合計＋適判割増手数料合計</t>
    <rPh sb="0" eb="2">
      <t>チイキ</t>
    </rPh>
    <rPh sb="2" eb="4">
      <t>ワリマシ</t>
    </rPh>
    <rPh sb="5" eb="7">
      <t>ゾウゲン</t>
    </rPh>
    <rPh sb="7" eb="10">
      <t>テスウリョウ</t>
    </rPh>
    <rPh sb="10" eb="12">
      <t>ゴウケイ</t>
    </rPh>
    <rPh sb="13" eb="15">
      <t>テキハン</t>
    </rPh>
    <rPh sb="15" eb="17">
      <t>ワリマシ</t>
    </rPh>
    <rPh sb="17" eb="20">
      <t>テスウリョウ</t>
    </rPh>
    <rPh sb="20" eb="22">
      <t>ゴウケイ</t>
    </rPh>
    <phoneticPr fontId="2"/>
  </si>
  <si>
    <t>cst_charge_ZOUGEN_CHARGE__total</t>
    <phoneticPr fontId="2"/>
  </si>
  <si>
    <t>増減手数料合計</t>
    <rPh sb="0" eb="2">
      <t>ゾウゲン</t>
    </rPh>
    <rPh sb="2" eb="5">
      <t>テスウリョウ</t>
    </rPh>
    <rPh sb="5" eb="7">
      <t>ゴウケイ</t>
    </rPh>
    <phoneticPr fontId="2"/>
  </si>
  <si>
    <t>cst_charge_ZOUGEN_nomi_CHARGE__total</t>
    <phoneticPr fontId="2"/>
  </si>
  <si>
    <t>適判割増手数料（合計）</t>
    <rPh sb="0" eb="2">
      <t>テキハン</t>
    </rPh>
    <rPh sb="2" eb="4">
      <t>ワリマシ</t>
    </rPh>
    <rPh sb="8" eb="10">
      <t>ゴウケイ</t>
    </rPh>
    <phoneticPr fontId="2"/>
  </si>
  <si>
    <t>cst_charge_STR_CHARGE_WARIMASHI</t>
    <phoneticPr fontId="2"/>
  </si>
  <si>
    <t>cst_charge_STR_CHARGE_WARIMASHI_set</t>
    <phoneticPr fontId="2"/>
  </si>
  <si>
    <t>**charge_TIIKIWARIMASHI_SURYOU</t>
    <phoneticPr fontId="2"/>
  </si>
  <si>
    <t>**charge_TIIKIWARIMASHI_TANKA</t>
    <phoneticPr fontId="2"/>
  </si>
  <si>
    <t>cst_charge_TIIKIWARIMASHI_CHARGE</t>
    <phoneticPr fontId="2"/>
  </si>
  <si>
    <t>天空率</t>
    <rPh sb="0" eb="2">
      <t>テンクウ</t>
    </rPh>
    <rPh sb="2" eb="3">
      <t>リツ</t>
    </rPh>
    <phoneticPr fontId="2"/>
  </si>
  <si>
    <t>**charge_meisai01_SURYOU</t>
    <phoneticPr fontId="2"/>
  </si>
  <si>
    <t>**charge_meisai01_TANKA</t>
    <phoneticPr fontId="2"/>
  </si>
  <si>
    <t>cst_charge_meisai01_SYOUKEI</t>
    <phoneticPr fontId="2"/>
  </si>
  <si>
    <t>txt</t>
    <phoneticPr fontId="2"/>
  </si>
  <si>
    <t>明細２</t>
    <rPh sb="0" eb="2">
      <t>メイサイ</t>
    </rPh>
    <phoneticPr fontId="2"/>
  </si>
  <si>
    <t>**charge_meisai02_SURYOU</t>
    <phoneticPr fontId="2"/>
  </si>
  <si>
    <t>cst_charge_meisai02_SYOUKEI</t>
    <phoneticPr fontId="2"/>
  </si>
  <si>
    <t>**charge_meisai03_SURYOU</t>
    <phoneticPr fontId="2"/>
  </si>
  <si>
    <t>cst_charge_meisai03_SYOUKEI</t>
    <phoneticPr fontId="2"/>
  </si>
  <si>
    <t>**charge_meisai04_SURYOU</t>
    <phoneticPr fontId="2"/>
  </si>
  <si>
    <t>**charge_meisai04_TANKA</t>
    <phoneticPr fontId="2"/>
  </si>
  <si>
    <t>cst_charge_meisai04_SYOUKEI</t>
    <phoneticPr fontId="2"/>
  </si>
  <si>
    <t>**charge_meisai05_SURYOU</t>
    <phoneticPr fontId="2"/>
  </si>
  <si>
    <t>**charge_meisai05_TANKA</t>
    <phoneticPr fontId="2"/>
  </si>
  <si>
    <t>cst_charge_meisai05_SYOUKEI</t>
    <phoneticPr fontId="2"/>
  </si>
  <si>
    <t>**charge_meisai06_SURYOU</t>
    <phoneticPr fontId="2"/>
  </si>
  <si>
    <t>**charge_meisai06_TANKA</t>
    <phoneticPr fontId="2"/>
  </si>
  <si>
    <t>cst_charge_meisai06_SYOUKEI</t>
    <phoneticPr fontId="2"/>
  </si>
  <si>
    <t>txt</t>
    <phoneticPr fontId="2"/>
  </si>
  <si>
    <t>**charge_meisai07_SURYOU</t>
    <phoneticPr fontId="2"/>
  </si>
  <si>
    <t>cst_charge_meisai07_SYOUKEI</t>
    <phoneticPr fontId="2"/>
  </si>
  <si>
    <t>**charge_meisai08_SURYOU</t>
    <phoneticPr fontId="2"/>
  </si>
  <si>
    <t>**charge_meisai08_TANKA</t>
    <phoneticPr fontId="2"/>
  </si>
  <si>
    <t>cst_charge_meisai08_SYOUKEI</t>
    <phoneticPr fontId="2"/>
  </si>
  <si>
    <t>**charge_meisai09_SURYOU</t>
    <phoneticPr fontId="2"/>
  </si>
  <si>
    <t>**charge_meisai09_TANKA</t>
    <phoneticPr fontId="2"/>
  </si>
  <si>
    <t>cst_charge_meisai09_SYOUKEI</t>
    <phoneticPr fontId="2"/>
  </si>
  <si>
    <t>**charge_meisai10_TANKA</t>
    <phoneticPr fontId="2"/>
  </si>
  <si>
    <t>cst_charge_meisai10_SYOUKEI</t>
    <phoneticPr fontId="2"/>
  </si>
  <si>
    <t>**charge_meisai11_SURYOU</t>
    <phoneticPr fontId="2"/>
  </si>
  <si>
    <t>**charge_meisai11_TANKA</t>
    <phoneticPr fontId="2"/>
  </si>
  <si>
    <t>cst_charge_meisai11_SYOUKEI</t>
    <phoneticPr fontId="2"/>
  </si>
  <si>
    <t>cst_charge_income01_INCOME_DATE</t>
    <phoneticPr fontId="2"/>
  </si>
  <si>
    <t>cst_charge_income02_INCOME_DATE</t>
    <phoneticPr fontId="2"/>
  </si>
  <si>
    <t>cst_charge_income03_INCOME_DATE</t>
    <phoneticPr fontId="2"/>
  </si>
  <si>
    <t>cst_charge_income01_INCOME_MONEY</t>
    <phoneticPr fontId="2"/>
  </si>
  <si>
    <t>●</t>
    <phoneticPr fontId="2"/>
  </si>
  <si>
    <t>入金額2</t>
    <phoneticPr fontId="2"/>
  </si>
  <si>
    <t>cst_charge_income02_INCOME_MONEY</t>
    <phoneticPr fontId="2"/>
  </si>
  <si>
    <t>●</t>
    <phoneticPr fontId="2"/>
  </si>
  <si>
    <t>入金額3</t>
    <phoneticPr fontId="2"/>
  </si>
  <si>
    <t>cst_charge_income03_INCOME_MONEY</t>
    <phoneticPr fontId="2"/>
  </si>
  <si>
    <t>■</t>
    <phoneticPr fontId="2"/>
  </si>
  <si>
    <t>■</t>
    <phoneticPr fontId="2"/>
  </si>
  <si>
    <t>入金日</t>
  </si>
  <si>
    <t>cst_charge_income_INCOME_DATE</t>
    <phoneticPr fontId="2"/>
  </si>
  <si>
    <t>領収書１２３共通化処理</t>
    <rPh sb="0" eb="3">
      <t>リョウシュウショ</t>
    </rPh>
    <rPh sb="6" eb="9">
      <t>キョウツウカ</t>
    </rPh>
    <rPh sb="9" eb="11">
      <t>ショリ</t>
    </rPh>
    <phoneticPr fontId="2"/>
  </si>
  <si>
    <t>入金額</t>
  </si>
  <si>
    <t>棟別情報01</t>
    <rPh sb="0" eb="1">
      <t>トウ</t>
    </rPh>
    <rPh sb="1" eb="2">
      <t>ベツ</t>
    </rPh>
    <rPh sb="2" eb="4">
      <t>ジョウホウ</t>
    </rPh>
    <phoneticPr fontId="2"/>
  </si>
  <si>
    <t>cst_charge_strtower01_CHARGE</t>
    <phoneticPr fontId="2"/>
  </si>
  <si>
    <t>割増</t>
    <rPh sb="0" eb="2">
      <t>ワリマシ</t>
    </rPh>
    <phoneticPr fontId="2"/>
  </si>
  <si>
    <t>cst_charge_strtower01_CHARGE_WARIMASHI</t>
    <phoneticPr fontId="2"/>
  </si>
  <si>
    <t>手数料（小計）</t>
    <rPh sb="0" eb="3">
      <t>テスウリョウ</t>
    </rPh>
    <rPh sb="4" eb="6">
      <t>ショウケイ</t>
    </rPh>
    <phoneticPr fontId="2"/>
  </si>
  <si>
    <t>cst_charge_strtower01_CHARGE_TOTAL</t>
    <phoneticPr fontId="2"/>
  </si>
  <si>
    <t>■ 手数料（請求書出力処理）</t>
    <rPh sb="2" eb="5">
      <t>テスウリョウ</t>
    </rPh>
    <rPh sb="6" eb="9">
      <t>セイキュウショ</t>
    </rPh>
    <rPh sb="9" eb="11">
      <t>シュツリョク</t>
    </rPh>
    <rPh sb="11" eb="13">
      <t>ショリ</t>
    </rPh>
    <phoneticPr fontId="2"/>
  </si>
  <si>
    <t>cst_charge_strtower01_CHARGE__ctrl</t>
    <phoneticPr fontId="2"/>
  </si>
  <si>
    <t>棟別情報02</t>
    <rPh sb="0" eb="1">
      <t>トウ</t>
    </rPh>
    <rPh sb="1" eb="2">
      <t>ベツ</t>
    </rPh>
    <rPh sb="2" eb="4">
      <t>ジョウホウ</t>
    </rPh>
    <phoneticPr fontId="2"/>
  </si>
  <si>
    <t>cst_charge_strtower02_CHARGE</t>
    <phoneticPr fontId="2"/>
  </si>
  <si>
    <t>cst_charge_strtower02_CHARGE_WARIMASHI</t>
    <phoneticPr fontId="2"/>
  </si>
  <si>
    <t>cst_charge_strtower02_CHARGE_TOTAL</t>
    <phoneticPr fontId="2"/>
  </si>
  <si>
    <t>cst_charge_strtower02_CHARGE__ctrl</t>
    <phoneticPr fontId="2"/>
  </si>
  <si>
    <t>棟別情報03</t>
    <rPh sb="0" eb="1">
      <t>トウ</t>
    </rPh>
    <rPh sb="1" eb="2">
      <t>ベツ</t>
    </rPh>
    <rPh sb="2" eb="4">
      <t>ジョウホウ</t>
    </rPh>
    <phoneticPr fontId="2"/>
  </si>
  <si>
    <t>cst_charge_strtower03_CHARGE</t>
    <phoneticPr fontId="2"/>
  </si>
  <si>
    <t>cst_charge_strtower03_CHARGE_WARIMASHI</t>
    <phoneticPr fontId="2"/>
  </si>
  <si>
    <t>cst_charge_strtower03_CHARGE_TOTAL</t>
    <phoneticPr fontId="2"/>
  </si>
  <si>
    <t>cst_charge_strtower03_CHARGE__ctrl</t>
    <phoneticPr fontId="2"/>
  </si>
  <si>
    <t>棟別情報04</t>
    <rPh sb="0" eb="1">
      <t>トウ</t>
    </rPh>
    <rPh sb="1" eb="2">
      <t>ベツ</t>
    </rPh>
    <rPh sb="2" eb="4">
      <t>ジョウホウ</t>
    </rPh>
    <phoneticPr fontId="2"/>
  </si>
  <si>
    <t>cst_charge_strtower04_CHARGE</t>
    <phoneticPr fontId="2"/>
  </si>
  <si>
    <t>cst_charge_strtower04_CHARGE_WARIMASHI</t>
    <phoneticPr fontId="2"/>
  </si>
  <si>
    <t>cst_charge_strtower04_CHARGE_TOTAL</t>
    <phoneticPr fontId="2"/>
  </si>
  <si>
    <t>cst_charge_strtower04_CHARGE__ctrl</t>
    <phoneticPr fontId="2"/>
  </si>
  <si>
    <t>棟別情報05</t>
    <rPh sb="0" eb="1">
      <t>トウ</t>
    </rPh>
    <rPh sb="1" eb="2">
      <t>ベツ</t>
    </rPh>
    <rPh sb="2" eb="4">
      <t>ジョウホウ</t>
    </rPh>
    <phoneticPr fontId="2"/>
  </si>
  <si>
    <t>cst_charge_strtower05_CHARGE</t>
    <phoneticPr fontId="2"/>
  </si>
  <si>
    <t>cst_charge_strtower05_CHARGE_WARIMASHI</t>
    <phoneticPr fontId="2"/>
  </si>
  <si>
    <t>cst_charge_strtower05_CHARGE_TOTAL</t>
    <phoneticPr fontId="2"/>
  </si>
  <si>
    <t>cst_charge_strtower05_CHARGE__ctrl</t>
    <phoneticPr fontId="2"/>
  </si>
  <si>
    <t>棟別情報06</t>
    <rPh sb="0" eb="1">
      <t>トウ</t>
    </rPh>
    <rPh sb="1" eb="2">
      <t>ベツ</t>
    </rPh>
    <rPh sb="2" eb="4">
      <t>ジョウホウ</t>
    </rPh>
    <phoneticPr fontId="2"/>
  </si>
  <si>
    <t>cst_charge_strtower06_CHARGE</t>
    <phoneticPr fontId="2"/>
  </si>
  <si>
    <t>cst_charge_strtower06_CHARGE_WARIMASHI</t>
    <phoneticPr fontId="2"/>
  </si>
  <si>
    <t>cst_charge_strtower06_CHARGE_TOTAL</t>
    <phoneticPr fontId="2"/>
  </si>
  <si>
    <t>cst_charge_strtower06_CHARGE__ctrl</t>
    <phoneticPr fontId="2"/>
  </si>
  <si>
    <t>棟別情報07</t>
    <rPh sb="0" eb="1">
      <t>トウ</t>
    </rPh>
    <rPh sb="1" eb="2">
      <t>ベツ</t>
    </rPh>
    <rPh sb="2" eb="4">
      <t>ジョウホウ</t>
    </rPh>
    <phoneticPr fontId="2"/>
  </si>
  <si>
    <t>cst_charge_strtower07_CHARGE</t>
    <phoneticPr fontId="2"/>
  </si>
  <si>
    <t>cst_charge_strtower07_CHARGE_WARIMASHI</t>
    <phoneticPr fontId="2"/>
  </si>
  <si>
    <t>cst_charge_strtower07_CHARGE_TOTAL</t>
    <phoneticPr fontId="2"/>
  </si>
  <si>
    <t>cst_charge_strtower07_CHARGE__ctrl</t>
    <phoneticPr fontId="2"/>
  </si>
  <si>
    <t>棟別情報08</t>
    <rPh sb="0" eb="1">
      <t>トウ</t>
    </rPh>
    <rPh sb="1" eb="2">
      <t>ベツ</t>
    </rPh>
    <rPh sb="2" eb="4">
      <t>ジョウホウ</t>
    </rPh>
    <phoneticPr fontId="2"/>
  </si>
  <si>
    <t>cst_charge_strtower08_CHARGE</t>
    <phoneticPr fontId="2"/>
  </si>
  <si>
    <t>cst_charge_strtower08_CHARGE_WARIMASHI</t>
    <phoneticPr fontId="2"/>
  </si>
  <si>
    <t>cst_charge_strtower08_CHARGE_TOTAL</t>
    <phoneticPr fontId="2"/>
  </si>
  <si>
    <t>cst_charge_strtower08_CHARGE__ctrl</t>
    <phoneticPr fontId="2"/>
  </si>
  <si>
    <t>棟別情報09</t>
    <rPh sb="0" eb="1">
      <t>トウ</t>
    </rPh>
    <rPh sb="1" eb="2">
      <t>ベツ</t>
    </rPh>
    <rPh sb="2" eb="4">
      <t>ジョウホウ</t>
    </rPh>
    <phoneticPr fontId="2"/>
  </si>
  <si>
    <t>cst_charge_strtower09_CHARGE</t>
    <phoneticPr fontId="2"/>
  </si>
  <si>
    <t>cst_charge_strtower09_CHARGE_WARIMASHI</t>
    <phoneticPr fontId="2"/>
  </si>
  <si>
    <t>cst_charge_strtower09_CHARGE_TOTAL</t>
    <phoneticPr fontId="2"/>
  </si>
  <si>
    <t>cst_charge_strtower09_CHARGE__ctrl</t>
    <phoneticPr fontId="2"/>
  </si>
  <si>
    <t>棟別情報10</t>
    <rPh sb="0" eb="1">
      <t>トウ</t>
    </rPh>
    <rPh sb="1" eb="2">
      <t>ベツ</t>
    </rPh>
    <rPh sb="2" eb="4">
      <t>ジョウホウ</t>
    </rPh>
    <phoneticPr fontId="2"/>
  </si>
  <si>
    <t>cst_charge_strtower10_CHARGE</t>
    <phoneticPr fontId="2"/>
  </si>
  <si>
    <t>cst_charge_strtower10_CHARGE_WARIMASHI</t>
    <phoneticPr fontId="2"/>
  </si>
  <si>
    <t>cst_charge_strtower10_CHARGE_TOTAL</t>
    <phoneticPr fontId="2"/>
  </si>
  <si>
    <t>cst_charge_strtower10_CHARGE__ctrl</t>
    <phoneticPr fontId="2"/>
  </si>
  <si>
    <t>棟別情報11</t>
    <rPh sb="0" eb="1">
      <t>トウ</t>
    </rPh>
    <rPh sb="1" eb="2">
      <t>ベツ</t>
    </rPh>
    <rPh sb="2" eb="4">
      <t>ジョウホウ</t>
    </rPh>
    <phoneticPr fontId="2"/>
  </si>
  <si>
    <t>cst_charge_strtower11_CHARGE</t>
    <phoneticPr fontId="2"/>
  </si>
  <si>
    <t>cst_charge_strtower11_CHARGE_WARIMASHI</t>
    <phoneticPr fontId="2"/>
  </si>
  <si>
    <t>cst_charge_strtower11_CHARGE_TOTAL</t>
    <phoneticPr fontId="2"/>
  </si>
  <si>
    <t>cst_charge_strtower11_CHARGE__ctrl</t>
    <phoneticPr fontId="2"/>
  </si>
  <si>
    <t>棟別情報12</t>
    <rPh sb="0" eb="1">
      <t>トウ</t>
    </rPh>
    <rPh sb="1" eb="2">
      <t>ベツ</t>
    </rPh>
    <rPh sb="2" eb="4">
      <t>ジョウホウ</t>
    </rPh>
    <phoneticPr fontId="2"/>
  </si>
  <si>
    <t>cst_charge_strtower12_CHARGE</t>
    <phoneticPr fontId="2"/>
  </si>
  <si>
    <t>cst_charge_strtower12_CHARGE_WARIMASHI</t>
    <phoneticPr fontId="2"/>
  </si>
  <si>
    <t>cst_charge_strtower12_CHARGE_TOTAL</t>
    <phoneticPr fontId="2"/>
  </si>
  <si>
    <t>cst_charge_strtower12_CHARGE__ctrl</t>
    <phoneticPr fontId="2"/>
  </si>
  <si>
    <t>棟別情報13</t>
    <rPh sb="0" eb="1">
      <t>トウ</t>
    </rPh>
    <rPh sb="1" eb="2">
      <t>ベツ</t>
    </rPh>
    <rPh sb="2" eb="4">
      <t>ジョウホウ</t>
    </rPh>
    <phoneticPr fontId="2"/>
  </si>
  <si>
    <t>cst_charge_strtower13_CHARGE</t>
    <phoneticPr fontId="2"/>
  </si>
  <si>
    <t>cst_charge_strtower13_CHARGE_WARIMASHI</t>
    <phoneticPr fontId="2"/>
  </si>
  <si>
    <t>cst_charge_strtower13_CHARGE_TOTAL</t>
    <phoneticPr fontId="2"/>
  </si>
  <si>
    <t>cst_charge_strtower13_CHARGE__ctrl</t>
    <phoneticPr fontId="2"/>
  </si>
  <si>
    <t>棟別情報14</t>
    <rPh sb="0" eb="1">
      <t>トウ</t>
    </rPh>
    <rPh sb="1" eb="2">
      <t>ベツ</t>
    </rPh>
    <rPh sb="2" eb="4">
      <t>ジョウホウ</t>
    </rPh>
    <phoneticPr fontId="2"/>
  </si>
  <si>
    <t>cst_charge_strtower14_CHARGE</t>
    <phoneticPr fontId="2"/>
  </si>
  <si>
    <t>cst_charge_strtower14_CHARGE_WARIMASHI</t>
    <phoneticPr fontId="2"/>
  </si>
  <si>
    <t>cst_charge_strtower14_CHARGE_TOTAL</t>
    <phoneticPr fontId="2"/>
  </si>
  <si>
    <t>cst_charge_strtower14_CHARGE__ctrl</t>
    <phoneticPr fontId="2"/>
  </si>
  <si>
    <t>棟別情報15</t>
    <rPh sb="0" eb="1">
      <t>トウ</t>
    </rPh>
    <rPh sb="1" eb="2">
      <t>ベツ</t>
    </rPh>
    <rPh sb="2" eb="4">
      <t>ジョウホウ</t>
    </rPh>
    <phoneticPr fontId="2"/>
  </si>
  <si>
    <t>cst_charge_strtower15_CHARGE</t>
    <phoneticPr fontId="2"/>
  </si>
  <si>
    <t>cst_charge_strtower15_CHARGE_WARIMASHI</t>
    <phoneticPr fontId="2"/>
  </si>
  <si>
    <t>cst_charge_strtower15_CHARGE_TOTAL</t>
    <phoneticPr fontId="2"/>
  </si>
  <si>
    <t>cst_charge_strtower15_CHARGE__ctrl</t>
    <phoneticPr fontId="2"/>
  </si>
  <si>
    <t>棟別情報16</t>
    <rPh sb="0" eb="1">
      <t>トウ</t>
    </rPh>
    <rPh sb="1" eb="2">
      <t>ベツ</t>
    </rPh>
    <rPh sb="2" eb="4">
      <t>ジョウホウ</t>
    </rPh>
    <phoneticPr fontId="2"/>
  </si>
  <si>
    <t>cst_charge_strtower16_CHARGE</t>
    <phoneticPr fontId="2"/>
  </si>
  <si>
    <t>cst_charge_strtower16_CHARGE_WARIMASHI</t>
    <phoneticPr fontId="2"/>
  </si>
  <si>
    <t>cst_charge_strtower16_CHARGE_TOTAL</t>
    <phoneticPr fontId="2"/>
  </si>
  <si>
    <t>cst_charge_strtower16_CHARGE__ctrl</t>
    <phoneticPr fontId="2"/>
  </si>
  <si>
    <t>棟別情報17</t>
    <rPh sb="0" eb="1">
      <t>トウ</t>
    </rPh>
    <rPh sb="1" eb="2">
      <t>ベツ</t>
    </rPh>
    <rPh sb="2" eb="4">
      <t>ジョウホウ</t>
    </rPh>
    <phoneticPr fontId="2"/>
  </si>
  <si>
    <t>cst_charge_strtower17_CHARGE</t>
    <phoneticPr fontId="2"/>
  </si>
  <si>
    <t>cst_charge_strtower17_CHARGE_WARIMASHI</t>
    <phoneticPr fontId="2"/>
  </si>
  <si>
    <t>cst_charge_strtower17_CHARGE_TOTAL</t>
    <phoneticPr fontId="2"/>
  </si>
  <si>
    <t>cst_charge_strtower17_CHARGE__ctrl</t>
    <phoneticPr fontId="2"/>
  </si>
  <si>
    <t>棟別情報18</t>
    <rPh sb="0" eb="1">
      <t>トウ</t>
    </rPh>
    <rPh sb="1" eb="2">
      <t>ベツ</t>
    </rPh>
    <rPh sb="2" eb="4">
      <t>ジョウホウ</t>
    </rPh>
    <phoneticPr fontId="2"/>
  </si>
  <si>
    <t>cst_charge_strtower18_CHARGE</t>
    <phoneticPr fontId="2"/>
  </si>
  <si>
    <t>cst_charge_strtower18_CHARGE_WARIMASHI</t>
    <phoneticPr fontId="2"/>
  </si>
  <si>
    <t>cst_charge_strtower18_CHARGE_TOTAL</t>
    <phoneticPr fontId="2"/>
  </si>
  <si>
    <t>cst_charge_strtower18_CHARGE__ctrl</t>
    <phoneticPr fontId="2"/>
  </si>
  <si>
    <t>棟別情報19</t>
    <rPh sb="0" eb="1">
      <t>トウ</t>
    </rPh>
    <rPh sb="1" eb="2">
      <t>ベツ</t>
    </rPh>
    <rPh sb="2" eb="4">
      <t>ジョウホウ</t>
    </rPh>
    <phoneticPr fontId="2"/>
  </si>
  <si>
    <t>cst_charge_strtower19_CHARGE</t>
    <phoneticPr fontId="2"/>
  </si>
  <si>
    <t>cst_charge_strtower19_CHARGE_WARIMASHI</t>
    <phoneticPr fontId="2"/>
  </si>
  <si>
    <t>cst_charge_strtower19_CHARGE_TOTAL</t>
    <phoneticPr fontId="2"/>
  </si>
  <si>
    <t>cst_charge_strtower19_CHARGE__ctrl</t>
    <phoneticPr fontId="2"/>
  </si>
  <si>
    <t>棟別情報20</t>
    <rPh sb="0" eb="1">
      <t>トウ</t>
    </rPh>
    <rPh sb="1" eb="2">
      <t>ベツ</t>
    </rPh>
    <rPh sb="2" eb="4">
      <t>ジョウホウ</t>
    </rPh>
    <phoneticPr fontId="2"/>
  </si>
  <si>
    <t>cst_charge_strtower20_CHARGE</t>
    <phoneticPr fontId="2"/>
  </si>
  <si>
    <t>cst_charge_strtower20_CHARGE_WARIMASHI</t>
    <phoneticPr fontId="2"/>
  </si>
  <si>
    <t>cst_charge_strtower20_CHARGE_TOTAL</t>
    <phoneticPr fontId="2"/>
  </si>
  <si>
    <t>cst_charge_strtower20_CHARGE__ctrl</t>
    <phoneticPr fontId="2"/>
  </si>
  <si>
    <t>棟別情報21</t>
    <rPh sb="0" eb="1">
      <t>トウ</t>
    </rPh>
    <rPh sb="1" eb="2">
      <t>ベツ</t>
    </rPh>
    <rPh sb="2" eb="4">
      <t>ジョウホウ</t>
    </rPh>
    <phoneticPr fontId="2"/>
  </si>
  <si>
    <t>cst_charge_strtower21_CHARGE</t>
    <phoneticPr fontId="2"/>
  </si>
  <si>
    <t>cst_charge_strtower21_CHARGE_WARIMASHI</t>
    <phoneticPr fontId="2"/>
  </si>
  <si>
    <t>cst_charge_strtower21_CHARGE_TOTAL</t>
    <phoneticPr fontId="2"/>
  </si>
  <si>
    <t>cst_charge_strtower21_CHARGE__ctrl</t>
    <phoneticPr fontId="2"/>
  </si>
  <si>
    <t>棟別情報22</t>
    <rPh sb="0" eb="1">
      <t>トウ</t>
    </rPh>
    <rPh sb="1" eb="2">
      <t>ベツ</t>
    </rPh>
    <rPh sb="2" eb="4">
      <t>ジョウホウ</t>
    </rPh>
    <phoneticPr fontId="2"/>
  </si>
  <si>
    <t>cst_charge_strtower22_CHARGE</t>
    <phoneticPr fontId="2"/>
  </si>
  <si>
    <t>cst_charge_strtower22_CHARGE_WARIMASHI</t>
    <phoneticPr fontId="2"/>
  </si>
  <si>
    <t>cst_charge_strtower22_CHARGE_TOTAL</t>
    <phoneticPr fontId="2"/>
  </si>
  <si>
    <t>cst_charge_strtower22_CHARGE__ctrl</t>
    <phoneticPr fontId="2"/>
  </si>
  <si>
    <t>棟別情報23</t>
    <rPh sb="0" eb="1">
      <t>トウ</t>
    </rPh>
    <rPh sb="1" eb="2">
      <t>ベツ</t>
    </rPh>
    <rPh sb="2" eb="4">
      <t>ジョウホウ</t>
    </rPh>
    <phoneticPr fontId="2"/>
  </si>
  <si>
    <t>cst_charge_strtower23_CHARGE</t>
    <phoneticPr fontId="2"/>
  </si>
  <si>
    <t>cst_charge_strtower23_CHARGE_WARIMASHI</t>
    <phoneticPr fontId="2"/>
  </si>
  <si>
    <t>cst_charge_strtower23_CHARGE_TOTAL</t>
    <phoneticPr fontId="2"/>
  </si>
  <si>
    <t>cst_charge_strtower23_CHARGE__ctrl</t>
    <phoneticPr fontId="2"/>
  </si>
  <si>
    <t>棟別情報24</t>
    <rPh sb="0" eb="1">
      <t>トウ</t>
    </rPh>
    <rPh sb="1" eb="2">
      <t>ベツ</t>
    </rPh>
    <rPh sb="2" eb="4">
      <t>ジョウホウ</t>
    </rPh>
    <phoneticPr fontId="2"/>
  </si>
  <si>
    <t>cst_charge_strtower24_CHARGE</t>
    <phoneticPr fontId="2"/>
  </si>
  <si>
    <t>cst_charge_strtower24_CHARGE_WARIMASHI</t>
    <phoneticPr fontId="2"/>
  </si>
  <si>
    <t>cst_charge_strtower24_CHARGE_TOTAL</t>
    <phoneticPr fontId="2"/>
  </si>
  <si>
    <t>cst_charge_strtower24_CHARGE__ctrl</t>
    <phoneticPr fontId="2"/>
  </si>
  <si>
    <t>棟別情報25</t>
    <rPh sb="0" eb="1">
      <t>トウ</t>
    </rPh>
    <rPh sb="1" eb="2">
      <t>ベツ</t>
    </rPh>
    <rPh sb="2" eb="4">
      <t>ジョウホウ</t>
    </rPh>
    <phoneticPr fontId="2"/>
  </si>
  <si>
    <t>cst_charge_strtower25_CHARGE</t>
    <phoneticPr fontId="2"/>
  </si>
  <si>
    <t>cst_charge_strtower25_CHARGE_WARIMASHI</t>
    <phoneticPr fontId="2"/>
  </si>
  <si>
    <t>cst_charge_strtower25_CHARGE_TOTAL</t>
    <phoneticPr fontId="2"/>
  </si>
  <si>
    <t>cst_charge_strtower25_CHARGE__ctrl</t>
    <phoneticPr fontId="2"/>
  </si>
  <si>
    <t>棟別情報26</t>
    <rPh sb="0" eb="1">
      <t>トウ</t>
    </rPh>
    <rPh sb="1" eb="2">
      <t>ベツ</t>
    </rPh>
    <rPh sb="2" eb="4">
      <t>ジョウホウ</t>
    </rPh>
    <phoneticPr fontId="2"/>
  </si>
  <si>
    <t>cst_charge_strtower26_CHARGE</t>
    <phoneticPr fontId="2"/>
  </si>
  <si>
    <t>cst_charge_strtower26_CHARGE_WARIMASHI</t>
    <phoneticPr fontId="2"/>
  </si>
  <si>
    <t>cst_charge_strtower26_CHARGE_TOTAL</t>
    <phoneticPr fontId="2"/>
  </si>
  <si>
    <t>cst_charge_strtower26_CHARGE__ctrl</t>
    <phoneticPr fontId="2"/>
  </si>
  <si>
    <t>棟別情報27</t>
    <rPh sb="0" eb="1">
      <t>トウ</t>
    </rPh>
    <rPh sb="1" eb="2">
      <t>ベツ</t>
    </rPh>
    <rPh sb="2" eb="4">
      <t>ジョウホウ</t>
    </rPh>
    <phoneticPr fontId="2"/>
  </si>
  <si>
    <t>cst_charge_strtower27_CHARGE</t>
    <phoneticPr fontId="2"/>
  </si>
  <si>
    <t>cst_charge_strtower27_CHARGE_WARIMASHI</t>
    <phoneticPr fontId="2"/>
  </si>
  <si>
    <t>cst_charge_strtower27_CHARGE_TOTAL</t>
    <phoneticPr fontId="2"/>
  </si>
  <si>
    <t>cst_charge_strtower27_CHARGE__ctrl</t>
    <phoneticPr fontId="2"/>
  </si>
  <si>
    <t>棟別情報28</t>
    <rPh sb="0" eb="1">
      <t>トウ</t>
    </rPh>
    <rPh sb="1" eb="2">
      <t>ベツ</t>
    </rPh>
    <rPh sb="2" eb="4">
      <t>ジョウホウ</t>
    </rPh>
    <phoneticPr fontId="2"/>
  </si>
  <si>
    <t>cst_charge_strtower28_CHARGE</t>
    <phoneticPr fontId="2"/>
  </si>
  <si>
    <t>cst_charge_strtower28_CHARGE_WARIMASHI</t>
    <phoneticPr fontId="2"/>
  </si>
  <si>
    <t>cst_charge_strtower28_CHARGE_TOTAL</t>
    <phoneticPr fontId="2"/>
  </si>
  <si>
    <t>cst_charge_strtower28_CHARGE__ctrl</t>
    <phoneticPr fontId="2"/>
  </si>
  <si>
    <t>棟別情報29</t>
    <rPh sb="0" eb="1">
      <t>トウ</t>
    </rPh>
    <rPh sb="1" eb="2">
      <t>ベツ</t>
    </rPh>
    <rPh sb="2" eb="4">
      <t>ジョウホウ</t>
    </rPh>
    <phoneticPr fontId="2"/>
  </si>
  <si>
    <t>cst_charge_strtower29_CHARGE</t>
    <phoneticPr fontId="2"/>
  </si>
  <si>
    <t>cst_charge_strtower29_CHARGE_WARIMASHI</t>
    <phoneticPr fontId="2"/>
  </si>
  <si>
    <t>cst_charge_strtower29_CHARGE_TOTAL</t>
    <phoneticPr fontId="2"/>
  </si>
  <si>
    <t>cst_charge_strtower29_CHARGE__ctrl</t>
    <phoneticPr fontId="2"/>
  </si>
  <si>
    <t>棟別情報30</t>
    <rPh sb="0" eb="1">
      <t>トウ</t>
    </rPh>
    <rPh sb="1" eb="2">
      <t>ベツ</t>
    </rPh>
    <rPh sb="2" eb="4">
      <t>ジョウホウ</t>
    </rPh>
    <phoneticPr fontId="2"/>
  </si>
  <si>
    <t>cst_charge_strtower30_CHARGE</t>
    <phoneticPr fontId="2"/>
  </si>
  <si>
    <t>cst_charge_strtower30_CHARGE_WARIMASHI</t>
    <phoneticPr fontId="2"/>
  </si>
  <si>
    <t>cst_charge_strtower30_CHARGE_TOTAL</t>
    <phoneticPr fontId="2"/>
  </si>
  <si>
    <t>cst_charge_strtower30_CHARGE__ctrl</t>
    <phoneticPr fontId="2"/>
  </si>
  <si>
    <t>data_values_fee_detail END</t>
    <phoneticPr fontId="2"/>
  </si>
  <si>
    <t>■ 引受承諾書 ■</t>
  </si>
  <si>
    <t>日付：</t>
  </si>
  <si>
    <t>cst_shinsei_HIKIUKE_DATE__disp</t>
  </si>
  <si>
    <t>宛名：</t>
  </si>
  <si>
    <t>発行者 - 住所：</t>
  </si>
  <si>
    <t>cst_PRESENTER_ADDRESS__Hikiuke</t>
  </si>
  <si>
    <t>発行者 - 住所2：</t>
  </si>
  <si>
    <t>cst_PRESENTER_ADDRESS2__Hikiuke</t>
  </si>
  <si>
    <t>発行者 - 会社名：</t>
  </si>
  <si>
    <t>cst_PRESENTER_CORP__Hikiuke</t>
  </si>
  <si>
    <t>発行者 - 代表社名：</t>
  </si>
  <si>
    <t>"　　　　　"&amp;cst_PRESENTER_DAIHYOSYA__Hikiuke&amp;"  印"</t>
  </si>
  <si>
    <t>文言：</t>
  </si>
  <si>
    <t>"  "&amp;cst_shinsei_HIKIUKE_DATE__text&amp;"付けであった申請について、下記のとおり引き受けることを承諾します。"</t>
  </si>
  <si>
    <t>受付番号：</t>
  </si>
  <si>
    <t>cst_shinsei_UKETUKE_NO__disp</t>
  </si>
  <si>
    <t>引き受けた業務対象：</t>
  </si>
  <si>
    <t>IF(cst_shinsei_INSPECTION_TYPE="計画変更","（計画変更)","")</t>
  </si>
  <si>
    <t>交付：交付番号, 不可：非表示</t>
    <rPh sb="0" eb="2">
      <t>コウフ</t>
    </rPh>
    <rPh sb="3" eb="5">
      <t>コウフ</t>
    </rPh>
    <rPh sb="5" eb="7">
      <t>バンゴウ</t>
    </rPh>
    <rPh sb="9" eb="11">
      <t>フカ</t>
    </rPh>
    <rPh sb="12" eb="15">
      <t>ヒヒョウジ</t>
    </rPh>
    <phoneticPr fontId="2"/>
  </si>
  <si>
    <t>cst_shinsei__REPORT_ISSUE_NO</t>
    <phoneticPr fontId="2"/>
  </si>
  <si>
    <t>合格証・検査済証交付年月日</t>
    <rPh sb="0" eb="2">
      <t>ゴウカク</t>
    </rPh>
    <rPh sb="2" eb="3">
      <t>ショウ</t>
    </rPh>
    <rPh sb="4" eb="6">
      <t>ケンサ</t>
    </rPh>
    <rPh sb="6" eb="7">
      <t>ズミ</t>
    </rPh>
    <rPh sb="7" eb="8">
      <t>ショウ</t>
    </rPh>
    <rPh sb="8" eb="10">
      <t>コウフ</t>
    </rPh>
    <rPh sb="10" eb="13">
      <t>ネンガッピ</t>
    </rPh>
    <phoneticPr fontId="2"/>
  </si>
  <si>
    <t>cst_shinsei__REPORT_ISSUE_DATE</t>
    <phoneticPr fontId="2"/>
  </si>
  <si>
    <t>■ 建築基準法令による処分の概要書（第四面）</t>
    <rPh sb="2" eb="4">
      <t>ケンチク</t>
    </rPh>
    <rPh sb="4" eb="6">
      <t>キジュン</t>
    </rPh>
    <rPh sb="6" eb="8">
      <t>ホウレイ</t>
    </rPh>
    <rPh sb="11" eb="13">
      <t>ショブン</t>
    </rPh>
    <rPh sb="14" eb="17">
      <t>ガイヨウショ</t>
    </rPh>
    <rPh sb="18" eb="19">
      <t>ダイ</t>
    </rPh>
    <rPh sb="19" eb="21">
      <t>ヨンメン</t>
    </rPh>
    <phoneticPr fontId="2"/>
  </si>
  <si>
    <t>※ 通常モードの処分の概要書用</t>
    <rPh sb="2" eb="4">
      <t>ツウジョウ</t>
    </rPh>
    <rPh sb="8" eb="10">
      <t>ショブン</t>
    </rPh>
    <rPh sb="11" eb="14">
      <t>ガイヨウショ</t>
    </rPh>
    <rPh sb="14" eb="15">
      <t>ヨウ</t>
    </rPh>
    <phoneticPr fontId="2"/>
  </si>
  <si>
    <t>【1.建築確認】</t>
    <rPh sb="3" eb="5">
      <t>ケンチク</t>
    </rPh>
    <rPh sb="5" eb="7">
      <t>カクニン</t>
    </rPh>
    <phoneticPr fontId="2"/>
  </si>
  <si>
    <t>※確認時：確認番号（自分）, 計画変更時：直前の確認番号</t>
    <rPh sb="1" eb="3">
      <t>カクニン</t>
    </rPh>
    <rPh sb="3" eb="4">
      <t>ジ</t>
    </rPh>
    <rPh sb="5" eb="7">
      <t>カクニン</t>
    </rPh>
    <rPh sb="7" eb="9">
      <t>バンゴウ</t>
    </rPh>
    <rPh sb="10" eb="12">
      <t>ジブン</t>
    </rPh>
    <rPh sb="15" eb="17">
      <t>ケイカク</t>
    </rPh>
    <rPh sb="17" eb="19">
      <t>ヘンコウ</t>
    </rPh>
    <rPh sb="19" eb="20">
      <t>ジ</t>
    </rPh>
    <rPh sb="21" eb="23">
      <t>チョクゼン</t>
    </rPh>
    <rPh sb="24" eb="26">
      <t>カクニン</t>
    </rPh>
    <rPh sb="26" eb="28">
      <t>バンゴウ</t>
    </rPh>
    <phoneticPr fontId="2"/>
  </si>
  <si>
    <t>【ｲ.確認済証交付者】</t>
    <rPh sb="3" eb="5">
      <t>カクニン</t>
    </rPh>
    <rPh sb="5" eb="6">
      <t>スミ</t>
    </rPh>
    <rPh sb="6" eb="7">
      <t>ショウ</t>
    </rPh>
    <rPh sb="7" eb="9">
      <t>コウフ</t>
    </rPh>
    <rPh sb="9" eb="10">
      <t>シャ</t>
    </rPh>
    <phoneticPr fontId="2"/>
  </si>
  <si>
    <t>cst_p2_shinsei_KAKUNINZUMI_KENSAIN</t>
    <phoneticPr fontId="2"/>
  </si>
  <si>
    <t>【ﾛ.確認済証番号】</t>
    <rPh sb="3" eb="5">
      <t>カクニン</t>
    </rPh>
    <rPh sb="5" eb="6">
      <t>スミ</t>
    </rPh>
    <rPh sb="6" eb="7">
      <t>ショウ</t>
    </rPh>
    <rPh sb="7" eb="9">
      <t>バンゴウ</t>
    </rPh>
    <phoneticPr fontId="2"/>
  </si>
  <si>
    <t>cst_p2_shinsei_ISSUE_NO</t>
    <phoneticPr fontId="2"/>
  </si>
  <si>
    <t>**shinsei_owner5_CORP</t>
  </si>
  <si>
    <t>cst_shinsei_owner5_CORP</t>
  </si>
  <si>
    <t>**shinsei_owner5_NAME_KANA</t>
  </si>
  <si>
    <t>cst_shinsei_owner5_NAME_KANA</t>
  </si>
  <si>
    <t>**shinsei_owner5_POST</t>
  </si>
  <si>
    <t>cst_shinsei_owner5_POST</t>
  </si>
  <si>
    <t>**shinsei_owner5_NAME</t>
  </si>
  <si>
    <t>cst_shinsei_owner5_NAME</t>
  </si>
  <si>
    <t>**shinsei_owner5_POST_CODE</t>
  </si>
  <si>
    <t>**shinsei_owner5__address</t>
  </si>
  <si>
    <t>cst_shinsei_owner5__address</t>
  </si>
  <si>
    <t>**shinsei_owner5_TEL</t>
  </si>
  <si>
    <t>cst_shinsei_owner5_TEL</t>
  </si>
  <si>
    <t>建築主６</t>
    <rPh sb="0" eb="2">
      <t>ケンチク</t>
    </rPh>
    <rPh sb="2" eb="3">
      <t>ヌシ</t>
    </rPh>
    <phoneticPr fontId="2"/>
  </si>
  <si>
    <t>**shinsei_owner6_CORP</t>
  </si>
  <si>
    <t>cst_shinsei_owner6_CORP</t>
  </si>
  <si>
    <t>**shinsei_owner6_NAME_KANA</t>
  </si>
  <si>
    <t>cst_shinsei_owner6_NAME_KANA</t>
  </si>
  <si>
    <t>**shinsei_owner6_POST</t>
  </si>
  <si>
    <t>cst_shinsei_owner6_POST</t>
  </si>
  <si>
    <t>**shinsei_owner6_NAME</t>
  </si>
  <si>
    <t>cst_shinsei_owner6_NAME</t>
  </si>
  <si>
    <t>**shinsei_owner6_POST_CODE</t>
  </si>
  <si>
    <t>**shinsei_owner6__address</t>
  </si>
  <si>
    <t>cst_shinsei_owner6__address</t>
  </si>
  <si>
    <t>**shinsei_owner6_TEL</t>
  </si>
  <si>
    <t>cst_shinsei_owner6_TEL</t>
  </si>
  <si>
    <t>建築主７</t>
    <rPh sb="0" eb="2">
      <t>ケンチク</t>
    </rPh>
    <rPh sb="2" eb="3">
      <t>ヌシ</t>
    </rPh>
    <phoneticPr fontId="2"/>
  </si>
  <si>
    <t>**shinsei_owner7_CORP</t>
  </si>
  <si>
    <t>cst_shinsei_owner7_CORP</t>
  </si>
  <si>
    <t>**shinsei_owner7_NAME_KANA</t>
  </si>
  <si>
    <t>cst_shinsei_owner7_NAME_KANA</t>
  </si>
  <si>
    <t>**shinsei_owner7_POST</t>
  </si>
  <si>
    <t>cst_shinsei_owner7_POST</t>
  </si>
  <si>
    <t>**shinsei_owner7_NAME</t>
  </si>
  <si>
    <t>cst_shinsei_owner7_NAME</t>
  </si>
  <si>
    <t>**shinsei_owner7_POST_CODE</t>
  </si>
  <si>
    <t>**shinsei_owner7__address</t>
  </si>
  <si>
    <t>cst_shinsei_owner7__address</t>
  </si>
  <si>
    <t>**shinsei_owner7_TEL</t>
  </si>
  <si>
    <t>cst_shinsei_owner7_TEL</t>
  </si>
  <si>
    <t>建築主８</t>
    <rPh sb="0" eb="2">
      <t>ケンチク</t>
    </rPh>
    <rPh sb="2" eb="3">
      <t>ヌシ</t>
    </rPh>
    <phoneticPr fontId="2"/>
  </si>
  <si>
    <t>**shinsei_owner8_CORP</t>
  </si>
  <si>
    <t>cst_shinsei_owner8_CORP</t>
  </si>
  <si>
    <t>**shinsei_owner8_NAME_KANA</t>
  </si>
  <si>
    <t>cst_shinsei_owner8_NAME_KANA</t>
  </si>
  <si>
    <t>**shinsei_owner8_POST</t>
  </si>
  <si>
    <t>cst_shinsei_owner8_POST</t>
  </si>
  <si>
    <t>**shinsei_owner8_NAME</t>
  </si>
  <si>
    <t>cst_shinsei_owner8_NAME</t>
  </si>
  <si>
    <t>**shinsei_owner8_POST_CODE</t>
  </si>
  <si>
    <t>**shinsei_owner8__address</t>
  </si>
  <si>
    <t>cst_shinsei_owner8__address</t>
  </si>
  <si>
    <t>**shinsei_owner8_TEL</t>
  </si>
  <si>
    <t>cst_shinsei_owner8_TEL</t>
  </si>
  <si>
    <t>建築主９</t>
    <rPh sb="0" eb="2">
      <t>ケンチク</t>
    </rPh>
    <rPh sb="2" eb="3">
      <t>ヌシ</t>
    </rPh>
    <phoneticPr fontId="2"/>
  </si>
  <si>
    <t>**shinsei_owner9_CORP</t>
  </si>
  <si>
    <t>cst_shinsei_owner9_CORP</t>
  </si>
  <si>
    <t>**shinsei_owner9_NAME_KANA</t>
  </si>
  <si>
    <t>cst_shinsei_owner9_NAME_KANA</t>
  </si>
  <si>
    <t>**shinsei_owner9_POST</t>
  </si>
  <si>
    <t>cst_shinsei_owner9_POST</t>
  </si>
  <si>
    <t>**shinsei_owner9_NAME</t>
  </si>
  <si>
    <t>cst_shinsei_owner9_NAME</t>
  </si>
  <si>
    <t>**shinsei_owner9_POST_CODE</t>
  </si>
  <si>
    <t>**shinsei_owner9__address</t>
  </si>
  <si>
    <t>cst_shinsei_owner9__address</t>
  </si>
  <si>
    <t>**shinsei_owner9_TEL</t>
  </si>
  <si>
    <t>cst_shinsei_owner9_TEL</t>
  </si>
  <si>
    <t>建築主１～建築主９</t>
    <rPh sb="0" eb="2">
      <t>ケンチク</t>
    </rPh>
    <rPh sb="2" eb="3">
      <t>ヌシ</t>
    </rPh>
    <rPh sb="5" eb="7">
      <t>ケンチク</t>
    </rPh>
    <rPh sb="7" eb="8">
      <t>ヌシ</t>
    </rPh>
    <phoneticPr fontId="2"/>
  </si>
  <si>
    <t>建築主１～建築主９（様付）</t>
    <rPh sb="0" eb="2">
      <t>ケンチク</t>
    </rPh>
    <rPh sb="2" eb="3">
      <t>ヌシ</t>
    </rPh>
    <rPh sb="5" eb="7">
      <t>ケンチク</t>
    </rPh>
    <rPh sb="7" eb="8">
      <t>ヌシ</t>
    </rPh>
    <rPh sb="10" eb="11">
      <t>サマ</t>
    </rPh>
    <rPh sb="11" eb="12">
      <t>ツ</t>
    </rPh>
    <phoneticPr fontId="2"/>
  </si>
  <si>
    <t>その他の建築主数</t>
    <rPh sb="2" eb="3">
      <t>タ</t>
    </rPh>
    <rPh sb="4" eb="6">
      <t>ケンチク</t>
    </rPh>
    <rPh sb="6" eb="7">
      <t>ヌシ</t>
    </rPh>
    <rPh sb="7" eb="8">
      <t>カズ</t>
    </rPh>
    <phoneticPr fontId="2"/>
  </si>
  <si>
    <t>**owner_count</t>
    <phoneticPr fontId="2"/>
  </si>
  <si>
    <t>cst_owner_count</t>
    <phoneticPr fontId="2"/>
  </si>
  <si>
    <t>建築主を連名・一人目の表示切替</t>
    <rPh sb="0" eb="3">
      <t>ケンチクヌシ</t>
    </rPh>
    <rPh sb="4" eb="6">
      <t>レンメイ</t>
    </rPh>
    <rPh sb="7" eb="10">
      <t>ヒトリメ</t>
    </rPh>
    <rPh sb="11" eb="13">
      <t>ヒョウジ</t>
    </rPh>
    <rPh sb="13" eb="15">
      <t>キリカエ</t>
    </rPh>
    <phoneticPr fontId="2"/>
  </si>
  <si>
    <t>他の建築主の表示切替</t>
    <rPh sb="0" eb="1">
      <t>タ</t>
    </rPh>
    <rPh sb="2" eb="5">
      <t>ケンチクヌシ</t>
    </rPh>
    <rPh sb="6" eb="10">
      <t>ヒョウジキリカエ</t>
    </rPh>
    <phoneticPr fontId="2"/>
  </si>
  <si>
    <t>他の建築主（項目名）の表示切替</t>
    <rPh sb="0" eb="1">
      <t>タ</t>
    </rPh>
    <rPh sb="2" eb="5">
      <t>ケンチクヌシ</t>
    </rPh>
    <rPh sb="6" eb="9">
      <t>コウモクメイ</t>
    </rPh>
    <rPh sb="11" eb="15">
      <t>ヒョウジキリカエ</t>
    </rPh>
    <phoneticPr fontId="2"/>
  </si>
  <si>
    <t>代理者</t>
    <phoneticPr fontId="2"/>
  </si>
  <si>
    <t>【ｲ.資格】</t>
    <phoneticPr fontId="2"/>
  </si>
  <si>
    <t>-資格</t>
    <phoneticPr fontId="2"/>
  </si>
  <si>
    <t>cst_shinsei_DAIRI_SIKAKU</t>
    <phoneticPr fontId="2"/>
  </si>
  <si>
    <t>-登録</t>
    <phoneticPr fontId="2"/>
  </si>
  <si>
    <t>cst_shinsei_DAIRI_TOUROKU_KIKAN</t>
    <phoneticPr fontId="2"/>
  </si>
  <si>
    <t>-許可番号</t>
    <phoneticPr fontId="2"/>
  </si>
  <si>
    <t>cst_shinsei_DAIRI_KENSETUSI_NO</t>
    <phoneticPr fontId="2"/>
  </si>
  <si>
    <t>【ﾛ.氏名】</t>
    <phoneticPr fontId="2"/>
  </si>
  <si>
    <t>**shinsei_DAIRI_NAME</t>
  </si>
  <si>
    <t>cst_shinsei_DAIRI_NAME</t>
    <phoneticPr fontId="2"/>
  </si>
  <si>
    <t>【建築士事務所資格】</t>
    <phoneticPr fontId="2"/>
  </si>
  <si>
    <t>cst_shinsei_DAIRI_JIMU_SIKAKU</t>
    <phoneticPr fontId="2"/>
  </si>
  <si>
    <t>cst_shinsei_DAIRI_JIMU_TOUROKU_KIKAN</t>
    <phoneticPr fontId="2"/>
  </si>
  <si>
    <t>cst_shinsei_DAIRI_JIMU_NO</t>
    <phoneticPr fontId="2"/>
  </si>
  <si>
    <t>【ﾊ.建築士事務所名】</t>
    <phoneticPr fontId="2"/>
  </si>
  <si>
    <t>**shinsei_DAIRI_JIMU_NAME</t>
  </si>
  <si>
    <t>cst_shinsei_DAIRI_JIMU_NAME</t>
    <phoneticPr fontId="2"/>
  </si>
  <si>
    <t>【ﾆ.郵便番号】</t>
    <phoneticPr fontId="2"/>
  </si>
  <si>
    <t>cst_shinsei_DAIRI_POST_CODE</t>
    <phoneticPr fontId="2"/>
  </si>
  <si>
    <t>【ﾎ.所在地】</t>
    <phoneticPr fontId="2"/>
  </si>
  <si>
    <t>**shinsei_DAIRI__address</t>
  </si>
  <si>
    <t>cst_shinsei_DAIRI__address</t>
    <phoneticPr fontId="2"/>
  </si>
  <si>
    <t>【ﾍ.電話番号】</t>
    <phoneticPr fontId="2"/>
  </si>
  <si>
    <t>**shinsei_DAIRI_TEL</t>
  </si>
  <si>
    <t>cst_shinsei_DAIRI_TEL</t>
    <phoneticPr fontId="2"/>
  </si>
  <si>
    <t>【ﾄ.ﾌｧｯｸｽ番号】</t>
    <phoneticPr fontId="2"/>
  </si>
  <si>
    <t>cst_shinsei_DAIRI_FAX</t>
    <phoneticPr fontId="2"/>
  </si>
  <si>
    <t>代理者　会社名+氏名を表示</t>
    <rPh sb="0" eb="2">
      <t>ダイリ</t>
    </rPh>
    <rPh sb="2" eb="3">
      <t>シャ</t>
    </rPh>
    <rPh sb="4" eb="7">
      <t>カイシャメイ</t>
    </rPh>
    <rPh sb="8" eb="10">
      <t>シメイ</t>
    </rPh>
    <rPh sb="11" eb="13">
      <t>ヒョウジ</t>
    </rPh>
    <phoneticPr fontId="2"/>
  </si>
  <si>
    <t>cst_shinsei_DAIRI_JIMU_NAME_all</t>
    <phoneticPr fontId="2"/>
  </si>
  <si>
    <t>代理者2</t>
    <phoneticPr fontId="2"/>
  </si>
  <si>
    <t>cst_shinsei_dairi02_SIKAKU</t>
    <phoneticPr fontId="2"/>
  </si>
  <si>
    <t>cst_shinsei_dairi02_TOUROKU_KIKAN</t>
  </si>
  <si>
    <t>cst_shinsei_dairi02_KENSETUSI_NO</t>
    <phoneticPr fontId="2"/>
  </si>
  <si>
    <t>cst_shinsei_dairi02_NAME</t>
    <phoneticPr fontId="2"/>
  </si>
  <si>
    <t>cst_shinsei_dairi02_JIMU_SIKAKU</t>
    <phoneticPr fontId="2"/>
  </si>
  <si>
    <t>cst_shinsei_dairi02_JIMU_TOUROKU_KIKAN</t>
    <phoneticPr fontId="2"/>
  </si>
  <si>
    <t>cst_shinsei_dairi02_JIMU_NO</t>
    <phoneticPr fontId="2"/>
  </si>
  <si>
    <t>**shinsei_dairi02_JIMU_NAME</t>
  </si>
  <si>
    <t>cst_shinsei_dairi02_JIMU_NAME</t>
    <phoneticPr fontId="2"/>
  </si>
  <si>
    <t>cst_shinsei_dairi02_POST_CODE</t>
    <phoneticPr fontId="2"/>
  </si>
  <si>
    <t>cst_shinsei_dairi02__address</t>
    <phoneticPr fontId="2"/>
  </si>
  <si>
    <t>cst_shinsei_dairi02_TEL</t>
    <phoneticPr fontId="2"/>
  </si>
  <si>
    <t>**shinsei_dairi02_FAX</t>
  </si>
  <si>
    <t>cst_shinsei_dairi02_FAX</t>
    <phoneticPr fontId="2"/>
  </si>
  <si>
    <t>代理者3</t>
    <phoneticPr fontId="2"/>
  </si>
  <si>
    <t>**shinsei_dairi03_SIKAKU</t>
  </si>
  <si>
    <t>cst_shinsei_dairi03_SIKAKU</t>
  </si>
  <si>
    <t>**shinsei_dairi03_TOUROKU_KIKAN</t>
  </si>
  <si>
    <t>cst_shinsei_dairi03_TOUROKU_KIKAN</t>
  </si>
  <si>
    <t>**shinsei_dairi03_KENSETUSI_NO</t>
  </si>
  <si>
    <t>cst_shinsei_dairi03_KENSETUSI_NO</t>
  </si>
  <si>
    <t>**shinsei_dairi03_NAME</t>
  </si>
  <si>
    <t>cst_shinsei_dairi03_NAME</t>
  </si>
  <si>
    <t>**shinsei_dairi03_JIMU_SIKAKU</t>
  </si>
  <si>
    <t>cst_shinsei_dairi03_JIMU_SIKAKU</t>
  </si>
  <si>
    <t>**shinsei_dairi03_JIMU_TOUROKU_KIKAN</t>
  </si>
  <si>
    <t>cst_shinsei_dairi03_JIMU_TOUROKU_KIKAN</t>
  </si>
  <si>
    <t>-許可番号</t>
    <phoneticPr fontId="2"/>
  </si>
  <si>
    <t>**shinsei_dairi03_JIMU_NO</t>
  </si>
  <si>
    <t>cst_shinsei_dairi03_JIMU_NO</t>
  </si>
  <si>
    <t>**shinsei_dairi03_JIMU_NAME</t>
  </si>
  <si>
    <t>cst_shinsei_dairi03_JIMU_NAME</t>
  </si>
  <si>
    <t>【ﾆ.郵便番号】</t>
    <phoneticPr fontId="2"/>
  </si>
  <si>
    <t>**shinsei_dairi03_POST_CODE</t>
  </si>
  <si>
    <t>cst_shinsei_dairi03_POST_CODE</t>
  </si>
  <si>
    <t>【ﾎ.所在地】</t>
    <phoneticPr fontId="2"/>
  </si>
  <si>
    <t>**shinsei_dairi03__address</t>
  </si>
  <si>
    <t>cst_shinsei_dairi03__address</t>
  </si>
  <si>
    <t>【ﾍ.電話番号】</t>
    <phoneticPr fontId="2"/>
  </si>
  <si>
    <t>**shinsei_dairi03_TEL</t>
  </si>
  <si>
    <t>cst_shinsei_dairi03_TEL</t>
  </si>
  <si>
    <t>**shinsei_dairi03_FAX</t>
  </si>
  <si>
    <t>cst_shinsei_dairi03_FAX</t>
  </si>
  <si>
    <t>代理者4</t>
    <phoneticPr fontId="2"/>
  </si>
  <si>
    <t>【ｲ.資格】</t>
    <phoneticPr fontId="2"/>
  </si>
  <si>
    <t>-資格</t>
    <phoneticPr fontId="2"/>
  </si>
  <si>
    <t>**shinsei_dairi04_SIKAKU</t>
  </si>
  <si>
    <t>cst_shinsei_dairi04_SIKAKU</t>
  </si>
  <si>
    <t>-登録</t>
    <phoneticPr fontId="2"/>
  </si>
  <si>
    <t>**shinsei_dairi04_TOUROKU_KIKAN</t>
  </si>
  <si>
    <t>cst_shinsei_dairi04_TOUROKU_KIKAN</t>
  </si>
  <si>
    <t>-許可番号</t>
    <phoneticPr fontId="2"/>
  </si>
  <si>
    <t>**shinsei_dairi04_KENSETUSI_NO</t>
  </si>
  <si>
    <t>cst_shinsei_dairi04_KENSETUSI_NO</t>
  </si>
  <si>
    <t>**shinsei_dairi04_NAME</t>
  </si>
  <si>
    <t>cst_shinsei_dairi04_NAME</t>
  </si>
  <si>
    <t>**shinsei_dairi04_JIMU_SIKAKU</t>
  </si>
  <si>
    <t>cst_shinsei_dairi04_JIMU_SIKAKU</t>
  </si>
  <si>
    <t>-登録</t>
    <phoneticPr fontId="2"/>
  </si>
  <si>
    <t>**shinsei_dairi04_JIMU_TOUROKU_KIKAN</t>
  </si>
  <si>
    <t>cst_shinsei_dairi04_JIMU_TOUROKU_KIKAN</t>
  </si>
  <si>
    <t>**shinsei_dairi04_JIMU_NO</t>
  </si>
  <si>
    <t>cst_shinsei_dairi04_JIMU_NO</t>
  </si>
  <si>
    <t>**shinsei_dairi04_JIMU_NAME</t>
  </si>
  <si>
    <t>cst_shinsei_dairi04_JIMU_NAME</t>
  </si>
  <si>
    <t>【ﾆ.郵便番号】</t>
    <phoneticPr fontId="2"/>
  </si>
  <si>
    <t>**shinsei_dairi04_POST_CODE</t>
  </si>
  <si>
    <t>cst_shinsei_dairi04_POST_CODE</t>
  </si>
  <si>
    <t>**shinsei_dairi04__address</t>
  </si>
  <si>
    <t>cst_shinsei_dairi04__address</t>
  </si>
  <si>
    <t>【ﾍ.電話番号】</t>
    <phoneticPr fontId="2"/>
  </si>
  <si>
    <t>**shinsei_dairi04_TEL</t>
  </si>
  <si>
    <t>cst_shinsei_dairi04_TEL</t>
  </si>
  <si>
    <t>【ﾄ.ﾌｧｯｸｽ番号】</t>
    <phoneticPr fontId="2"/>
  </si>
  <si>
    <t>**shinsei_dairi04_FAX</t>
  </si>
  <si>
    <t>cst_shinsei_dairi04_FAX</t>
  </si>
  <si>
    <t>代理者5</t>
    <phoneticPr fontId="2"/>
  </si>
  <si>
    <t>【ｲ.資格】</t>
    <phoneticPr fontId="2"/>
  </si>
  <si>
    <t>-資格</t>
    <phoneticPr fontId="2"/>
  </si>
  <si>
    <t>**shinsei_dairi05_SIKAKU</t>
  </si>
  <si>
    <t>cst_shinsei_dairi05_SIKAKU</t>
  </si>
  <si>
    <t>-登録</t>
    <phoneticPr fontId="2"/>
  </si>
  <si>
    <t>**shinsei_dairi05_TOUROKU_KIKAN</t>
  </si>
  <si>
    <t>cst_shinsei_dairi05_TOUROKU_KIKAN</t>
  </si>
  <si>
    <t>-許可番号</t>
    <phoneticPr fontId="2"/>
  </si>
  <si>
    <t>**shinsei_dairi05_KENSETUSI_NO</t>
  </si>
  <si>
    <t>cst_shinsei_dairi05_KENSETUSI_NO</t>
  </si>
  <si>
    <t>【ﾛ.氏名】</t>
    <phoneticPr fontId="2"/>
  </si>
  <si>
    <t>**shinsei_dairi05_NAME</t>
  </si>
  <si>
    <t>cst_shinsei_dairi05_NAME</t>
  </si>
  <si>
    <t>**shinsei_dairi05_JIMU_SIKAKU</t>
  </si>
  <si>
    <t>cst_shinsei_dairi05_JIMU_SIKAKU</t>
  </si>
  <si>
    <t>-登録</t>
    <phoneticPr fontId="2"/>
  </si>
  <si>
    <t>**shinsei_dairi05_JIMU_TOUROKU_KIKAN</t>
  </si>
  <si>
    <t>cst_shinsei_dairi05_JIMU_TOUROKU_KIKAN</t>
  </si>
  <si>
    <t>**shinsei_dairi05_JIMU_NO</t>
  </si>
  <si>
    <t>cst_shinsei_dairi05_JIMU_NO</t>
  </si>
  <si>
    <t>【ﾊ.建築士事務所名】</t>
    <phoneticPr fontId="2"/>
  </si>
  <si>
    <t>**shinsei_dairi05_JIMU_NAME</t>
  </si>
  <si>
    <t>cst_shinsei_dairi05_JIMU_NAME</t>
  </si>
  <si>
    <t>**shinsei_dairi05_POST_CODE</t>
  </si>
  <si>
    <t>cst_shinsei_dairi05_POST_CODE</t>
  </si>
  <si>
    <t>**shinsei_dairi05__address</t>
  </si>
  <si>
    <t>cst_shinsei_dairi05__address</t>
  </si>
  <si>
    <t>**shinsei_dairi05_TEL</t>
  </si>
  <si>
    <t>cst_shinsei_dairi05_TEL</t>
  </si>
  <si>
    <t>**shinsei_dairi05_FAX</t>
  </si>
  <si>
    <t>cst_shinsei_dairi05_FAX</t>
  </si>
  <si>
    <t>設計者</t>
    <rPh sb="0" eb="3">
      <t>セッケイシャ</t>
    </rPh>
    <phoneticPr fontId="2"/>
  </si>
  <si>
    <t>代表となる設計者</t>
    <rPh sb="0" eb="2">
      <t>ダイヒョウ</t>
    </rPh>
    <rPh sb="5" eb="8">
      <t>セッケイシャ</t>
    </rPh>
    <phoneticPr fontId="2"/>
  </si>
  <si>
    <t>cst_shinsei_SEKKEI_SIKAKU</t>
    <phoneticPr fontId="2"/>
  </si>
  <si>
    <t>-登録</t>
    <phoneticPr fontId="2"/>
  </si>
  <si>
    <t>**shinsei_SEKKEI_TOUROKU_KIKAN</t>
  </si>
  <si>
    <t>cst_shinsei_SEKKEI_TOUROKU_KIKAN</t>
    <phoneticPr fontId="2"/>
  </si>
  <si>
    <t>-許可番号</t>
    <phoneticPr fontId="2"/>
  </si>
  <si>
    <t>cst_shinsei_SEKKEI_KENSETUSI_NO</t>
    <phoneticPr fontId="2"/>
  </si>
  <si>
    <t>【ﾛ.氏名】</t>
    <phoneticPr fontId="2"/>
  </si>
  <si>
    <t>cst_shinsei_SEKKEI_NAME</t>
    <phoneticPr fontId="2"/>
  </si>
  <si>
    <t>【建築士事務所資格】</t>
    <phoneticPr fontId="2"/>
  </si>
  <si>
    <t>-資格</t>
    <phoneticPr fontId="2"/>
  </si>
  <si>
    <t>cst_shinsei_SEKKEI_JIMU_SIKAKU</t>
    <phoneticPr fontId="2"/>
  </si>
  <si>
    <t>-登録</t>
    <phoneticPr fontId="2"/>
  </si>
  <si>
    <t>cst_shinsei_SEKKEI_JIMU_TOUROKU_KIKAN</t>
    <phoneticPr fontId="2"/>
  </si>
  <si>
    <t>**shinsei_SEKKEI_JIMU_NO</t>
  </si>
  <si>
    <t>cst_shinsei_SEKKEI_JIMU_NO</t>
    <phoneticPr fontId="2"/>
  </si>
  <si>
    <t>【ﾊ.建築士事務所名】</t>
    <phoneticPr fontId="2"/>
  </si>
  <si>
    <t>cst_shinsei_SEKKEI_JIMU_NAME</t>
    <phoneticPr fontId="2"/>
  </si>
  <si>
    <t>【ﾆ.郵便番号】</t>
    <phoneticPr fontId="2"/>
  </si>
  <si>
    <t>cst_shinsei_SEKKEI_POST_CODE</t>
    <phoneticPr fontId="2"/>
  </si>
  <si>
    <t>【ﾎ.所在地】</t>
    <phoneticPr fontId="2"/>
  </si>
  <si>
    <t>cst_shinsei_SEKKEI__address</t>
    <phoneticPr fontId="2"/>
  </si>
  <si>
    <t>【ﾍ.電話番号】</t>
    <phoneticPr fontId="2"/>
  </si>
  <si>
    <t>cst_shinsei_SEKKEI_TEL</t>
    <phoneticPr fontId="2"/>
  </si>
  <si>
    <t>その他の設計者1</t>
    <rPh sb="2" eb="3">
      <t>タ</t>
    </rPh>
    <rPh sb="4" eb="7">
      <t>セッケイシャ</t>
    </rPh>
    <phoneticPr fontId="2"/>
  </si>
  <si>
    <t>【ｲ.資格】</t>
    <phoneticPr fontId="2"/>
  </si>
  <si>
    <t>**shinsei_SEKKEI1_SIKAKU</t>
  </si>
  <si>
    <t>cst_shinsei_SEKKEI1_SIKAKU</t>
  </si>
  <si>
    <t>**shinsei_SEKKEI1_TOUROKU_KIKAN</t>
  </si>
  <si>
    <t>cst_shinsei_SEKKEI1_TOUROKU_KIKAN</t>
  </si>
  <si>
    <t>**shinsei_SEKKEI1_KENSETUSI_NO</t>
  </si>
  <si>
    <t>cst_shinsei_SEKKEI1_KENSETUSI_NO</t>
  </si>
  <si>
    <t>**shinsei_SEKKEI1_NAME</t>
  </si>
  <si>
    <t>cst_shinsei_SEKKEI1_NAME</t>
  </si>
  <si>
    <t>**shinsei_SEKKEI1_JIMU_SIKAKU</t>
  </si>
  <si>
    <t>cst_shinsei_SEKKEI1_JIMU_SIKAKU</t>
  </si>
  <si>
    <t>**shinsei_SEKKEI1_JIMU_TOUROKU_KIKAN</t>
  </si>
  <si>
    <t>cst_shinsei_SEKKEI1_JIMU_TOUROKU_KIKAN</t>
  </si>
  <si>
    <t>-許可番号</t>
    <phoneticPr fontId="2"/>
  </si>
  <si>
    <t>**shinsei_SEKKEI1_JIMU_NO</t>
  </si>
  <si>
    <t>cst_shinsei_SEKKEI1_JIMU_NO</t>
  </si>
  <si>
    <t>【ﾊ.建築士事務所名】</t>
    <phoneticPr fontId="2"/>
  </si>
  <si>
    <t>**shinsei_SEKKEI1_JIMU_NAME</t>
  </si>
  <si>
    <t>cst_shinsei_SEKKEI1_JIMU_NAME</t>
  </si>
  <si>
    <t>【ﾆ.郵便番号】</t>
    <phoneticPr fontId="2"/>
  </si>
  <si>
    <t>**shinsei_SEKKEI1_POST_CODE</t>
  </si>
  <si>
    <t>cst_shinsei_SEKKEI1_POST_CODE</t>
  </si>
  <si>
    <t>【ﾎ.所在地】</t>
    <phoneticPr fontId="2"/>
  </si>
  <si>
    <t>**shinsei_SEKKEI1__address</t>
  </si>
  <si>
    <t>cst_shinsei_SEKKEI1__address</t>
  </si>
  <si>
    <t>**shinsei_SEKKEI1_TEL</t>
  </si>
  <si>
    <t>cst_shinsei_SEKKEI1_TEL</t>
  </si>
  <si>
    <t>その他の設計者2</t>
    <rPh sb="2" eb="3">
      <t>タ</t>
    </rPh>
    <rPh sb="4" eb="7">
      <t>セッケイシャ</t>
    </rPh>
    <phoneticPr fontId="2"/>
  </si>
  <si>
    <t>**shinsei_SEKKEI2_SIKAKU</t>
  </si>
  <si>
    <t>cst_shinsei_SEKKEI2_SIKAKU</t>
  </si>
  <si>
    <t>**shinsei_SEKKEI2_TOUROKU_KIKAN</t>
  </si>
  <si>
    <t>cst_shinsei_SEKKEI2_TOUROKU_KIKAN</t>
  </si>
  <si>
    <t>**shinsei_SEKKEI2_KENSETUSI_NO</t>
  </si>
  <si>
    <t>cst_shinsei_SEKKEI2_KENSETUSI_NO</t>
  </si>
  <si>
    <t>**shinsei_SEKKEI2_NAME</t>
  </si>
  <si>
    <t>cst_shinsei_SEKKEI2_NAME</t>
  </si>
  <si>
    <t>【建築士事務所資格】</t>
    <phoneticPr fontId="2"/>
  </si>
  <si>
    <t>-資格</t>
    <phoneticPr fontId="2"/>
  </si>
  <si>
    <t>**shinsei_SEKKEI2_JIMU_SIKAKU</t>
  </si>
  <si>
    <t>cst_shinsei_SEKKEI2_JIMU_SIKAKU</t>
  </si>
  <si>
    <t>**shinsei_SEKKEI2_JIMU_TOUROKU_KIKAN</t>
  </si>
  <si>
    <t>cst_shinsei_SEKKEI2_JIMU_TOUROKU_KIKAN</t>
  </si>
  <si>
    <t>-許可番号</t>
    <phoneticPr fontId="2"/>
  </si>
  <si>
    <t>**shinsei_SEKKEI2_JIMU_NO</t>
  </si>
  <si>
    <t>cst_shinsei_SEKKEI2_JIMU_NO</t>
  </si>
  <si>
    <t>**shinsei_SEKKEI2_JIMU_NAME</t>
  </si>
  <si>
    <t>cst_shinsei_SEKKEI2_JIMU_NAME</t>
  </si>
  <si>
    <t>**shinsei_SEKKEI2_POST_CODE</t>
  </si>
  <si>
    <t>cst_shinsei_SEKKEI2_POST_CODE</t>
  </si>
  <si>
    <t>**shinsei_SEKKEI2__address</t>
  </si>
  <si>
    <t>cst_shinsei_SEKKEI2__address</t>
  </si>
  <si>
    <t>**shinsei_SEKKEI2_TEL</t>
  </si>
  <si>
    <t>cst_shinsei_SEKKEI2_TEL</t>
  </si>
  <si>
    <t>その他の設計者3</t>
    <rPh sb="2" eb="3">
      <t>タ</t>
    </rPh>
    <rPh sb="4" eb="7">
      <t>セッケイシャ</t>
    </rPh>
    <phoneticPr fontId="2"/>
  </si>
  <si>
    <t>**shinsei_SEKKEI3_SIKAKU</t>
  </si>
  <si>
    <t>cst_shinsei_SEKKEI3_SIKAKU</t>
  </si>
  <si>
    <t>**shinsei_SEKKEI3_TOUROKU_KIKAN</t>
  </si>
  <si>
    <t>cst_shinsei_SEKKEI3_TOUROKU_KIKAN</t>
  </si>
  <si>
    <t>**shinsei_SEKKEI3_KENSETUSI_NO</t>
  </si>
  <si>
    <t>cst_shinsei_SEKKEI3_KENSETUSI_NO</t>
  </si>
  <si>
    <t>**shinsei_SEKKEI3_NAME</t>
  </si>
  <si>
    <t>cst_shinsei_SEKKEI3_NAME</t>
  </si>
  <si>
    <t>**shinsei_SEKKEI3_JIMU_SIKAKU</t>
  </si>
  <si>
    <t>cst_shinsei_SEKKEI3_JIMU_SIKAKU</t>
  </si>
  <si>
    <t>**shinsei_SEKKEI3_JIMU_TOUROKU_KIKAN</t>
  </si>
  <si>
    <t>cst_shinsei_SEKKEI3_JIMU_TOUROKU_KIKAN</t>
  </si>
  <si>
    <t>**shinsei_SEKKEI3_JIMU_NO</t>
  </si>
  <si>
    <t>cst_shinsei_SEKKEI3_JIMU_NO</t>
  </si>
  <si>
    <t>**shinsei_SEKKEI3_JIMU_NAME</t>
  </si>
  <si>
    <t>cst_shinsei_SEKKEI3_JIMU_NAME</t>
  </si>
  <si>
    <t>**shinsei_SEKKEI3_POST_CODE</t>
  </si>
  <si>
    <t>cst_shinsei_SEKKEI3_POST_CODE</t>
  </si>
  <si>
    <t>**shinsei_SEKKEI3__address</t>
  </si>
  <si>
    <t>cst_shinsei_SEKKEI3__address</t>
  </si>
  <si>
    <t>**shinsei_SEKKEI3_TEL</t>
  </si>
  <si>
    <t>cst_shinsei_SEKKEI3_TEL</t>
  </si>
  <si>
    <t>その他の設計者4</t>
    <rPh sb="2" eb="3">
      <t>タ</t>
    </rPh>
    <rPh sb="4" eb="7">
      <t>セッケイシャ</t>
    </rPh>
    <phoneticPr fontId="2"/>
  </si>
  <si>
    <t>**shinsei_sekkei04_SIKAKU</t>
  </si>
  <si>
    <t>cst_shinsei_sekkei04_SIKAKU</t>
  </si>
  <si>
    <t>**shinsei_sekkei04_TOUROKU_KIKAN</t>
  </si>
  <si>
    <t>cst_shinsei_sekkei04_TOUROKU_KIKAN</t>
  </si>
  <si>
    <t>**shinsei_sekkei04_KENSETUSI_NO</t>
  </si>
  <si>
    <t>cst_shinsei_sekkei04_KENSETUSI_NO</t>
  </si>
  <si>
    <t>【ﾛ.氏名】</t>
    <phoneticPr fontId="2"/>
  </si>
  <si>
    <t>**shinsei_sekkei04_NAME</t>
  </si>
  <si>
    <t>cst_shinsei_sekkei04_NAME</t>
  </si>
  <si>
    <t>【建築士事務所資格】</t>
    <phoneticPr fontId="2"/>
  </si>
  <si>
    <t>-資格</t>
    <phoneticPr fontId="2"/>
  </si>
  <si>
    <t>**shinsei_sekkei04_JIMU_SIKAKU</t>
  </si>
  <si>
    <t>cst_shinsei_sekkei04_JIMU_SIKAKU</t>
  </si>
  <si>
    <t>**shinsei_sekkei04_JIMU_TOUROKU_KIKAN</t>
  </si>
  <si>
    <t>cst_shinsei_sekkei04_JIMU_TOUROKU_KIKAN</t>
  </si>
  <si>
    <t>-許可番号</t>
    <phoneticPr fontId="2"/>
  </si>
  <si>
    <t>**shinsei_sekkei04_JIMU_NO</t>
  </si>
  <si>
    <t>cst_shinsei_sekkei04_JIMU_NO</t>
  </si>
  <si>
    <t>**shinsei_sekkei04_JIMU_NAME</t>
  </si>
  <si>
    <t>cst_shinsei_sekkei04_JIMU_NAME</t>
  </si>
  <si>
    <t>【ﾆ.郵便番号】</t>
    <phoneticPr fontId="2"/>
  </si>
  <si>
    <t>**shinsei_sekkei04_POST_CODE</t>
  </si>
  <si>
    <t>cst_shinsei_sekkei04_POST_CODE</t>
  </si>
  <si>
    <t>**shinsei_sekkei04__address</t>
  </si>
  <si>
    <t>cst_shinsei_sekkei04__address</t>
  </si>
  <si>
    <t>【ﾍ.電話番号】</t>
    <phoneticPr fontId="2"/>
  </si>
  <si>
    <t>**shinsei_sekkei04_TEL</t>
  </si>
  <si>
    <t>cst_shinsei_sekkei04_TEL</t>
  </si>
  <si>
    <t>その他の設計者5</t>
    <rPh sb="2" eb="3">
      <t>タ</t>
    </rPh>
    <rPh sb="4" eb="7">
      <t>セッケイシャ</t>
    </rPh>
    <phoneticPr fontId="2"/>
  </si>
  <si>
    <t>【ｲ.資格】</t>
    <phoneticPr fontId="2"/>
  </si>
  <si>
    <t>-資格</t>
    <phoneticPr fontId="2"/>
  </si>
  <si>
    <t>**shinsei_sekkei05_SIKAKU</t>
  </si>
  <si>
    <t>cst_shinsei_sekkei05_SIKAKU</t>
  </si>
  <si>
    <t>**shinsei_sekkei05_TOUROKU_KIKAN</t>
  </si>
  <si>
    <t>cst_shinsei_sekkei05_TOUROKU_KIKAN</t>
  </si>
  <si>
    <t>-許可番号</t>
    <phoneticPr fontId="2"/>
  </si>
  <si>
    <t>**shinsei_sekkei05_KENSETUSI_NO</t>
  </si>
  <si>
    <t>cst_shinsei_sekkei05_KENSETUSI_NO</t>
  </si>
  <si>
    <t>【ﾛ.氏名】</t>
    <phoneticPr fontId="2"/>
  </si>
  <si>
    <t>**shinsei_sekkei05_NAME</t>
  </si>
  <si>
    <t>cst_shinsei_sekkei05_NAME</t>
  </si>
  <si>
    <t>【建築士事務所資格】</t>
    <phoneticPr fontId="2"/>
  </si>
  <si>
    <t>**shinsei_sekkei05_JIMU_SIKAKU</t>
  </si>
  <si>
    <t>cst_shinsei_sekkei05_JIMU_SIKAKU</t>
  </si>
  <si>
    <t>**shinsei_sekkei05_JIMU_TOUROKU_KIKAN</t>
  </si>
  <si>
    <t>cst_shinsei_sekkei05_JIMU_TOUROKU_KIKAN</t>
  </si>
  <si>
    <t>**shinsei_sekkei05_JIMU_NO</t>
  </si>
  <si>
    <t>cst_shinsei_sekkei05_JIMU_NO</t>
  </si>
  <si>
    <t>**shinsei_sekkei05_JIMU_NAME</t>
  </si>
  <si>
    <t>cst_shinsei_sekkei05_JIMU_NAME</t>
  </si>
  <si>
    <t>【ﾆ.郵便番号】</t>
    <phoneticPr fontId="2"/>
  </si>
  <si>
    <t>**shinsei_sekkei05_POST_CODE</t>
  </si>
  <si>
    <t>cst_shinsei_sekkei05_POST_CODE</t>
  </si>
  <si>
    <t>**shinsei_sekkei05__address</t>
  </si>
  <si>
    <t>cst_shinsei_sekkei05__address</t>
  </si>
  <si>
    <t>**shinsei_sekkei05_TEL</t>
  </si>
  <si>
    <t>cst_shinsei_sekkei05_TEL</t>
  </si>
  <si>
    <t>その他の設計者6</t>
    <rPh sb="2" eb="3">
      <t>タ</t>
    </rPh>
    <rPh sb="4" eb="7">
      <t>セッケイシャ</t>
    </rPh>
    <phoneticPr fontId="2"/>
  </si>
  <si>
    <t>**shinsei_sekkei06_SIKAKU</t>
  </si>
  <si>
    <t>cst_shinsei_sekkei06_SIKAKU</t>
  </si>
  <si>
    <t>**shinsei_sekkei06_TOUROKU_KIKAN</t>
  </si>
  <si>
    <t>cst_shinsei_sekkei06_TOUROKU_KIKAN</t>
  </si>
  <si>
    <t>-許可番号</t>
    <phoneticPr fontId="2"/>
  </si>
  <si>
    <t>**shinsei_sekkei06_KENSETUSI_NO</t>
  </si>
  <si>
    <t>cst_shinsei_sekkei06_KENSETUSI_NO</t>
  </si>
  <si>
    <t>**shinsei_sekkei06_NAME</t>
  </si>
  <si>
    <t>cst_shinsei_sekkei06_NAME</t>
  </si>
  <si>
    <t>**shinsei_sekkei06_JIMU_SIKAKU</t>
  </si>
  <si>
    <t>cst_shinsei_sekkei06_JIMU_SIKAKU</t>
  </si>
  <si>
    <t>-登録</t>
    <phoneticPr fontId="2"/>
  </si>
  <si>
    <t>**shinsei_sekkei06_JIMU_TOUROKU_KIKAN</t>
  </si>
  <si>
    <t>cst_shinsei_sekkei06_JIMU_TOUROKU_KIKAN</t>
  </si>
  <si>
    <t>-許可番号</t>
    <phoneticPr fontId="2"/>
  </si>
  <si>
    <t>**shinsei_sekkei06_JIMU_NO</t>
  </si>
  <si>
    <t>cst_shinsei_sekkei06_JIMU_NO</t>
  </si>
  <si>
    <t>**shinsei_sekkei06_JIMU_NAME</t>
  </si>
  <si>
    <t>cst_shinsei_sekkei06_JIMU_NAME</t>
  </si>
  <si>
    <t>**shinsei_sekkei06_POST_CODE</t>
  </si>
  <si>
    <t>cst_shinsei_sekkei06_POST_CODE</t>
  </si>
  <si>
    <t>【ﾎ.所在地】</t>
    <phoneticPr fontId="2"/>
  </si>
  <si>
    <t>**shinsei_sekkei06__address</t>
  </si>
  <si>
    <t>cst_shinsei_sekkei06__address</t>
  </si>
  <si>
    <t>【ﾍ.電話番号】</t>
    <phoneticPr fontId="2"/>
  </si>
  <si>
    <t>**shinsei_sekkei06_TEL</t>
  </si>
  <si>
    <t>cst_shinsei_sekkei06_TEL</t>
  </si>
  <si>
    <t>その他の設計者7</t>
    <rPh sb="2" eb="3">
      <t>タ</t>
    </rPh>
    <rPh sb="4" eb="7">
      <t>セッケイシャ</t>
    </rPh>
    <phoneticPr fontId="2"/>
  </si>
  <si>
    <t>【ｲ.資格】</t>
    <phoneticPr fontId="2"/>
  </si>
  <si>
    <t>-資格</t>
    <phoneticPr fontId="2"/>
  </si>
  <si>
    <t>**shinsei_sekkei07_SIKAKU</t>
  </si>
  <si>
    <t>cst_shinsei_sekkei07_SIKAKU</t>
  </si>
  <si>
    <t>-登録</t>
    <phoneticPr fontId="2"/>
  </si>
  <si>
    <t>**shinsei_sekkei07_TOUROKU_KIKAN</t>
  </si>
  <si>
    <t>cst_shinsei_sekkei07_TOUROKU_KIKAN</t>
  </si>
  <si>
    <t>**shinsei_sekkei07_KENSETUSI_NO</t>
  </si>
  <si>
    <t>cst_shinsei_sekkei07_KENSETUSI_NO</t>
  </si>
  <si>
    <t>**shinsei_sekkei07_NAME</t>
  </si>
  <si>
    <t>cst_shinsei_sekkei07_NAME</t>
  </si>
  <si>
    <t>【建築士事務所資格】</t>
    <phoneticPr fontId="2"/>
  </si>
  <si>
    <t>-資格</t>
    <phoneticPr fontId="2"/>
  </si>
  <si>
    <t>**shinsei_sekkei07_JIMU_SIKAKU</t>
  </si>
  <si>
    <t>cst_shinsei_sekkei07_JIMU_SIKAKU</t>
  </si>
  <si>
    <t>**shinsei_sekkei07_JIMU_TOUROKU_KIKAN</t>
  </si>
  <si>
    <t>cst_shinsei_sekkei07_JIMU_TOUROKU_KIKAN</t>
  </si>
  <si>
    <t>**shinsei_sekkei07_JIMU_NO</t>
  </si>
  <si>
    <t>cst_shinsei_sekkei07_JIMU_NO</t>
  </si>
  <si>
    <t>【ﾊ.建築士事務所名】</t>
    <phoneticPr fontId="2"/>
  </si>
  <si>
    <t>**shinsei_sekkei07_JIMU_NAME</t>
  </si>
  <si>
    <t>cst_shinsei_sekkei07_JIMU_NAME</t>
  </si>
  <si>
    <t>**shinsei_sekkei07_POST_CODE</t>
  </si>
  <si>
    <t>cst_shinsei_sekkei07_POST_CODE</t>
  </si>
  <si>
    <t>**shinsei_sekkei07__address</t>
  </si>
  <si>
    <t>cst_shinsei_sekkei07__address</t>
  </si>
  <si>
    <t>**shinsei_sekkei07_TEL</t>
  </si>
  <si>
    <t>cst_shinsei_sekkei07_TEL</t>
  </si>
  <si>
    <t>その他の設計者8</t>
    <rPh sb="2" eb="3">
      <t>タ</t>
    </rPh>
    <rPh sb="4" eb="7">
      <t>セッケイシャ</t>
    </rPh>
    <phoneticPr fontId="2"/>
  </si>
  <si>
    <t>**shinsei_sekkei08_SIKAKU</t>
  </si>
  <si>
    <t>cst_shinsei_sekkei08_SIKAKU</t>
  </si>
  <si>
    <t>-登録</t>
    <phoneticPr fontId="2"/>
  </si>
  <si>
    <t>**shinsei_sekkei08_TOUROKU_KIKAN</t>
  </si>
  <si>
    <t>cst_shinsei_sekkei08_TOUROKU_KIKAN</t>
  </si>
  <si>
    <t>-許可番号</t>
    <phoneticPr fontId="2"/>
  </si>
  <si>
    <t>**shinsei_sekkei08_KENSETUSI_NO</t>
  </si>
  <si>
    <t>cst_shinsei_sekkei08_KENSETUSI_NO</t>
  </si>
  <si>
    <t>**shinsei_sekkei08_NAME</t>
  </si>
  <si>
    <t>cst_shinsei_sekkei08_NAME</t>
  </si>
  <si>
    <t>**shinsei_sekkei08_JIMU_SIKAKU</t>
  </si>
  <si>
    <t>cst_shinsei_sekkei08_JIMU_SIKAKU</t>
  </si>
  <si>
    <t>**shinsei_sekkei08_JIMU_TOUROKU_KIKAN</t>
  </si>
  <si>
    <t>cst_shinsei_sekkei08_JIMU_TOUROKU_KIKAN</t>
  </si>
  <si>
    <t>-許可番号</t>
    <phoneticPr fontId="2"/>
  </si>
  <si>
    <t>**shinsei_sekkei08_JIMU_NO</t>
  </si>
  <si>
    <t>cst_shinsei_sekkei08_JIMU_NO</t>
  </si>
  <si>
    <t>**shinsei_sekkei08_JIMU_NAME</t>
  </si>
  <si>
    <t>cst_shinsei_sekkei08_JIMU_NAME</t>
  </si>
  <si>
    <t>**shinsei_sekkei08_POST_CODE</t>
  </si>
  <si>
    <t>cst_shinsei_sekkei08_POST_CODE</t>
  </si>
  <si>
    <t>【ﾎ.所在地】</t>
    <phoneticPr fontId="2"/>
  </si>
  <si>
    <t>**shinsei_sekkei08__address</t>
  </si>
  <si>
    <t>cst_shinsei_sekkei08__address</t>
  </si>
  <si>
    <t>**shinsei_sekkei08_TEL</t>
  </si>
  <si>
    <t>cst_shinsei_sekkei08_TEL</t>
  </si>
  <si>
    <t>その他の設計者9</t>
    <rPh sb="2" eb="3">
      <t>タ</t>
    </rPh>
    <rPh sb="4" eb="7">
      <t>セッケイシャ</t>
    </rPh>
    <phoneticPr fontId="2"/>
  </si>
  <si>
    <t>**shinsei_sekkei09_SIKAKU</t>
  </si>
  <si>
    <t>cst_shinsei_sekkei09_SIKAKU</t>
  </si>
  <si>
    <t>-登録</t>
    <phoneticPr fontId="2"/>
  </si>
  <si>
    <t>**shinsei_sekkei09_TOUROKU_KIKAN</t>
  </si>
  <si>
    <t>cst_shinsei_sekkei09_TOUROKU_KIKAN</t>
  </si>
  <si>
    <t>**shinsei_sekkei09_KENSETUSI_NO</t>
  </si>
  <si>
    <t>cst_shinsei_sekkei09_KENSETUSI_NO</t>
  </si>
  <si>
    <t>【ﾛ.氏名】</t>
    <phoneticPr fontId="2"/>
  </si>
  <si>
    <t>**shinsei_sekkei09_NAME</t>
  </si>
  <si>
    <t>cst_shinsei_strtuikaimposs6_STRUCT_NOTIFT_NO</t>
    <phoneticPr fontId="2"/>
  </si>
  <si>
    <t>cst_shinsei_strtuikaimposs6_STRUCT_TUIKA_DATE</t>
    <phoneticPr fontId="2"/>
  </si>
  <si>
    <t>cst_shinsei_strtuikaimposs6_STRUCTTUIKA_NOTIFT_DATE</t>
    <phoneticPr fontId="2"/>
  </si>
  <si>
    <t>● 無期限（適合するかどうかを決定する事が出来ない旨の通知書）</t>
    <rPh sb="2" eb="5">
      <t>ムキゲン</t>
    </rPh>
    <phoneticPr fontId="2"/>
  </si>
  <si>
    <t>**shinsei_IMPOSSX_NOTIFY_ID__NOTIFY_DATE</t>
  </si>
  <si>
    <t>cst_shinsei_impossx_NOTIFY_DATE</t>
    <phoneticPr fontId="2"/>
  </si>
  <si>
    <t>**shinsei_IMPOSSX_NOTIFY_ID__KENSAIN_USER_ID</t>
  </si>
  <si>
    <t>cst_shinsei_impossx_NOTIFY_USER</t>
    <phoneticPr fontId="2"/>
  </si>
  <si>
    <t>**shinsei_IMPOSSX_NOTIFY_ID__NOTIFY_CAUSE</t>
  </si>
  <si>
    <t>cst_shinsei_impossx_NOTIFY_CAUSE</t>
    <phoneticPr fontId="2"/>
  </si>
  <si>
    <t>**shinsei_IMPOSSX_NOTIFY_ID__NOTIFY_NOTE</t>
  </si>
  <si>
    <t>cst_shinsei_impossx_NOTIFY_NOTE</t>
    <phoneticPr fontId="2"/>
  </si>
  <si>
    <t>● 無期限（確認審査の報告書）</t>
    <rPh sb="2" eb="5">
      <t>ムキゲン</t>
    </rPh>
    <rPh sb="6" eb="8">
      <t>カクニン</t>
    </rPh>
    <rPh sb="8" eb="10">
      <t>シンサ</t>
    </rPh>
    <rPh sb="11" eb="14">
      <t>ホウコクショ</t>
    </rPh>
    <phoneticPr fontId="2"/>
  </si>
  <si>
    <t>**shinsei_IMPOSSX_NOTIFY_ID__REPORT_DATE</t>
  </si>
  <si>
    <t>cst_shinsei_impossx_REPORT_DATE</t>
    <phoneticPr fontId="2"/>
  </si>
  <si>
    <t>cst_shinsei_strtuikaimpossx_STRUCT_NOTIFT_DATE</t>
    <phoneticPr fontId="2"/>
  </si>
  <si>
    <t>cst_shinsei_strtuikaimpossx_STRUCT_NOTIFT_NO</t>
    <phoneticPr fontId="2"/>
  </si>
  <si>
    <t>cst_shinsei_strtuikaimpossx_STRUCT_TUIKA_DATE</t>
    <phoneticPr fontId="2"/>
  </si>
  <si>
    <t>cst_shinsei_strtuikaimpossx_STRUCTTUIKA_NOTIFT_DATE</t>
    <phoneticPr fontId="2"/>
  </si>
  <si>
    <t>● 不適合（適合しない旨の通知書）</t>
    <rPh sb="2" eb="5">
      <t>フテキゴウ</t>
    </rPh>
    <rPh sb="6" eb="8">
      <t>テキゴウ</t>
    </rPh>
    <rPh sb="11" eb="12">
      <t>ムネ</t>
    </rPh>
    <rPh sb="13" eb="16">
      <t>ツウチショ</t>
    </rPh>
    <phoneticPr fontId="2"/>
  </si>
  <si>
    <t>**shinsei_strtower08_PROGRAM_KIND__nintei__box</t>
  </si>
  <si>
    <t>cst_shinsei_strtower08_NINTEI</t>
    <phoneticPr fontId="2"/>
  </si>
  <si>
    <t>**shinsei_strtower08_PROGRAM_KIND__hyouka__box</t>
  </si>
  <si>
    <t>**shinsei_strtower08_PROGRAM_KIND__sonota__box</t>
  </si>
  <si>
    <t>プログラム01</t>
    <phoneticPr fontId="2"/>
  </si>
  <si>
    <t>**shinsei_strtower08_prgo01_NAME</t>
  </si>
  <si>
    <t>cst_shinsei_strtower08_prgo01_NAME</t>
    <phoneticPr fontId="2"/>
  </si>
  <si>
    <t>**shinsei_strtower08_prgo01_VER</t>
  </si>
  <si>
    <t>cst_shinsei_strtower08_prgo01_VER</t>
    <phoneticPr fontId="2"/>
  </si>
  <si>
    <t>cst_shinsei_strtower08_prgo01_NINTEI__umu</t>
    <phoneticPr fontId="2"/>
  </si>
  <si>
    <t>**shinsei_strtower08_prgo01_NINTEI_NO</t>
  </si>
  <si>
    <t>cst_shinsei_strtower08_prgo01_NINTEI_NO</t>
    <phoneticPr fontId="2"/>
  </si>
  <si>
    <t>**shinsei_strtower08_prgo01_NINTEI_DATE</t>
  </si>
  <si>
    <t>cst_shinsei_strtower08_prgo01_NINTEI_DATE</t>
    <phoneticPr fontId="2"/>
  </si>
  <si>
    <t>**shinsei_strtower08_prgo01_MAKER_NAME</t>
  </si>
  <si>
    <t>cst_shinsei_strtower08_prgo01_NAME_VER</t>
    <phoneticPr fontId="2"/>
  </si>
  <si>
    <t>cst_shinsei_strtower08_prgo01_NAME_VER__SP</t>
    <phoneticPr fontId="2"/>
  </si>
  <si>
    <t>cst_shinsei_strtower08_prgo01_MAKER__NINTEI_ari</t>
    <phoneticPr fontId="2"/>
  </si>
  <si>
    <t>cst_shinsei_strtower08_prgo01_NAME_VER__NINTEI_ari</t>
    <phoneticPr fontId="2"/>
  </si>
  <si>
    <t>cst_shinsei_STRTORISAGE_TEISYUTU_DATE</t>
    <phoneticPr fontId="2"/>
  </si>
  <si>
    <t>理由</t>
    <rPh sb="0" eb="2">
      <t>リユウ</t>
    </rPh>
    <phoneticPr fontId="2"/>
  </si>
  <si>
    <t>**shinsei_STRTORISAGE_CAUSE</t>
  </si>
  <si>
    <t>cst_shinsei_STRTORISAGE_CAUSE</t>
    <phoneticPr fontId="2"/>
  </si>
  <si>
    <t>- 日付</t>
    <phoneticPr fontId="2"/>
  </si>
  <si>
    <t>交付者</t>
    <phoneticPr fontId="2"/>
  </si>
  <si>
    <t>適判 - 判定できない通知</t>
    <rPh sb="0" eb="2">
      <t>テキハン</t>
    </rPh>
    <rPh sb="5" eb="7">
      <t>ハンテイ</t>
    </rPh>
    <rPh sb="11" eb="13">
      <t>ツウチ</t>
    </rPh>
    <phoneticPr fontId="2"/>
  </si>
  <si>
    <t>cst_shinsei_STRUCT_NOTIFT_DATE</t>
  </si>
  <si>
    <t>cst_shinsei_STRUCT_NOTIFT_DATE__month</t>
    <phoneticPr fontId="2"/>
  </si>
  <si>
    <t>cst_shinsei_STRUCT_NOTIFT_DATE__day</t>
    <phoneticPr fontId="2"/>
  </si>
  <si>
    <t>cst_shinsei_STRUCT_NOTIFT_DATE__dsp</t>
    <phoneticPr fontId="2"/>
  </si>
  <si>
    <t>「追加説明書の提出について」の文中の表示処理</t>
    <rPh sb="1" eb="3">
      <t>ツイカ</t>
    </rPh>
    <rPh sb="3" eb="6">
      <t>セツメイショ</t>
    </rPh>
    <rPh sb="7" eb="9">
      <t>テイシュツ</t>
    </rPh>
    <rPh sb="15" eb="17">
      <t>ブンチュウ</t>
    </rPh>
    <rPh sb="18" eb="20">
      <t>ヒョウジ</t>
    </rPh>
    <rPh sb="20" eb="22">
      <t>ショリ</t>
    </rPh>
    <phoneticPr fontId="2"/>
  </si>
  <si>
    <t>cst_shinsei_STRUCT_NOTIFT_DATE__add_shosiki</t>
    <phoneticPr fontId="2"/>
  </si>
  <si>
    <t>追加説明書の提出（適判へ）</t>
    <rPh sb="0" eb="2">
      <t>ツイカ</t>
    </rPh>
    <rPh sb="2" eb="5">
      <t>セツメイショ</t>
    </rPh>
    <rPh sb="6" eb="8">
      <t>テイシュツ</t>
    </rPh>
    <rPh sb="9" eb="11">
      <t>テキハン</t>
    </rPh>
    <phoneticPr fontId="2"/>
  </si>
  <si>
    <t>cst_shinsei_STRUCTTUIKA_NOTIFT_DATE</t>
  </si>
  <si>
    <t>cst_shinsei_STRUCTTUIKA_NOTIFT_DATE__dsp</t>
    <phoneticPr fontId="2"/>
  </si>
  <si>
    <t>変更通知日</t>
    <rPh sb="0" eb="2">
      <t>ヘンコウ</t>
    </rPh>
    <rPh sb="2" eb="5">
      <t>ツウチビ</t>
    </rPh>
    <phoneticPr fontId="2"/>
  </si>
  <si>
    <t>変更の期限日</t>
    <rPh sb="0" eb="2">
      <t>ヘンコウ</t>
    </rPh>
    <rPh sb="3" eb="5">
      <t>キゲン</t>
    </rPh>
    <rPh sb="5" eb="6">
      <t>ビ</t>
    </rPh>
    <phoneticPr fontId="2"/>
  </si>
  <si>
    <t>cst_shinsei__STRUCTNOTIFT_HENKOU_LIMIT_DATE</t>
    <phoneticPr fontId="2"/>
  </si>
  <si>
    <t>■ 棟情報（各棟出力共通処理）</t>
    <rPh sb="2" eb="3">
      <t>トウ</t>
    </rPh>
    <rPh sb="3" eb="5">
      <t>ジョウホウ</t>
    </rPh>
    <rPh sb="6" eb="8">
      <t>カクトウ</t>
    </rPh>
    <rPh sb="8" eb="10">
      <t>シュツリョク</t>
    </rPh>
    <rPh sb="10" eb="12">
      <t>キョウツウ</t>
    </rPh>
    <rPh sb="12" eb="14">
      <t>ショリ</t>
    </rPh>
    <phoneticPr fontId="2"/>
  </si>
  <si>
    <t>構造判定の有無</t>
    <rPh sb="0" eb="2">
      <t>コウゾウ</t>
    </rPh>
    <rPh sb="2" eb="4">
      <t>ハンテイ</t>
    </rPh>
    <rPh sb="5" eb="7">
      <t>ウム</t>
    </rPh>
    <phoneticPr fontId="2"/>
  </si>
  <si>
    <t>cst_shinsei_strtower_JUDGE</t>
    <phoneticPr fontId="2"/>
  </si>
  <si>
    <t>"", 有</t>
    <rPh sb="4" eb="5">
      <t>アリ</t>
    </rPh>
    <phoneticPr fontId="2"/>
  </si>
  <si>
    <t>cst_shinsei_STR_TOTAL_CHARGE__zero</t>
    <phoneticPr fontId="2"/>
  </si>
  <si>
    <t>計算用</t>
    <rPh sb="0" eb="3">
      <t>ケイサンヨウ</t>
    </rPh>
    <phoneticPr fontId="2"/>
  </si>
  <si>
    <t>棟別手数料の合計</t>
    <rPh sb="0" eb="1">
      <t>トウ</t>
    </rPh>
    <rPh sb="1" eb="2">
      <t>ベツ</t>
    </rPh>
    <rPh sb="2" eb="5">
      <t>テスウリョウ</t>
    </rPh>
    <rPh sb="6" eb="8">
      <t>ゴウケイ</t>
    </rPh>
    <phoneticPr fontId="2"/>
  </si>
  <si>
    <t>1～19（請求書明細欄の最大数より）</t>
    <rPh sb="5" eb="8">
      <t>セイキュウショ</t>
    </rPh>
    <rPh sb="8" eb="10">
      <t>メイサイ</t>
    </rPh>
    <rPh sb="10" eb="11">
      <t>ラン</t>
    </rPh>
    <rPh sb="12" eb="14">
      <t>サイダイ</t>
    </rPh>
    <rPh sb="14" eb="15">
      <t>スウ</t>
    </rPh>
    <phoneticPr fontId="2"/>
  </si>
  <si>
    <t>cst_shinsei_STR_MEISAI_TOTAL_CHARGE</t>
    <phoneticPr fontId="2"/>
  </si>
  <si>
    <t>棟毎の処理：</t>
    <rPh sb="0" eb="1">
      <t>トウ</t>
    </rPh>
    <rPh sb="1" eb="2">
      <t>ゴト</t>
    </rPh>
    <rPh sb="3" eb="5">
      <t>ショリ</t>
    </rPh>
    <phoneticPr fontId="2"/>
  </si>
  <si>
    <t>cst_shinsei_strtower_TAKASA_MAX__select</t>
    <phoneticPr fontId="2"/>
  </si>
  <si>
    <t>延べ面積</t>
    <rPh sb="0" eb="1">
      <t>ノ</t>
    </rPh>
    <rPh sb="2" eb="4">
      <t>メンセキ</t>
    </rPh>
    <phoneticPr fontId="2"/>
  </si>
  <si>
    <t>cst_shinsei_strtower_MENSEKI__select</t>
    <phoneticPr fontId="2"/>
  </si>
  <si>
    <t>構造種別</t>
    <rPh sb="0" eb="2">
      <t>コウゾウ</t>
    </rPh>
    <rPh sb="2" eb="4">
      <t>シュベツ</t>
    </rPh>
    <phoneticPr fontId="2"/>
  </si>
  <si>
    <t>cst_shinsei_strtower_KOUZOU__select</t>
    <phoneticPr fontId="2"/>
  </si>
  <si>
    <t>令80条２に基づく告示</t>
  </si>
  <si>
    <t>cst_shinsei_strtower_REI80_2_KOKUJI__select</t>
    <phoneticPr fontId="2"/>
  </si>
  <si>
    <t>令80条２に基づく告示　□,■表示</t>
    <phoneticPr fontId="2"/>
  </si>
  <si>
    <t>cst_shinsei_strtower_REI80_2_KOKUJI__select2</t>
    <phoneticPr fontId="2"/>
  </si>
  <si>
    <t>構造計算の方法 前処理</t>
    <rPh sb="8" eb="11">
      <t>マエショリ</t>
    </rPh>
    <phoneticPr fontId="2"/>
  </si>
  <si>
    <t>cst_shinsei_strtower_PROGRAM_KIND__select</t>
    <phoneticPr fontId="2"/>
  </si>
  <si>
    <t>棟別情報別　帳票出力</t>
    <rPh sb="0" eb="1">
      <t>ムネ</t>
    </rPh>
    <rPh sb="1" eb="2">
      <t>ベツ</t>
    </rPh>
    <rPh sb="2" eb="4">
      <t>ジョウホウ</t>
    </rPh>
    <rPh sb="4" eb="5">
      <t>ベツ</t>
    </rPh>
    <rPh sb="6" eb="8">
      <t>チョウヒョウ</t>
    </rPh>
    <rPh sb="8" eb="10">
      <t>シュツリョク</t>
    </rPh>
    <phoneticPr fontId="2"/>
  </si>
  <si>
    <t>構造棟番号</t>
    <phoneticPr fontId="2"/>
  </si>
  <si>
    <t>cst_shinsei_strtower_TOWER_NO__KKS_select</t>
    <phoneticPr fontId="2"/>
  </si>
  <si>
    <t>構造棟番号2</t>
    <phoneticPr fontId="2"/>
  </si>
  <si>
    <t>cst_shinsei_strtower_TOWER_NO__KKS_select2</t>
    <phoneticPr fontId="2"/>
  </si>
  <si>
    <t>構造棟名称</t>
    <rPh sb="0" eb="2">
      <t>コウゾウ</t>
    </rPh>
    <rPh sb="2" eb="3">
      <t>ムネ</t>
    </rPh>
    <rPh sb="3" eb="5">
      <t>メイショウ</t>
    </rPh>
    <phoneticPr fontId="2"/>
  </si>
  <si>
    <t>cst_shinsei_strtower_STR_TOWER_NAME__KKS_select</t>
    <phoneticPr fontId="2"/>
  </si>
  <si>
    <t>述べ床面積</t>
    <rPh sb="0" eb="1">
      <t>ノ</t>
    </rPh>
    <rPh sb="2" eb="3">
      <t>ユカ</t>
    </rPh>
    <rPh sb="3" eb="5">
      <t>メンセキ</t>
    </rPh>
    <phoneticPr fontId="2"/>
  </si>
  <si>
    <t>cst_shinsei_strtower_MENSEKI__KKS_select</t>
    <phoneticPr fontId="2"/>
  </si>
  <si>
    <t>cst_shinsei_strtower_MAX_TAKASA__KKS_select</t>
    <phoneticPr fontId="2"/>
  </si>
  <si>
    <t>階数</t>
    <rPh sb="0" eb="2">
      <t>カイスウ</t>
    </rPh>
    <phoneticPr fontId="2"/>
  </si>
  <si>
    <t>地上</t>
    <rPh sb="0" eb="2">
      <t>チジョウ</t>
    </rPh>
    <phoneticPr fontId="2"/>
  </si>
  <si>
    <t>cst_shinsei_strtower_KAISU_TIJYOU__KKS_select</t>
    <phoneticPr fontId="2"/>
  </si>
  <si>
    <t>地下</t>
    <rPh sb="0" eb="2">
      <t>チカ</t>
    </rPh>
    <phoneticPr fontId="2"/>
  </si>
  <si>
    <t>cst_shinsei_strtower_KAISU_TIKA__KKS_select</t>
    <phoneticPr fontId="2"/>
  </si>
  <si>
    <t>塔屋</t>
    <rPh sb="0" eb="1">
      <t>トウ</t>
    </rPh>
    <rPh sb="1" eb="2">
      <t>ヤ</t>
    </rPh>
    <phoneticPr fontId="2"/>
  </si>
  <si>
    <t>cst_shinsei_strtower_KAISU_TOUYA__KKS_select</t>
    <phoneticPr fontId="2"/>
  </si>
  <si>
    <t>cst_shinsei_strtower_STR_TOWER_YOUTO_TEXT__KKS_select</t>
    <phoneticPr fontId="2"/>
  </si>
  <si>
    <t>工事種別</t>
    <rPh sb="0" eb="2">
      <t>コウジ</t>
    </rPh>
    <rPh sb="2" eb="4">
      <t>シュベツ</t>
    </rPh>
    <phoneticPr fontId="2"/>
  </si>
  <si>
    <t>cst_shinsei_strtower_KOUJI_TEXT__KKS_select</t>
    <phoneticPr fontId="2"/>
  </si>
  <si>
    <t>cst_shinsei_strtower_KOUJI_TEXT__KKS_select_shintiku</t>
    <phoneticPr fontId="2"/>
  </si>
  <si>
    <t>新築　□、■表示</t>
    <rPh sb="0" eb="2">
      <t>シンチク</t>
    </rPh>
    <rPh sb="6" eb="8">
      <t>ヒョウジ</t>
    </rPh>
    <phoneticPr fontId="2"/>
  </si>
  <si>
    <t>cst_shinsei_strtower_KOUJI_TEXT__KKS_select_zoutiku</t>
    <phoneticPr fontId="2"/>
  </si>
  <si>
    <t>増築　□、■表示</t>
    <rPh sb="0" eb="2">
      <t>ゾウチク</t>
    </rPh>
    <phoneticPr fontId="2"/>
  </si>
  <si>
    <t>cst_shinsei_strtower_KOUJI_TEXT__KKS_select_kaitiku</t>
    <phoneticPr fontId="2"/>
  </si>
  <si>
    <t>改築　□、■表示</t>
    <rPh sb="0" eb="2">
      <t>カイチク</t>
    </rPh>
    <phoneticPr fontId="2"/>
  </si>
  <si>
    <t>cst_shinsei_strtower_KOUJI_TEXT__KKS_select_iten</t>
    <phoneticPr fontId="2"/>
  </si>
  <si>
    <t>移転　□、■表示</t>
    <rPh sb="0" eb="2">
      <t>イテン</t>
    </rPh>
    <phoneticPr fontId="2"/>
  </si>
  <si>
    <t>cst_shinsei_strtower_KOUZOU_TEXT__KKS_select</t>
    <phoneticPr fontId="2"/>
  </si>
  <si>
    <t>法第20条第２号イ選択時</t>
    <rPh sb="0" eb="1">
      <t>ホウ</t>
    </rPh>
    <rPh sb="1" eb="2">
      <t>ダイ</t>
    </rPh>
    <rPh sb="4" eb="5">
      <t>ジョウ</t>
    </rPh>
    <rPh sb="5" eb="6">
      <t>ダイ</t>
    </rPh>
    <rPh sb="7" eb="8">
      <t>ゴウ</t>
    </rPh>
    <rPh sb="9" eb="11">
      <t>センタク</t>
    </rPh>
    <rPh sb="11" eb="12">
      <t>ジ</t>
    </rPh>
    <phoneticPr fontId="2"/>
  </si>
  <si>
    <t>cst_shinsei_strtower_HOU20_2_select__KKS_select</t>
    <phoneticPr fontId="2"/>
  </si>
  <si>
    <t>法第20条第３号イ選択時</t>
    <rPh sb="0" eb="1">
      <t>ホウ</t>
    </rPh>
    <rPh sb="1" eb="2">
      <t>ダイ</t>
    </rPh>
    <rPh sb="4" eb="5">
      <t>ジョウ</t>
    </rPh>
    <rPh sb="5" eb="6">
      <t>ダイ</t>
    </rPh>
    <rPh sb="7" eb="8">
      <t>ゴウ</t>
    </rPh>
    <rPh sb="9" eb="11">
      <t>センタク</t>
    </rPh>
    <rPh sb="11" eb="12">
      <t>ジ</t>
    </rPh>
    <phoneticPr fontId="2"/>
  </si>
  <si>
    <t>cst_shinsei_strtower_HOU20_3_select__KKS_select</t>
    <phoneticPr fontId="2"/>
  </si>
  <si>
    <t>保有水平体力計算　X.Y双方が3のとき</t>
    <rPh sb="0" eb="2">
      <t>ホユウ</t>
    </rPh>
    <rPh sb="2" eb="4">
      <t>スイヘイ</t>
    </rPh>
    <rPh sb="4" eb="6">
      <t>タイリョク</t>
    </rPh>
    <rPh sb="6" eb="8">
      <t>ケイサン</t>
    </rPh>
    <rPh sb="12" eb="14">
      <t>ソウホウ</t>
    </rPh>
    <phoneticPr fontId="2"/>
  </si>
  <si>
    <t>cst_shinsei_strtower_XY_select__KKS_select</t>
    <phoneticPr fontId="2"/>
  </si>
  <si>
    <t>Ｘ方向</t>
    <rPh sb="1" eb="3">
      <t>ホウコウ</t>
    </rPh>
    <phoneticPr fontId="2"/>
  </si>
  <si>
    <t>cst_shinsei_strtower_KEISAN_X_ROUTE__select</t>
    <phoneticPr fontId="2"/>
  </si>
  <si>
    <t>Ｙ方向</t>
    <rPh sb="1" eb="3">
      <t>ホウコウ</t>
    </rPh>
    <phoneticPr fontId="2"/>
  </si>
  <si>
    <t>cst_shinsei_strtower_KEISAN_Y_ROUTE__select</t>
    <phoneticPr fontId="2"/>
  </si>
  <si>
    <t>計算方法の備考</t>
    <rPh sb="0" eb="2">
      <t>ケイサン</t>
    </rPh>
    <rPh sb="2" eb="4">
      <t>ホウホウ</t>
    </rPh>
    <rPh sb="5" eb="7">
      <t>ビコウ</t>
    </rPh>
    <phoneticPr fontId="2"/>
  </si>
  <si>
    <t>cst_shinsei_strtower_PROGRAM_KIND_SONOTA__select</t>
    <phoneticPr fontId="2"/>
  </si>
  <si>
    <t>構造計算の種別</t>
    <rPh sb="0" eb="2">
      <t>コウゾウ</t>
    </rPh>
    <rPh sb="2" eb="4">
      <t>ケイサン</t>
    </rPh>
    <rPh sb="5" eb="7">
      <t>シュベツ</t>
    </rPh>
    <phoneticPr fontId="2"/>
  </si>
  <si>
    <t>cst_shinsei_strtower_KOUZOU_KEISAN_TEXT__KKS_select</t>
    <phoneticPr fontId="2"/>
  </si>
  <si>
    <t>第81条第２項第１号イ　選択時</t>
    <rPh sb="12" eb="14">
      <t>センタク</t>
    </rPh>
    <rPh sb="14" eb="15">
      <t>ジ</t>
    </rPh>
    <phoneticPr fontId="2"/>
  </si>
  <si>
    <t>cst_shinsei_strtower_KOUZOU_KEISAN_2_1_i</t>
    <phoneticPr fontId="2"/>
  </si>
  <si>
    <t>建築基準法施行令第81条第２項第１号イに規定する構造計算選択時■</t>
    <rPh sb="28" eb="30">
      <t>センタク</t>
    </rPh>
    <rPh sb="30" eb="31">
      <t>ジ</t>
    </rPh>
    <phoneticPr fontId="2"/>
  </si>
  <si>
    <t>第81条第２項第１号ロ　選択時</t>
    <rPh sb="12" eb="14">
      <t>センタク</t>
    </rPh>
    <rPh sb="14" eb="15">
      <t>ジ</t>
    </rPh>
    <phoneticPr fontId="2"/>
  </si>
  <si>
    <t>cst_shinsei_strtower_KOUZOU_KEISAN_2_1_ro</t>
    <phoneticPr fontId="2"/>
  </si>
  <si>
    <t>建築基準法施行令第81条第２項第１号ロに規定する構造計算選択時■</t>
    <phoneticPr fontId="2"/>
  </si>
  <si>
    <t>第81条第２項第２号イ　選択時</t>
    <rPh sb="12" eb="14">
      <t>センタク</t>
    </rPh>
    <rPh sb="14" eb="15">
      <t>ジ</t>
    </rPh>
    <phoneticPr fontId="2"/>
  </si>
  <si>
    <t>cst_shinsei_strtower_KOUZOU_KEISAN_2_2_i</t>
    <phoneticPr fontId="2"/>
  </si>
  <si>
    <t>建築基準法施行令第81条第２項第２号イに規定する構造計算選択時■</t>
    <phoneticPr fontId="2"/>
  </si>
  <si>
    <t>第81条第３項　選択時</t>
    <rPh sb="8" eb="10">
      <t>センタク</t>
    </rPh>
    <rPh sb="10" eb="11">
      <t>ジ</t>
    </rPh>
    <phoneticPr fontId="2"/>
  </si>
  <si>
    <t>cst_shinsei_strtower_KOUZOU_KEISAN_3</t>
    <phoneticPr fontId="2"/>
  </si>
  <si>
    <t>建築基準法施行令第81条第３項に定める基準に従った構造計算選択時■</t>
    <phoneticPr fontId="2"/>
  </si>
  <si>
    <t>プログラム</t>
    <phoneticPr fontId="2"/>
  </si>
  <si>
    <t>プログラム</t>
    <phoneticPr fontId="2"/>
  </si>
  <si>
    <t>名称・バージョン(CHAR(10))</t>
    <rPh sb="0" eb="2">
      <t>メイショウ</t>
    </rPh>
    <phoneticPr fontId="2"/>
  </si>
  <si>
    <t>使用</t>
    <rPh sb="0" eb="2">
      <t>シヨウ</t>
    </rPh>
    <phoneticPr fontId="2"/>
  </si>
  <si>
    <t>cst_shinsei_STRTOWER_PROG_NAME_VER__CHAR</t>
    <phoneticPr fontId="2"/>
  </si>
  <si>
    <t>名称・バージョン(SP)</t>
    <rPh sb="0" eb="2">
      <t>メイショウ</t>
    </rPh>
    <phoneticPr fontId="2"/>
  </si>
  <si>
    <t>cst_shinsei_STRTOWER_PROG_NAME_VER__SP</t>
    <phoneticPr fontId="2"/>
  </si>
  <si>
    <t>プログラム名</t>
    <rPh sb="5" eb="6">
      <t>メイ</t>
    </rPh>
    <phoneticPr fontId="2"/>
  </si>
  <si>
    <t>cst_shinsei_strtower_prgo01_NAME</t>
    <phoneticPr fontId="2"/>
  </si>
  <si>
    <t>プログラムバージョン</t>
    <phoneticPr fontId="2"/>
  </si>
  <si>
    <t>使用しません。</t>
    <rPh sb="0" eb="2">
      <t>シヨウ</t>
    </rPh>
    <phoneticPr fontId="2"/>
  </si>
  <si>
    <t>cst_shinsei_strtower_prgo01_VER</t>
    <phoneticPr fontId="2"/>
  </si>
  <si>
    <t>認定番号</t>
    <rPh sb="0" eb="2">
      <t>ニンテイ</t>
    </rPh>
    <rPh sb="2" eb="4">
      <t>バンゴウ</t>
    </rPh>
    <phoneticPr fontId="2"/>
  </si>
  <si>
    <t>cst_shinsei_strtower_prgo01_NINTEI_NO__KKS_select</t>
    <phoneticPr fontId="2"/>
  </si>
  <si>
    <t>大臣認定プログラム</t>
    <rPh sb="0" eb="2">
      <t>ダイジン</t>
    </rPh>
    <rPh sb="2" eb="4">
      <t>ニンテイ</t>
    </rPh>
    <phoneticPr fontId="2"/>
  </si>
  <si>
    <t>メーカー</t>
    <phoneticPr fontId="2"/>
  </si>
  <si>
    <t>cst_shinsei_STRTOWER_PROG_MAKER__NINTEI_ari_SP</t>
    <phoneticPr fontId="2"/>
  </si>
  <si>
    <t>名称・バージョン</t>
    <rPh sb="0" eb="2">
      <t>メイショウ</t>
    </rPh>
    <phoneticPr fontId="2"/>
  </si>
  <si>
    <t>cst_shinsei_STRTOWER_PROG_NAME_VER__NINTEI_ari_SP</t>
    <phoneticPr fontId="2"/>
  </si>
  <si>
    <t>プログラム名</t>
    <phoneticPr fontId="2"/>
  </si>
  <si>
    <t>cst_shinsei_strtower_prgo01_PROG__nintei_ari__KKS_select</t>
    <phoneticPr fontId="2"/>
  </si>
  <si>
    <t>バージョン</t>
    <phoneticPr fontId="2"/>
  </si>
  <si>
    <t>cst_shinsei_strtower_prgo01_VER__nintei_ari__KKS_select</t>
    <phoneticPr fontId="2"/>
  </si>
  <si>
    <t>認定年月日</t>
    <rPh sb="0" eb="2">
      <t>ニンテイ</t>
    </rPh>
    <rPh sb="2" eb="5">
      <t>ネンガッピ</t>
    </rPh>
    <phoneticPr fontId="2"/>
  </si>
  <si>
    <t>cst_shinsei_STRTOWER_PROG_NINTEI_DATE_SP</t>
    <phoneticPr fontId="2"/>
  </si>
  <si>
    <t>非認定プログラム</t>
    <rPh sb="0" eb="1">
      <t>ヒ</t>
    </rPh>
    <rPh sb="1" eb="3">
      <t>ニンテイ</t>
    </rPh>
    <phoneticPr fontId="2"/>
  </si>
  <si>
    <t>cst_shinsei_STRTOWER_PROG_MAKER__NINTEI_no_SP</t>
    <phoneticPr fontId="2"/>
  </si>
  <si>
    <t>cst_shinsei_STRTOWER_PROG_NAME_VER__NINTEI_non_SP</t>
    <phoneticPr fontId="2"/>
  </si>
  <si>
    <t>cst_shinsei_strtower_prgo01_PROG__nintei_nasi__KKS_select</t>
    <phoneticPr fontId="2"/>
  </si>
  <si>
    <t>cst_shinsei_strtower_prgo01_VER__nintei_nasi__KKS_select</t>
    <phoneticPr fontId="2"/>
  </si>
  <si>
    <t>棟別情報</t>
    <rPh sb="0" eb="1">
      <t>トウ</t>
    </rPh>
    <rPh sb="1" eb="2">
      <t>ベツ</t>
    </rPh>
    <rPh sb="2" eb="4">
      <t>ジョウホウ</t>
    </rPh>
    <phoneticPr fontId="2"/>
  </si>
  <si>
    <t>棟別情報１</t>
    <rPh sb="0" eb="1">
      <t>トウ</t>
    </rPh>
    <rPh sb="1" eb="2">
      <t>ベツ</t>
    </rPh>
    <rPh sb="2" eb="4">
      <t>ジョウホウ</t>
    </rPh>
    <phoneticPr fontId="2"/>
  </si>
  <si>
    <t>棟番号</t>
  </si>
  <si>
    <t>**shinsei_strtower01_TOWER_NO</t>
  </si>
  <si>
    <t>cst_shinsei_strtower01_TOWER_NO</t>
    <phoneticPr fontId="2"/>
  </si>
  <si>
    <t>text</t>
    <phoneticPr fontId="2"/>
  </si>
  <si>
    <t>text</t>
    <phoneticPr fontId="2"/>
  </si>
  <si>
    <t>構造棟番号</t>
  </si>
  <si>
    <t>**shinsei_strtower01_STR_TOWER_NO</t>
  </si>
  <si>
    <t>cst_shinsei_strtower01_STR_TOWER_NO</t>
    <phoneticPr fontId="2"/>
  </si>
  <si>
    <t>text</t>
    <phoneticPr fontId="2"/>
  </si>
  <si>
    <t>棟番号－構造棟番号</t>
    <rPh sb="0" eb="1">
      <t>トウ</t>
    </rPh>
    <rPh sb="1" eb="3">
      <t>バンゴウ</t>
    </rPh>
    <rPh sb="4" eb="6">
      <t>コウゾウ</t>
    </rPh>
    <rPh sb="6" eb="7">
      <t>トウ</t>
    </rPh>
    <rPh sb="7" eb="9">
      <t>バンゴウ</t>
    </rPh>
    <phoneticPr fontId="2"/>
  </si>
  <si>
    <t>cst_shinsei_strtower01__TOWER_NO_STR_TOWER_NO</t>
    <phoneticPr fontId="2"/>
  </si>
  <si>
    <t>棟番号／全棟数</t>
    <rPh sb="0" eb="1">
      <t>トウ</t>
    </rPh>
    <rPh sb="1" eb="3">
      <t>バンゴウ</t>
    </rPh>
    <rPh sb="4" eb="5">
      <t>ゼン</t>
    </rPh>
    <rPh sb="5" eb="6">
      <t>トウ</t>
    </rPh>
    <rPh sb="6" eb="7">
      <t>スウ</t>
    </rPh>
    <phoneticPr fontId="2"/>
  </si>
  <si>
    <t>cst_shinsei_strtower01__TOWER_NO_STR_TOWERS</t>
    <phoneticPr fontId="2"/>
  </si>
  <si>
    <t>棟別情報の構造棟名称</t>
    <phoneticPr fontId="2"/>
  </si>
  <si>
    <t>**shinsei_strtower01_STR_TOWER_NAME</t>
  </si>
  <si>
    <t>cst_shinsei_strtower01_STR_TOWER_NAME</t>
    <phoneticPr fontId="2"/>
  </si>
  <si>
    <t>構造判定（判定が必要なもの）</t>
    <phoneticPr fontId="2"/>
  </si>
  <si>
    <t>**shinsei_strtower01_JUDGE</t>
  </si>
  <si>
    <t>cst_shinsei_strtower01_JUDGE</t>
  </si>
  <si>
    <t>1：有, 0：無</t>
    <phoneticPr fontId="2"/>
  </si>
  <si>
    <t>標準</t>
    <rPh sb="0" eb="2">
      <t>ヒョウジュン</t>
    </rPh>
    <phoneticPr fontId="2"/>
  </si>
  <si>
    <t>**shinsei_strtower01_STR_TOWER_YOUTO_TEXT</t>
  </si>
  <si>
    <t>cst_shinsei_strtower01_STR_TOWER_YOUTO_TEXT</t>
    <phoneticPr fontId="2"/>
  </si>
  <si>
    <t>**shinsei_strtower01_KOUJI_TEXT</t>
  </si>
  <si>
    <t>cst_shinsei_strtower01_KOUJI_TEXT</t>
    <phoneticPr fontId="2"/>
  </si>
  <si>
    <t>cst_shinsei_strtower01_KOUJI_TEXT__KKS_select_shintiku</t>
    <phoneticPr fontId="2"/>
  </si>
  <si>
    <t>cst_shinsei_strtower01_KOUJI_TEXT__KKS_select_zoutiku</t>
    <phoneticPr fontId="2"/>
  </si>
  <si>
    <t>cst_shinsei_strtower01_KOUJI_TEXT__KKS_select_kaitiku</t>
    <phoneticPr fontId="2"/>
  </si>
  <si>
    <t>cst_shinsei_strtower01_KOUJI_TEXT__KKS_select_iten</t>
    <phoneticPr fontId="2"/>
  </si>
  <si>
    <t>構造</t>
    <phoneticPr fontId="2"/>
  </si>
  <si>
    <t>**shinsei_strtower01_KOUZOU</t>
  </si>
  <si>
    <t>cst_shinsei_strtower01_KOUZOU</t>
    <phoneticPr fontId="2"/>
  </si>
  <si>
    <t>**shinsei_strtower01_KOUZOU_TEXT</t>
  </si>
  <si>
    <t>cst_shinsei_strtower01_KOUZOU_TEXT</t>
  </si>
  <si>
    <t>構造計算の種類（概要）</t>
    <rPh sb="5" eb="7">
      <t>シュルイ</t>
    </rPh>
    <rPh sb="8" eb="10">
      <t>ガイヨウ</t>
    </rPh>
    <phoneticPr fontId="2"/>
  </si>
  <si>
    <t>**shinsei_strtower01_KOUZOU_KEISAN</t>
  </si>
  <si>
    <t>cst_shinsei_strtower01_KOUZOU_KEISAN</t>
    <phoneticPr fontId="2"/>
  </si>
  <si>
    <t>**shinsei_strtower01_KOUZOU_KEISAN_TEXT</t>
  </si>
  <si>
    <t>cst_shinsei_strtower01_KOUZOU_KEISAN_TEXT</t>
    <phoneticPr fontId="2"/>
  </si>
  <si>
    <t>cst_shinsei_strtower01_KOUZOU_KEISAN_2_1_i</t>
    <phoneticPr fontId="2"/>
  </si>
  <si>
    <t>cst_shinsei_strtower01_KOUZOU_KEISAN_2_1_ro</t>
    <phoneticPr fontId="2"/>
  </si>
  <si>
    <t>cst_shinsei_strtower01_KOUZOU_KEISAN_2_2_i</t>
    <phoneticPr fontId="2"/>
  </si>
  <si>
    <t>cst_shinsei_strtower01_KOUZOU_KEISAN_3</t>
    <phoneticPr fontId="2"/>
  </si>
  <si>
    <t>延床面積</t>
    <phoneticPr fontId="2"/>
  </si>
  <si>
    <t>延床面積</t>
    <phoneticPr fontId="2"/>
  </si>
  <si>
    <t>**shinsei_strtower01_MENSEKI</t>
  </si>
  <si>
    <t>cst_shinsei_strtower01_MENSEKI</t>
    <phoneticPr fontId="2"/>
  </si>
  <si>
    <t xml:space="preserve">#,##0.00_ </t>
  </si>
  <si>
    <t>単位付き</t>
    <rPh sb="0" eb="2">
      <t>タンイ</t>
    </rPh>
    <rPh sb="2" eb="3">
      <t>ツ</t>
    </rPh>
    <phoneticPr fontId="2"/>
  </si>
  <si>
    <t>cst_shinsei_strtower01_MENSEKI__dsp</t>
    <phoneticPr fontId="2"/>
  </si>
  <si>
    <t>**shinsei_strtower01_MAX_TAKASA</t>
  </si>
  <si>
    <t>cst_shinsei_strtower01_MAX_TAKASA</t>
    <phoneticPr fontId="2"/>
  </si>
  <si>
    <t xml:space="preserve">#,##0.000_ </t>
  </si>
  <si>
    <t>**shinsei_strtower01_MAX_NOKI_TAKASA</t>
  </si>
  <si>
    <t>cst_shinsei_strtower01_MAX_NOKI_TAKASA</t>
    <phoneticPr fontId="2"/>
  </si>
  <si>
    <t>**shinsei_strtower01_KAISU_TIJYOU</t>
  </si>
  <si>
    <t>cst_shinsei_strtower01_KAISU_TIJYOU</t>
    <phoneticPr fontId="2"/>
  </si>
  <si>
    <t xml:space="preserve">#,##0_ </t>
    <phoneticPr fontId="2"/>
  </si>
  <si>
    <t xml:space="preserve">#,##0_ </t>
    <phoneticPr fontId="2"/>
  </si>
  <si>
    <t>**shinsei_strtower01_KAISU_TIKA</t>
  </si>
  <si>
    <t>cst_shinsei_strtower01_KAISU_TIKA</t>
    <phoneticPr fontId="2"/>
  </si>
  <si>
    <t xml:space="preserve">#,##0_ </t>
    <phoneticPr fontId="2"/>
  </si>
  <si>
    <t>**shinsei_strtower01_KAISU_TOUYA</t>
  </si>
  <si>
    <t>cst_shinsei_strtower01_KAISU_TOUYA</t>
    <phoneticPr fontId="2"/>
  </si>
  <si>
    <t>建築物の区分（種別）</t>
    <rPh sb="0" eb="3">
      <t>ケンチクブツ</t>
    </rPh>
    <rPh sb="4" eb="6">
      <t>クブン</t>
    </rPh>
    <rPh sb="7" eb="9">
      <t>シュベツ</t>
    </rPh>
    <phoneticPr fontId="2"/>
  </si>
  <si>
    <t>**shinsei_strtower01_BUILD_KUBUN</t>
  </si>
  <si>
    <t>cst_shinsei_strtower01_BUILD_KUBUN</t>
    <phoneticPr fontId="2"/>
  </si>
  <si>
    <t>**shinsei_strtower01_BUILD_KUBUN_TEXT</t>
  </si>
  <si>
    <t>cst_shinsei_strtower01_BUILD_KUBUN_TEXT</t>
    <phoneticPr fontId="2"/>
  </si>
  <si>
    <t>cst_shinsei_strtower01_HOU20_2_select</t>
    <phoneticPr fontId="2"/>
  </si>
  <si>
    <t>建築基準法第20条第２号に掲げる建築物　が選択されている時：■</t>
    <rPh sb="21" eb="23">
      <t>センタク</t>
    </rPh>
    <rPh sb="28" eb="29">
      <t>トキ</t>
    </rPh>
    <phoneticPr fontId="2"/>
  </si>
  <si>
    <t>cst_shinsei_strtower01_HOU20_3_select</t>
    <phoneticPr fontId="2"/>
  </si>
  <si>
    <t>建築基準法第20条第３号に掲げる建築物　が選択されている時：■</t>
    <rPh sb="21" eb="23">
      <t>センタク</t>
    </rPh>
    <rPh sb="28" eb="29">
      <t>トキ</t>
    </rPh>
    <phoneticPr fontId="2"/>
  </si>
  <si>
    <t>構造計算免除の規定</t>
    <phoneticPr fontId="2"/>
  </si>
  <si>
    <t>**shinsei_strtower01_MENJYO_TEXT</t>
  </si>
  <si>
    <t>cst_shinsei_strtower01_MENJYO</t>
    <phoneticPr fontId="2"/>
  </si>
  <si>
    <t>構造計算の方法</t>
    <rPh sb="0" eb="2">
      <t>コウゾウ</t>
    </rPh>
    <rPh sb="2" eb="4">
      <t>ケイサン</t>
    </rPh>
    <rPh sb="5" eb="7">
      <t>ホウホウ</t>
    </rPh>
    <phoneticPr fontId="2"/>
  </si>
  <si>
    <t>**shinsei_strtower01_PROGRAM_KIND</t>
  </si>
  <si>
    <t>cst_shinsei_strtower01_PROGRAM_KIND</t>
    <phoneticPr fontId="2"/>
  </si>
  <si>
    <t>0：その他, 1：認定プログラム, 2:評価プログラム</t>
    <rPh sb="9" eb="11">
      <t>ニンテイ</t>
    </rPh>
    <rPh sb="20" eb="22">
      <t>ヒョウカ</t>
    </rPh>
    <phoneticPr fontId="2"/>
  </si>
  <si>
    <t>令80条２に基づく告示</t>
    <rPh sb="0" eb="1">
      <t>レイ</t>
    </rPh>
    <rPh sb="3" eb="4">
      <t>ジョウ</t>
    </rPh>
    <rPh sb="6" eb="7">
      <t>モト</t>
    </rPh>
    <rPh sb="9" eb="11">
      <t>コクジ</t>
    </rPh>
    <phoneticPr fontId="2"/>
  </si>
  <si>
    <t>**shinsei_strtower01_REI80_2_KOKUJI_TEXT</t>
  </si>
  <si>
    <t>cst_shinsei_strtower01_REI80_2_KOKUJI</t>
  </si>
  <si>
    <t>cst_shinsei_strtower01_REI80_2_KOKUJI__select2</t>
    <phoneticPr fontId="2"/>
  </si>
  <si>
    <t>認定プログラム</t>
    <rPh sb="0" eb="2">
      <t>ニンテイ</t>
    </rPh>
    <phoneticPr fontId="2"/>
  </si>
  <si>
    <t>**shinsei_strtower01_PROGRAM_KIND__nintei__box</t>
  </si>
  <si>
    <t>cst_shinsei_strtower01_NINTEI</t>
  </si>
  <si>
    <t>■, □ ：認定プログラム：2, その他：1, 未選択：0</t>
    <rPh sb="6" eb="8">
      <t>ニンテイ</t>
    </rPh>
    <rPh sb="19" eb="20">
      <t>タ</t>
    </rPh>
    <rPh sb="24" eb="25">
      <t>ミ</t>
    </rPh>
    <rPh sb="25" eb="27">
      <t>センタク</t>
    </rPh>
    <phoneticPr fontId="2"/>
  </si>
  <si>
    <t>評価プログラム</t>
    <rPh sb="0" eb="2">
      <t>ヒョウカ</t>
    </rPh>
    <phoneticPr fontId="2"/>
  </si>
  <si>
    <t>**shinsei_strtower01_PROGRAM_KIND__hyouka__box</t>
  </si>
  <si>
    <t>**shinsei_strtower01_PROGRAM_KIND__sonota__box</t>
  </si>
  <si>
    <t>プログラム01</t>
    <phoneticPr fontId="2"/>
  </si>
  <si>
    <t xml:space="preserve"> - 名称</t>
    <rPh sb="3" eb="5">
      <t>メイショウ</t>
    </rPh>
    <phoneticPr fontId="2"/>
  </si>
  <si>
    <t>**shinsei_strtower01_prgo01_NAME</t>
  </si>
  <si>
    <t>cst_shinsei_strtower01_prgo01_NAME</t>
    <phoneticPr fontId="2"/>
  </si>
  <si>
    <t xml:space="preserve"> - バージョン</t>
    <phoneticPr fontId="2"/>
  </si>
  <si>
    <t>**shinsei_strtower01_prgo01_VER</t>
  </si>
  <si>
    <t>cst_shinsei_strtower01_prgo01_VER</t>
    <phoneticPr fontId="2"/>
  </si>
  <si>
    <t xml:space="preserve"> - 大臣認定の有無</t>
    <rPh sb="3" eb="5">
      <t>ダイジン</t>
    </rPh>
    <rPh sb="5" eb="7">
      <t>ニンテイ</t>
    </rPh>
    <rPh sb="8" eb="10">
      <t>ウム</t>
    </rPh>
    <phoneticPr fontId="2"/>
  </si>
  <si>
    <t>cst_shinsei_strtower01_prgo01_NINTEI__umu</t>
    <phoneticPr fontId="2"/>
  </si>
  <si>
    <t>無, 有</t>
    <rPh sb="0" eb="1">
      <t>ナシ</t>
    </rPh>
    <rPh sb="3" eb="4">
      <t>アリ</t>
    </rPh>
    <phoneticPr fontId="2"/>
  </si>
  <si>
    <t xml:space="preserve"> - 認定番号</t>
    <rPh sb="3" eb="5">
      <t>ニンテイ</t>
    </rPh>
    <rPh sb="5" eb="7">
      <t>バンゴウ</t>
    </rPh>
    <phoneticPr fontId="2"/>
  </si>
  <si>
    <t>**shinsei_strtower01_prgo01_NINTEI_NO</t>
  </si>
  <si>
    <t>cst_shinsei_strtower01_prgo01_NINTEI_NO</t>
    <phoneticPr fontId="2"/>
  </si>
  <si>
    <t>text</t>
    <phoneticPr fontId="2"/>
  </si>
  <si>
    <t xml:space="preserve"> - 認定年月日</t>
    <rPh sb="3" eb="5">
      <t>ニンテイ</t>
    </rPh>
    <rPh sb="5" eb="8">
      <t>ネンガッピ</t>
    </rPh>
    <phoneticPr fontId="2"/>
  </si>
  <si>
    <t>**shinsei_strtower01_prgo01_NINTEI_DATE</t>
  </si>
  <si>
    <t>cst_shinsei_strtower01_prgo01_NINTEI_DATE_dsp</t>
    <phoneticPr fontId="2"/>
  </si>
  <si>
    <t xml:space="preserve"> - メーカー</t>
    <phoneticPr fontId="2"/>
  </si>
  <si>
    <t xml:space="preserve"> - メーカー</t>
    <phoneticPr fontId="2"/>
  </si>
  <si>
    <t>**shinsei_strtower01_prgo01_MAKER_NAME</t>
  </si>
  <si>
    <t xml:space="preserve"> - 名称・バージョン(CHAR(10))</t>
    <rPh sb="3" eb="5">
      <t>メイショウ</t>
    </rPh>
    <phoneticPr fontId="2"/>
  </si>
  <si>
    <t>cst_shinsei_strtower01_prgo01_NAME_VER</t>
    <phoneticPr fontId="2"/>
  </si>
  <si>
    <t xml:space="preserve"> - 名称・バージョン(SP)</t>
    <rPh sb="3" eb="5">
      <t>メイショウ</t>
    </rPh>
    <phoneticPr fontId="2"/>
  </si>
  <si>
    <t>cst_shinsei_strtower01_prgo01_NAME_VER__SP</t>
    <phoneticPr fontId="2"/>
  </si>
  <si>
    <t>大臣認定</t>
    <rPh sb="0" eb="2">
      <t>ダイジン</t>
    </rPh>
    <rPh sb="2" eb="4">
      <t>ニンテイ</t>
    </rPh>
    <phoneticPr fontId="2"/>
  </si>
  <si>
    <t xml:space="preserve"> - メーカー(SP)</t>
    <phoneticPr fontId="2"/>
  </si>
  <si>
    <t xml:space="preserve"> - メーカー(SP)</t>
    <phoneticPr fontId="2"/>
  </si>
  <si>
    <t>大臣認定時のプログラムのメーカー</t>
    <phoneticPr fontId="2"/>
  </si>
  <si>
    <t>大臣認定時のプログラムのメーカー</t>
    <phoneticPr fontId="2"/>
  </si>
  <si>
    <t>cst_shinsei_strtower01_prgo01_MAKER__nintei_ari</t>
  </si>
  <si>
    <t>cst_shinsei_strtower01_prgo01_NAME_VER__NINTEI_ari</t>
    <phoneticPr fontId="2"/>
  </si>
  <si>
    <t>大臣認定以外</t>
    <rPh sb="0" eb="2">
      <t>ダイジン</t>
    </rPh>
    <rPh sb="2" eb="4">
      <t>ニンテイ</t>
    </rPh>
    <rPh sb="4" eb="6">
      <t>イガイ</t>
    </rPh>
    <phoneticPr fontId="2"/>
  </si>
  <si>
    <t xml:space="preserve"> - メーカー(SP)</t>
    <phoneticPr fontId="2"/>
  </si>
  <si>
    <t>cst_shinsei_strtower01_prgo01_MAKER__NINTEI_non</t>
    <phoneticPr fontId="2"/>
  </si>
  <si>
    <t>cst_shinsei_strtower01_prgo01_NAME_VER__NINTEI_non</t>
    <phoneticPr fontId="2"/>
  </si>
  <si>
    <t>大臣認定時のプログラム名称</t>
    <rPh sb="11" eb="13">
      <t>メイショウ</t>
    </rPh>
    <phoneticPr fontId="2"/>
  </si>
  <si>
    <t>cst_shinsei_strtower01_prgo01_PROG__nintei_ari</t>
    <phoneticPr fontId="2"/>
  </si>
  <si>
    <t>大臣認定時のプログラムバージョン</t>
    <phoneticPr fontId="2"/>
  </si>
  <si>
    <t>大臣認定時のプログラムバージョン</t>
    <phoneticPr fontId="2"/>
  </si>
  <si>
    <t>cst_shinsei_strtower01_prgo01_VER__nintei_ari</t>
    <phoneticPr fontId="2"/>
  </si>
  <si>
    <t>大臣認定時のプログラムの認定年月日</t>
    <phoneticPr fontId="2"/>
  </si>
  <si>
    <t>大臣認定時のプログラムの認定年月日</t>
    <phoneticPr fontId="2"/>
  </si>
  <si>
    <t>cst_shinsei_strtower01_prgo01_NINTEI__nintei_ari</t>
    <phoneticPr fontId="2"/>
  </si>
  <si>
    <t>大臣認定では無いプログラムのメーカー</t>
    <rPh sb="6" eb="7">
      <t>ナ</t>
    </rPh>
    <phoneticPr fontId="2"/>
  </si>
  <si>
    <t>cst_shinsei_strtower01_prgo01_MAKER__nintei_nasi</t>
    <phoneticPr fontId="2"/>
  </si>
  <si>
    <t>大臣認定では無いプログラム名称</t>
    <phoneticPr fontId="2"/>
  </si>
  <si>
    <t>cst_shinsei_strtower01_prgo01_PROG__nintei_nasi</t>
    <phoneticPr fontId="2"/>
  </si>
  <si>
    <t>大臣認定では無いプログラムバージョン</t>
    <phoneticPr fontId="2"/>
  </si>
  <si>
    <t>大臣認定では無いプログラムバージョン</t>
    <phoneticPr fontId="2"/>
  </si>
  <si>
    <t>cst_shinsei_strtower01_prgo01_VER__nintei_nasi</t>
    <phoneticPr fontId="2"/>
  </si>
  <si>
    <t>プログラム02</t>
    <phoneticPr fontId="2"/>
  </si>
  <si>
    <t>プログラム02</t>
    <phoneticPr fontId="2"/>
  </si>
  <si>
    <t>**shinsei_strtower01_prgo02_NAME</t>
  </si>
  <si>
    <t xml:space="preserve"> - バージョン</t>
    <phoneticPr fontId="2"/>
  </si>
  <si>
    <t>**shinsei_strtower01_prgo02_VER</t>
  </si>
  <si>
    <t>cst_shinsei_strtower01_prgo02_NINTEI__umu</t>
    <phoneticPr fontId="2"/>
  </si>
  <si>
    <t>**shinsei_strtower01_prgo02_NINTEI_NO</t>
  </si>
  <si>
    <t>**shinsei_strtower01_prgo02_NINTEI_DATE</t>
  </si>
  <si>
    <t>cst_shinsei_strtower01_prgo02_NINTEI_DATE_dsp</t>
    <phoneticPr fontId="2"/>
  </si>
  <si>
    <t>**shinsei_strtower01_prgo02_MAKER_NAME</t>
  </si>
  <si>
    <t>cst_shinsei_strtower01_prgo02_NAME_VER</t>
    <phoneticPr fontId="2"/>
  </si>
  <si>
    <t>cst_shinsei_strtower01_prgo02_NAME_VER__SP</t>
    <phoneticPr fontId="2"/>
  </si>
  <si>
    <t>cst_shinsei_strtower01_prgo02_MAKER__NINTEI_ari</t>
    <phoneticPr fontId="2"/>
  </si>
  <si>
    <t>cst_shinsei_strtower01_prgo02_NAME_VER__NINTEI_ari</t>
    <phoneticPr fontId="2"/>
  </si>
  <si>
    <t>cst_shinsei_strtower01_prgo02_MAKER__NINTEI_non</t>
    <phoneticPr fontId="2"/>
  </si>
  <si>
    <t>cst_shinsei_strtower01_prgo02_NAME_VER__NINTEI_non</t>
    <phoneticPr fontId="2"/>
  </si>
  <si>
    <t>プログラム03</t>
    <phoneticPr fontId="2"/>
  </si>
  <si>
    <t>**shinsei_strtower01_prgo03_NAME</t>
  </si>
  <si>
    <t>**shinsei_strtower01_prgo03_VER</t>
  </si>
  <si>
    <t>cst_shinsei_strtower01_prgo03_NINTEI__umu</t>
    <phoneticPr fontId="2"/>
  </si>
  <si>
    <t>**shinsei_strtower01_prgo03_NINTEI_NO</t>
  </si>
  <si>
    <t>**shinsei_strtower01_prgo03_NINTEI_DATE</t>
  </si>
  <si>
    <t>cst_shinsei_strtower01_prgo03_NINTEI_DATE_dsp</t>
    <phoneticPr fontId="2"/>
  </si>
  <si>
    <t>**shinsei_strtower01_prgo03_MAKER_NAME</t>
  </si>
  <si>
    <t>cst_shinsei_strtower01_prgo03_NAME_VER</t>
  </si>
  <si>
    <t>cst_shinsei_strtower01_prgo03_NAME_VER__SP</t>
    <phoneticPr fontId="2"/>
  </si>
  <si>
    <t xml:space="preserve"> - メーカー(SP)</t>
    <phoneticPr fontId="2"/>
  </si>
  <si>
    <t>cst_shinsei_strtower01_prgo03_MAKER__NINTEI_ari</t>
  </si>
  <si>
    <t>cst_shinsei_strtower01_prgo03_NAME_VER__NINTEI_ari</t>
  </si>
  <si>
    <t>cst_shinsei_strtower01_prgo03_MAKER__NINTEI_non</t>
  </si>
  <si>
    <t>cst_shinsei_strtower01_prgo03_NAME_VER__NINTEI_non</t>
  </si>
  <si>
    <t>プログラム04</t>
    <phoneticPr fontId="2"/>
  </si>
  <si>
    <t>プログラム04</t>
    <phoneticPr fontId="2"/>
  </si>
  <si>
    <t>**shinsei_strtower01_prgo04_NAME</t>
  </si>
  <si>
    <t xml:space="preserve"> - バージョン</t>
    <phoneticPr fontId="2"/>
  </si>
  <si>
    <t>**shinsei_strtower01_prgo04_VER</t>
  </si>
  <si>
    <t>cst_shinsei_strtower01_prgo04_NINTEI__umu</t>
    <phoneticPr fontId="2"/>
  </si>
  <si>
    <t>**shinsei_strtower01_prgo04_NINTEI_NO</t>
  </si>
  <si>
    <t>**shinsei_strtower01_prgo04_NINTEI_DATE</t>
  </si>
  <si>
    <t>cst_shinsei_strtower01_prgo04_NINTEI_DATE_dsp</t>
    <phoneticPr fontId="2"/>
  </si>
  <si>
    <t xml:space="preserve"> - メーカー</t>
    <phoneticPr fontId="2"/>
  </si>
  <si>
    <t>**shinsei_strtower01_prgo04_MAKER_NAME</t>
  </si>
  <si>
    <t>cst_shinsei_strtower01_prgo04_NAME_VER</t>
    <phoneticPr fontId="2"/>
  </si>
  <si>
    <t>cst_shinsei_strtower01_prgo04_NAME_VER__SP</t>
    <phoneticPr fontId="2"/>
  </si>
  <si>
    <t>cst_shinsei_strtower01_prgo04_MAKER__NINTEI_ari</t>
    <phoneticPr fontId="2"/>
  </si>
  <si>
    <t>cst_shinsei_strtower01_prgo04_NAME_VER__NINTEI_ari</t>
    <phoneticPr fontId="2"/>
  </si>
  <si>
    <t xml:space="preserve"> - メーカー(SP)</t>
    <phoneticPr fontId="2"/>
  </si>
  <si>
    <t>cst_shinsei_strtower01_prgo04_MAKER__NINTEI_non</t>
    <phoneticPr fontId="2"/>
  </si>
  <si>
    <t>cst_shinsei_strtower01_prgo04_NAME_VER__NINTEI_non</t>
    <phoneticPr fontId="2"/>
  </si>
  <si>
    <t>プログラム05</t>
    <phoneticPr fontId="2"/>
  </si>
  <si>
    <t>プログラム05</t>
    <phoneticPr fontId="2"/>
  </si>
  <si>
    <t>**shinsei_strtower01_prgo05_NAME</t>
  </si>
  <si>
    <t>text</t>
    <phoneticPr fontId="2"/>
  </si>
  <si>
    <t xml:space="preserve"> - バージョン</t>
    <phoneticPr fontId="2"/>
  </si>
  <si>
    <t>**shinsei_strtower01_prgo05_VER</t>
  </si>
  <si>
    <t>cst_shinsei_strtower01_prgo05_NINTEI__umu</t>
    <phoneticPr fontId="2"/>
  </si>
  <si>
    <t>**shinsei_strtower01_prgo05_NINTEI_NO</t>
  </si>
  <si>
    <t>**shinsei_strtower01_prgo05_NINTEI_DATE</t>
  </si>
  <si>
    <t>cst_shinsei_strtower01_prgo05_NINTEI_DATE_dsp</t>
    <phoneticPr fontId="2"/>
  </si>
  <si>
    <t>**shinsei_strtower01_prgo05_MAKER_NAME</t>
  </si>
  <si>
    <t>cst_shinsei_strtower01_prgo05_NAME_VER</t>
    <phoneticPr fontId="2"/>
  </si>
  <si>
    <t>cst_shinsei_strtower01_prgo05_NAME_VER__SP</t>
    <phoneticPr fontId="2"/>
  </si>
  <si>
    <t>cst_shinsei_strtower01_prgo05_MAKER__NINTEI_ari</t>
    <phoneticPr fontId="2"/>
  </si>
  <si>
    <t>cst_shinsei_strtower01_prgo05_NAME_VER__NINTEI_ari</t>
    <phoneticPr fontId="2"/>
  </si>
  <si>
    <t>cst_shinsei_strtower01_prgo05_MAKER__NINTEI_non</t>
    <phoneticPr fontId="2"/>
  </si>
  <si>
    <t>cst_shinsei_strtower01_prgo05_NAME_VER__NINTEI_non</t>
    <phoneticPr fontId="2"/>
  </si>
  <si>
    <t>cst_shinsei_STRTOWER01_PROG_NAME_VER__CHAR</t>
    <phoneticPr fontId="2"/>
  </si>
  <si>
    <t>cst_shinsei_STRTOWER01_PROG_NAME_VER__CHAR__SP</t>
    <phoneticPr fontId="2"/>
  </si>
  <si>
    <t>プログラム - 大臣認定</t>
    <rPh sb="8" eb="10">
      <t>ダイジン</t>
    </rPh>
    <rPh sb="10" eb="12">
      <t>ニンテイ</t>
    </rPh>
    <phoneticPr fontId="2"/>
  </si>
  <si>
    <t>cst_shinsei_STRTOWER01_PROG_MAKER__NINTEI_ari_SP</t>
    <phoneticPr fontId="2"/>
  </si>
  <si>
    <t>cst_shinsei_STRTOWER01_PROG_NAME_VER__NINTEI_ari_SP</t>
    <phoneticPr fontId="2"/>
  </si>
  <si>
    <t>cst_shinsei_STRTOWER01_PROG_NINTEI_DATE_SP</t>
    <phoneticPr fontId="2"/>
  </si>
  <si>
    <t>プログラム - その他</t>
    <rPh sb="10" eb="11">
      <t>タ</t>
    </rPh>
    <phoneticPr fontId="2"/>
  </si>
  <si>
    <t>cst_shinsei_STRTOWER01_PROG_MAKER__NINTEI_no_SP</t>
    <phoneticPr fontId="2"/>
  </si>
  <si>
    <t>cst_shinsei_STRTOWER01_PROG_NAME_VER__NINTEI_non_SP</t>
    <phoneticPr fontId="2"/>
  </si>
  <si>
    <t>ディスクの有無</t>
    <rPh sb="5" eb="7">
      <t>ウム</t>
    </rPh>
    <phoneticPr fontId="2"/>
  </si>
  <si>
    <t>**shinsei_strtower01_DISK_FLAG</t>
  </si>
  <si>
    <t>cst_shinsei_strtower01_DISK_FLAG</t>
    <phoneticPr fontId="2"/>
  </si>
  <si>
    <t>**shinsei_strtower01_CHARGE</t>
  </si>
  <si>
    <t>cst_shinsei_strtower01_CHARGE</t>
    <phoneticPr fontId="2"/>
  </si>
  <si>
    <t>cst_shinsei_strtower01_CHARGE__dsp</t>
    <phoneticPr fontId="2"/>
  </si>
  <si>
    <t>**shinsei_strtower01_CHARGE_WARIMASHI</t>
  </si>
  <si>
    <t>cst_shinsei_strtower01_CHARGE_WARIMASHI</t>
    <phoneticPr fontId="2"/>
  </si>
  <si>
    <t>**shinsei_strtower01_CHARGE_TOTAL</t>
  </si>
  <si>
    <t>cst_shinsei_strtower01_CHARGE_TOTAL</t>
    <phoneticPr fontId="2"/>
  </si>
  <si>
    <t>手数料算定面積</t>
    <rPh sb="0" eb="3">
      <t>テスウリョウ</t>
    </rPh>
    <rPh sb="3" eb="5">
      <t>サンテイ</t>
    </rPh>
    <rPh sb="5" eb="7">
      <t>メンセキ</t>
    </rPh>
    <phoneticPr fontId="2"/>
  </si>
  <si>
    <t>cst_shinsei_CHARGE_ID__meisai08_ITEM_NAME</t>
    <phoneticPr fontId="2"/>
  </si>
  <si>
    <t>cst_shinsei_CHARGE_ID__meisai08_SURYOU</t>
    <phoneticPr fontId="2"/>
  </si>
  <si>
    <t>cst_shinsei_CHARGE_ID__meisai08_TANKA</t>
    <phoneticPr fontId="2"/>
  </si>
  <si>
    <t>cst_shinsei_CHARGE_ID__meisai08_SYOUKEI</t>
    <phoneticPr fontId="2"/>
  </si>
  <si>
    <t>明細9</t>
    <rPh sb="0" eb="2">
      <t>メイサイ</t>
    </rPh>
    <phoneticPr fontId="2"/>
  </si>
  <si>
    <t>cst_shinsei_CHARGE_ID__meisai09_ITEM_NAME</t>
    <phoneticPr fontId="2"/>
  </si>
  <si>
    <t>txt</t>
    <phoneticPr fontId="2"/>
  </si>
  <si>
    <t>cst_shinsei_CHARGE_ID__meisai09_SURYOU</t>
    <phoneticPr fontId="2"/>
  </si>
  <si>
    <t>cst_shinsei_CHARGE_ID__meisai09_TANKA</t>
    <phoneticPr fontId="2"/>
  </si>
  <si>
    <t>cst_shinsei_CHARGE_ID__meisai09_SYOUKEI</t>
    <phoneticPr fontId="2"/>
  </si>
  <si>
    <t>txt</t>
    <phoneticPr fontId="2"/>
  </si>
  <si>
    <t>明細10</t>
    <rPh sb="0" eb="2">
      <t>メイサイ</t>
    </rPh>
    <phoneticPr fontId="2"/>
  </si>
  <si>
    <t>cst_shinsei_CHARGE_ID__meisai10_ITEM_NAME</t>
    <phoneticPr fontId="2"/>
  </si>
  <si>
    <t>txt</t>
    <phoneticPr fontId="2"/>
  </si>
  <si>
    <t>cst_shinsei_CHARGE_ID__meisai10_SURYOU</t>
    <phoneticPr fontId="2"/>
  </si>
  <si>
    <t>cst_shinsei_CHARGE_ID__meisai10_TANKA</t>
    <phoneticPr fontId="2"/>
  </si>
  <si>
    <t>cst_shinsei_CHARGE_ID__meisai10_SYOUKEI</t>
    <phoneticPr fontId="2"/>
  </si>
  <si>
    <t>明細11</t>
    <rPh sb="0" eb="2">
      <t>メイサイ</t>
    </rPh>
    <phoneticPr fontId="2"/>
  </si>
  <si>
    <t>cst_shinsei_CHARGE_ID__meisai11_ITEM_NAME</t>
    <phoneticPr fontId="2"/>
  </si>
  <si>
    <t>cst_shinsei_CHARGE_ID__meisai11_SURYOU</t>
    <phoneticPr fontId="2"/>
  </si>
  <si>
    <t>cst_shinsei_CHARGE_ID__meisai11_TANKA</t>
    <phoneticPr fontId="2"/>
  </si>
  <si>
    <t>cst_shinsei_CHARGE_ID__meisai11_SYOUKEI</t>
    <phoneticPr fontId="2"/>
  </si>
  <si>
    <t>入金日1</t>
    <phoneticPr fontId="2"/>
  </si>
  <si>
    <t>入金日1</t>
    <phoneticPr fontId="2"/>
  </si>
  <si>
    <t>cst_shinsei_CHARGE_ID__income01_INCOME_DATE</t>
    <phoneticPr fontId="2"/>
  </si>
  <si>
    <t>入金日2</t>
    <phoneticPr fontId="2"/>
  </si>
  <si>
    <t>入金日2</t>
    <phoneticPr fontId="2"/>
  </si>
  <si>
    <t>cst_shinsei_CHARGE_ID__income02_INCOME_DATE</t>
    <phoneticPr fontId="2"/>
  </si>
  <si>
    <t>入金日3</t>
    <phoneticPr fontId="2"/>
  </si>
  <si>
    <t>入金日3</t>
    <phoneticPr fontId="2"/>
  </si>
  <si>
    <t>cst_shinsei_CHARGE_ID__income03_INCOME_DATE</t>
    <phoneticPr fontId="2"/>
  </si>
  <si>
    <t>入金額1</t>
    <phoneticPr fontId="2"/>
  </si>
  <si>
    <t>入金額1</t>
    <phoneticPr fontId="2"/>
  </si>
  <si>
    <t>cst_shinsei_CHARGE_ID__income01_INCOME_MONEY</t>
    <phoneticPr fontId="2"/>
  </si>
  <si>
    <t>入金額2</t>
    <phoneticPr fontId="2"/>
  </si>
  <si>
    <t>cst_shinsei_CHARGE_ID__income02_INCOME_MONEY</t>
    <phoneticPr fontId="2"/>
  </si>
  <si>
    <t>入金額3</t>
    <phoneticPr fontId="2"/>
  </si>
  <si>
    <t>cst_shinsei_CHARGE_ID__income03_INCOME_MONEY</t>
    <phoneticPr fontId="2"/>
  </si>
  <si>
    <t>◇ 手数料2タブ</t>
    <rPh sb="2" eb="5">
      <t>テスウリョウ</t>
    </rPh>
    <phoneticPr fontId="2"/>
  </si>
  <si>
    <t>取引区分</t>
    <phoneticPr fontId="2"/>
  </si>
  <si>
    <t>現金（コンビニ時）</t>
    <rPh sb="0" eb="2">
      <t>ゲンキン</t>
    </rPh>
    <rPh sb="7" eb="8">
      <t>ジ</t>
    </rPh>
    <phoneticPr fontId="2"/>
  </si>
  <si>
    <t>cst_shinsei_CHARGE_ID2__CASH_FLAG</t>
    <phoneticPr fontId="2"/>
  </si>
  <si>
    <t>cst_shinsei_CHARGE_ID2__ENABLED</t>
    <phoneticPr fontId="2"/>
  </si>
  <si>
    <t>請求発生日</t>
    <rPh sb="0" eb="2">
      <t>セイキュウ</t>
    </rPh>
    <rPh sb="2" eb="5">
      <t>ハッセイビ</t>
    </rPh>
    <phoneticPr fontId="2"/>
  </si>
  <si>
    <t>cst_shinsei_CHARGE_ID2__BASE_DATE</t>
    <phoneticPr fontId="2"/>
  </si>
  <si>
    <t>請求書番号</t>
    <rPh sb="0" eb="3">
      <t>セイキュウショ</t>
    </rPh>
    <rPh sb="3" eb="5">
      <t>バンゴウ</t>
    </rPh>
    <phoneticPr fontId="2"/>
  </si>
  <si>
    <t>cst_shinsei_CHARGE_ID2__bill__no</t>
    <phoneticPr fontId="2"/>
  </si>
  <si>
    <t>請求年月日</t>
    <rPh sb="0" eb="2">
      <t>セイキュウ</t>
    </rPh>
    <rPh sb="2" eb="5">
      <t>ネンガッピ</t>
    </rPh>
    <phoneticPr fontId="2"/>
  </si>
  <si>
    <t>cst_shinsei_sekou2_JIMU_NAME</t>
  </si>
  <si>
    <t>**shinsei_sekou2__address</t>
  </si>
  <si>
    <t>cst_shinsei_sekou2__address</t>
  </si>
  <si>
    <t>**shinsei_sekou2_ADDRESS</t>
  </si>
  <si>
    <t>cst_shinsei_sekou2_ADDRESS</t>
  </si>
  <si>
    <t>電話番号</t>
    <phoneticPr fontId="2"/>
  </si>
  <si>
    <t>**shinsei_sekou2_TEL</t>
  </si>
  <si>
    <t>cst_shinsei_sekou2_TEL</t>
  </si>
  <si>
    <t>工事施工者3</t>
    <rPh sb="0" eb="2">
      <t>コウジ</t>
    </rPh>
    <rPh sb="2" eb="5">
      <t>セコウシャ</t>
    </rPh>
    <phoneticPr fontId="2"/>
  </si>
  <si>
    <t>氏名</t>
    <phoneticPr fontId="2"/>
  </si>
  <si>
    <t>cst_shinsei_sekou3_NAME</t>
    <phoneticPr fontId="2"/>
  </si>
  <si>
    <t>**shinsei_sekou3_JIMU_TOUROKU_KIKAN</t>
  </si>
  <si>
    <t>cst_shinsei_sekou3_JIMU_TOUROKU_KIKAN</t>
  </si>
  <si>
    <t>**shinsei_sekou3_JIMU_NO</t>
  </si>
  <si>
    <t>cst_shinsei_sekou3_JIMU_NO</t>
  </si>
  <si>
    <t>**shinsei_sekou3_JIMU_NAME</t>
  </si>
  <si>
    <t>cst_shinsei_sekou3_JIMU_NAME</t>
  </si>
  <si>
    <t>**shinsei_sekou3__address</t>
  </si>
  <si>
    <t>cst_shinsei_sekou3__address</t>
  </si>
  <si>
    <t>**shinsei_sekou3_ADDRESS</t>
  </si>
  <si>
    <t>cst_shinsei_sekou3_ADDRESS</t>
  </si>
  <si>
    <t>**shinsei_sekou3_TEL</t>
  </si>
  <si>
    <t>cst_shinsei_sekou3_TEL</t>
  </si>
  <si>
    <t>工事施工者4</t>
    <rPh sb="0" eb="2">
      <t>コウジ</t>
    </rPh>
    <rPh sb="2" eb="5">
      <t>セコウシャ</t>
    </rPh>
    <phoneticPr fontId="2"/>
  </si>
  <si>
    <t>氏名</t>
    <phoneticPr fontId="2"/>
  </si>
  <si>
    <t>**shinsei_sekou4_NAME</t>
  </si>
  <si>
    <t>cst_shinsei_sekou4_NAME</t>
  </si>
  <si>
    <t>**shinsei_sekou4_JIMU_TOUROKU_KIKAN</t>
  </si>
  <si>
    <t>cst_shinsei_sekou4_JIMU_TOUROKU_KIKAN</t>
  </si>
  <si>
    <t>**shinsei_sekou4_JIMU_NO</t>
  </si>
  <si>
    <t>cst_shinsei_sekou4_JIMU_NO</t>
  </si>
  <si>
    <t>**shinsei_sekou4_JIMU_NAME</t>
  </si>
  <si>
    <t>cst_shinsei_sekou4_JIMU_NAME</t>
  </si>
  <si>
    <t>**shinsei_sekou4__address</t>
  </si>
  <si>
    <t>cst_shinsei_sekou4__address</t>
  </si>
  <si>
    <t>**shinsei_sekou4_ADDRESS</t>
  </si>
  <si>
    <t>cst_shinsei_sekou4_ADDRESS</t>
  </si>
  <si>
    <t>**shinsei_sekou4_TEL</t>
  </si>
  <si>
    <t>cst_shinsei_sekou4_TEL</t>
  </si>
  <si>
    <t>工事施工者5</t>
    <rPh sb="0" eb="2">
      <t>コウジ</t>
    </rPh>
    <rPh sb="2" eb="5">
      <t>セコウシャ</t>
    </rPh>
    <phoneticPr fontId="2"/>
  </si>
  <si>
    <t>氏名</t>
    <phoneticPr fontId="2"/>
  </si>
  <si>
    <t>**shinsei_sekou5_NAME</t>
  </si>
  <si>
    <t>cst_shinsei_sekou5_NAME</t>
  </si>
  <si>
    <t>**shinsei_sekou5_JIMU_TOUROKU_KIKAN</t>
  </si>
  <si>
    <t>cst_shinsei_sekou5_JIMU_TOUROKU_KIKAN</t>
  </si>
  <si>
    <t>**shinsei_sekou5_JIMU_NO</t>
  </si>
  <si>
    <t>cst_shinsei_sekou5_JIMU_NO</t>
  </si>
  <si>
    <t>**shinsei_sekou5_JIMU_NAME</t>
  </si>
  <si>
    <t>cst_shinsei_sekou5_JIMU_NAME</t>
  </si>
  <si>
    <t>**shinsei_sekou5__address</t>
  </si>
  <si>
    <t>cst_shinsei_sekou5__address</t>
  </si>
  <si>
    <t>**shinsei_sekou5_ADDRESS</t>
  </si>
  <si>
    <t>cst_shinsei_sekou5_ADDRESS</t>
  </si>
  <si>
    <t>**shinsei_sekou5_TEL</t>
  </si>
  <si>
    <t>cst_shinsei_sekou5_TEL</t>
  </si>
  <si>
    <t>工事施工者6</t>
    <rPh sb="0" eb="2">
      <t>コウジ</t>
    </rPh>
    <rPh sb="2" eb="5">
      <t>セコウシャ</t>
    </rPh>
    <phoneticPr fontId="2"/>
  </si>
  <si>
    <t>**shinsei_sekou6_NAME</t>
  </si>
  <si>
    <t>cst_shinsei_sekou6_NAME</t>
  </si>
  <si>
    <t>**shinsei_sekou6_JIMU_TOUROKU_KIKAN</t>
  </si>
  <si>
    <t>cst_shinsei_sekou6_JIMU_TOUROKU_KIKAN</t>
  </si>
  <si>
    <t>**shinsei_sekou6_JIMU_NO</t>
  </si>
  <si>
    <t>cst_shinsei_sekou6_JIMU_NO</t>
  </si>
  <si>
    <t>**shinsei_sekou6_JIMU_NAME</t>
  </si>
  <si>
    <t>cst_shinsei_sekou6_JIMU_NAME</t>
  </si>
  <si>
    <t>**shinsei_sekou6__address</t>
  </si>
  <si>
    <t>cst_shinsei_sekou6__address</t>
  </si>
  <si>
    <t>**shinsei_sekou6_ADDRESS</t>
  </si>
  <si>
    <t>cst_shinsei_sekou6_ADDRESS</t>
  </si>
  <si>
    <t>**shinsei_sekou6_TEL</t>
  </si>
  <si>
    <t>cst_shinsei_sekou6_TEL</t>
  </si>
  <si>
    <t>■ 概要（第三面）</t>
    <rPh sb="2" eb="4">
      <t>ガイヨウ</t>
    </rPh>
    <rPh sb="5" eb="6">
      <t>ダイ</t>
    </rPh>
    <rPh sb="6" eb="8">
      <t>サンメン</t>
    </rPh>
    <phoneticPr fontId="2"/>
  </si>
  <si>
    <t>地名地番</t>
    <phoneticPr fontId="2"/>
  </si>
  <si>
    <t>**shinsei_build_address</t>
  </si>
  <si>
    <t>cst_shinsei_build_address</t>
    <phoneticPr fontId="2"/>
  </si>
  <si>
    <t>住居表示</t>
    <phoneticPr fontId="2"/>
  </si>
  <si>
    <t>**shinsei_build_JYUKYO__address</t>
  </si>
  <si>
    <t>cst_shinsei_build_JYUKYO__address</t>
    <phoneticPr fontId="2"/>
  </si>
  <si>
    <t>敷地面積</t>
    <rPh sb="0" eb="2">
      <t>シキチ</t>
    </rPh>
    <rPh sb="2" eb="4">
      <t>メンセキ</t>
    </rPh>
    <phoneticPr fontId="2"/>
  </si>
  <si>
    <t>cst_shinsei_build_SHIKITI_MENSEKI_1_TOTAL</t>
    <phoneticPr fontId="2"/>
  </si>
  <si>
    <t>延べ面積</t>
    <phoneticPr fontId="2"/>
  </si>
  <si>
    <t xml:space="preserve">#,##0.00_ </t>
    <phoneticPr fontId="2"/>
  </si>
  <si>
    <t>建築物全体（申請部分）</t>
  </si>
  <si>
    <t>**shinsei_build_NOBE_MENSEKI_BILL_SHINSEI</t>
  </si>
  <si>
    <t>cst_shinsei_build_NOBE_MENSEKI_BILL_SHINSEI</t>
    <phoneticPr fontId="2"/>
  </si>
  <si>
    <t>建築物全体（申請以外の部分）</t>
    <phoneticPr fontId="2"/>
  </si>
  <si>
    <t>cst_shinsei_build_NOBE_MENSEKI_BILL_SHINSEI_IGAI__zero</t>
    <phoneticPr fontId="2"/>
  </si>
  <si>
    <t>[ 0 ]出力</t>
    <phoneticPr fontId="2"/>
  </si>
  <si>
    <t xml:space="preserve"> - マイナス表示</t>
    <phoneticPr fontId="2"/>
  </si>
  <si>
    <t>cst_shinsei_build_NOBE_MENSEKI_BILL_SHINSEI_IGAI__minus</t>
    <phoneticPr fontId="2"/>
  </si>
  <si>
    <t>[ - ]出力</t>
    <rPh sb="5" eb="7">
      <t>シュツリョク</t>
    </rPh>
    <phoneticPr fontId="2"/>
  </si>
  <si>
    <t>建築物全体（合計）</t>
  </si>
  <si>
    <t>cst_shinsei_build_NOBE_MENSEKI_BILL_SHINSEI_TOTAL</t>
    <phoneticPr fontId="2"/>
  </si>
  <si>
    <t>指定容積率</t>
    <rPh sb="0" eb="2">
      <t>シテイ</t>
    </rPh>
    <rPh sb="2" eb="4">
      <t>ヨウセキ</t>
    </rPh>
    <rPh sb="4" eb="5">
      <t>リツ</t>
    </rPh>
    <phoneticPr fontId="2"/>
  </si>
  <si>
    <t>cst_shinsei_build_YOUSEKI_RITU_A</t>
    <phoneticPr fontId="2"/>
  </si>
  <si>
    <t>指定建ぺい率</t>
    <rPh sb="0" eb="2">
      <t>シテイ</t>
    </rPh>
    <rPh sb="2" eb="3">
      <t>ケン</t>
    </rPh>
    <rPh sb="5" eb="6">
      <t>リツ</t>
    </rPh>
    <phoneticPr fontId="2"/>
  </si>
  <si>
    <t>cst_shinsei_build_KENPEI_RITU_A</t>
    <phoneticPr fontId="2"/>
  </si>
  <si>
    <t>建蔽率（10.ﾛ）</t>
    <rPh sb="0" eb="3">
      <t>ケンペイリツ</t>
    </rPh>
    <phoneticPr fontId="2"/>
  </si>
  <si>
    <t>cst_shinsei_build_KENPEI_RITU</t>
    <phoneticPr fontId="2"/>
  </si>
  <si>
    <t>容積率（11）</t>
    <rPh sb="0" eb="2">
      <t>ヨウセキ</t>
    </rPh>
    <rPh sb="2" eb="3">
      <t>リツ</t>
    </rPh>
    <phoneticPr fontId="2"/>
  </si>
  <si>
    <t>cst_shinsei_build_YOUSEKI_RITU</t>
    <phoneticPr fontId="2"/>
  </si>
  <si>
    <t>申請棟数</t>
    <phoneticPr fontId="2"/>
  </si>
  <si>
    <t>cst_shinsei_build_BILL_SHINSEI_COUNT</t>
    <phoneticPr fontId="2"/>
  </si>
  <si>
    <t>cst_shinsei_build_BILL_SHINSEI_COUNT_2</t>
    <phoneticPr fontId="2"/>
  </si>
  <si>
    <t>中間・完了時、確認済証日付が2012/2/13以前の場合は数字のみ、以降は"棟"表示</t>
    <phoneticPr fontId="2"/>
  </si>
  <si>
    <t>申請以外棟数</t>
    <rPh sb="2" eb="4">
      <t>イガイ</t>
    </rPh>
    <phoneticPr fontId="2"/>
  </si>
  <si>
    <t>cst_shinsei_build_BILL_SONOTA_COUNT</t>
    <phoneticPr fontId="2"/>
  </si>
  <si>
    <t>階数</t>
    <phoneticPr fontId="2"/>
  </si>
  <si>
    <t>地上（申請に係る建築物）</t>
  </si>
  <si>
    <t>**shinsei_build_KAISU_TIJYOU_SHINSEI</t>
  </si>
  <si>
    <t>cst_shinsei_build_KAISU_TIJYOU_SHINSEI</t>
    <phoneticPr fontId="2"/>
  </si>
  <si>
    <t>cst_shinsei_build_KAISU_TIJYOU_SHINSEI_2</t>
    <phoneticPr fontId="2"/>
  </si>
  <si>
    <t>地下（申請に係る建築物）</t>
    <phoneticPr fontId="2"/>
  </si>
  <si>
    <t>cst_shinsei_build_KAISU_TIKA_SHINSEI__zero</t>
  </si>
  <si>
    <t>[ 0 ]出力</t>
    <phoneticPr fontId="2"/>
  </si>
  <si>
    <t>cst_shinsei_build_KAISU_TIKA_SHINSEI__zero_2</t>
    <phoneticPr fontId="2"/>
  </si>
  <si>
    <t xml:space="preserve"> - マイナス表示</t>
    <phoneticPr fontId="2"/>
  </si>
  <si>
    <t>cst_shinsei_build_KAISU_TIKA_SHINSEI__minus</t>
    <phoneticPr fontId="2"/>
  </si>
  <si>
    <t>cst_shinsei_build_KAISU_TIKA_SHINSEI__minus</t>
    <phoneticPr fontId="2"/>
  </si>
  <si>
    <t>主要用途</t>
    <rPh sb="0" eb="2">
      <t>シュヨウ</t>
    </rPh>
    <rPh sb="2" eb="4">
      <t>ヨウト</t>
    </rPh>
    <phoneticPr fontId="2"/>
  </si>
  <si>
    <t>区分</t>
    <phoneticPr fontId="2"/>
  </si>
  <si>
    <t>08010</t>
    <phoneticPr fontId="2"/>
  </si>
  <si>
    <t>cst_shinsei_build_YOUTO_CODE</t>
    <phoneticPr fontId="2"/>
  </si>
  <si>
    <t>名称</t>
    <rPh sb="0" eb="2">
      <t>メイショウ</t>
    </rPh>
    <phoneticPr fontId="2"/>
  </si>
  <si>
    <t>**shinsei_build_YOUTO</t>
  </si>
  <si>
    <t>cst_shinsei_build_YOUTO</t>
    <phoneticPr fontId="2"/>
  </si>
  <si>
    <t>印刷用</t>
    <rPh sb="0" eb="3">
      <t>インサツヨウ</t>
    </rPh>
    <phoneticPr fontId="2"/>
  </si>
  <si>
    <t>cst_shinsei_build_YOUTO_PRINT</t>
    <phoneticPr fontId="2"/>
  </si>
  <si>
    <t>工事種別（共通）</t>
    <rPh sb="5" eb="7">
      <t>キョウツウ</t>
    </rPh>
    <phoneticPr fontId="2"/>
  </si>
  <si>
    <t>cst_shinsei_kouji</t>
    <phoneticPr fontId="2"/>
  </si>
  <si>
    <t>txt</t>
    <phoneticPr fontId="2"/>
  </si>
  <si>
    <t>用途地域等</t>
    <rPh sb="0" eb="2">
      <t>ヨウト</t>
    </rPh>
    <rPh sb="2" eb="4">
      <t>チイキ</t>
    </rPh>
    <rPh sb="4" eb="5">
      <t>ナド</t>
    </rPh>
    <phoneticPr fontId="2"/>
  </si>
  <si>
    <t>用途地域</t>
    <rPh sb="0" eb="2">
      <t>ヨウト</t>
    </rPh>
    <rPh sb="2" eb="4">
      <t>チイキ</t>
    </rPh>
    <phoneticPr fontId="2"/>
  </si>
  <si>
    <t>cst_shinsei_build_YOUTO_TIIKI_A</t>
    <phoneticPr fontId="2"/>
  </si>
  <si>
    <t>その他の地域地区</t>
    <rPh sb="2" eb="3">
      <t>タ</t>
    </rPh>
    <rPh sb="4" eb="6">
      <t>チイキ</t>
    </rPh>
    <rPh sb="6" eb="8">
      <t>チク</t>
    </rPh>
    <phoneticPr fontId="2"/>
  </si>
  <si>
    <t>cst_shinsei_build_SONOTA_KUIKI</t>
    <phoneticPr fontId="2"/>
  </si>
  <si>
    <t>防火地域</t>
    <rPh sb="0" eb="2">
      <t>ボウカ</t>
    </rPh>
    <rPh sb="2" eb="4">
      <t>チイキ</t>
    </rPh>
    <phoneticPr fontId="2"/>
  </si>
  <si>
    <t>cst_shinsei_build_BOUKA_BOUKA</t>
    <phoneticPr fontId="2"/>
  </si>
  <si>
    <t>準防火地域</t>
    <rPh sb="0" eb="1">
      <t>ジュン</t>
    </rPh>
    <rPh sb="1" eb="3">
      <t>ボウカ</t>
    </rPh>
    <rPh sb="3" eb="5">
      <t>チイキ</t>
    </rPh>
    <phoneticPr fontId="2"/>
  </si>
  <si>
    <t>cst_shinsei_build_BOUKA_JYUN_BOUKA</t>
    <phoneticPr fontId="2"/>
  </si>
  <si>
    <t>指定なし</t>
    <rPh sb="0" eb="2">
      <t>シテイ</t>
    </rPh>
    <phoneticPr fontId="2"/>
  </si>
  <si>
    <t>cst_shinsei_build_BOUKA_NASI</t>
    <phoneticPr fontId="2"/>
  </si>
  <si>
    <t>帳票用</t>
    <rPh sb="0" eb="3">
      <t>チョウヒョウヨウ</t>
    </rPh>
    <phoneticPr fontId="2"/>
  </si>
  <si>
    <t>cst_shinsei_build_BOUKA</t>
    <phoneticPr fontId="2"/>
  </si>
  <si>
    <t>工事種別 - 建築物 - 確認申請</t>
    <rPh sb="7" eb="10">
      <t>ケンチクブツ</t>
    </rPh>
    <rPh sb="13" eb="15">
      <t>カクニン</t>
    </rPh>
    <rPh sb="15" eb="17">
      <t>シンセイ</t>
    </rPh>
    <phoneticPr fontId="2"/>
  </si>
  <si>
    <t>新築</t>
    <phoneticPr fontId="2"/>
  </si>
  <si>
    <t>**shinsei_build_KOUJI_SINTIKU</t>
  </si>
  <si>
    <t>□</t>
    <phoneticPr fontId="2"/>
  </si>
  <si>
    <t>cst_shinsei_build_KOUJI_SINTIKU</t>
    <phoneticPr fontId="2"/>
  </si>
  <si>
    <t>増築</t>
    <phoneticPr fontId="2"/>
  </si>
  <si>
    <t>**shinsei_build_KOUJI_ZOUTIKU</t>
  </si>
  <si>
    <t>cst_shinsei_build_KOUJI_ZOUTIKU</t>
    <phoneticPr fontId="2"/>
  </si>
  <si>
    <t>改築</t>
  </si>
  <si>
    <t>**shinsei_build_KOUJI_KAITIKU</t>
  </si>
  <si>
    <t>cst_shinsei_build_KOUJI_KAITIKU</t>
    <phoneticPr fontId="2"/>
  </si>
  <si>
    <t>移転</t>
  </si>
  <si>
    <t>**shinsei_build_KOUJI_ITEN</t>
  </si>
  <si>
    <t>cst_shinsei_build_KOUJI_ITEN</t>
    <phoneticPr fontId="2"/>
  </si>
  <si>
    <t>用途変更</t>
  </si>
  <si>
    <t>**shinsei_build_KOUJI_YOUTOHENKOU</t>
  </si>
  <si>
    <t>cst_shinsei_build_KOUJI_YOUTOHENKOU</t>
    <phoneticPr fontId="2"/>
  </si>
  <si>
    <t>**shinsei_build_KOUJI_DAI_SYUUZEN</t>
  </si>
  <si>
    <t>cst_shinsei_build_KOUJI_DAI_SYUUZEN</t>
    <phoneticPr fontId="2"/>
  </si>
  <si>
    <t>**shinsei_build_KOUJI_DAI_MOYOUGAE</t>
  </si>
  <si>
    <t>cst_shinsei_build_KOUJI_DAI_MOYOUGAE</t>
    <phoneticPr fontId="2"/>
  </si>
  <si>
    <t>工事種別 - 工作物 - 確認申請</t>
    <rPh sb="7" eb="10">
      <t>コウサクブツ</t>
    </rPh>
    <rPh sb="13" eb="15">
      <t>カクニン</t>
    </rPh>
    <rPh sb="15" eb="17">
      <t>シンセイ</t>
    </rPh>
    <phoneticPr fontId="2"/>
  </si>
  <si>
    <t>**shinsei_ev_KOUSAKU_KOUJI_SHINTIKU</t>
  </si>
  <si>
    <t>cst_shinsei_ev_KOUSAKU_KOUJI_SHINTIKU</t>
    <phoneticPr fontId="2"/>
  </si>
  <si>
    <t>**shinsei_ev_KOUSAKU_KOUJI_ZOUTIKU</t>
  </si>
  <si>
    <t>cst_shinsei_ev_KOUSAKU_KOUJI_ZOUTIKU</t>
    <phoneticPr fontId="2"/>
  </si>
  <si>
    <t>**shinsei_ev_KOUSAKU_KOUJI_KAITIKU</t>
  </si>
  <si>
    <t>cst_shinsei_ev_KOUSAKU_KOUJI_KAITIKU</t>
    <phoneticPr fontId="2"/>
  </si>
  <si>
    <t>その他</t>
    <rPh sb="2" eb="3">
      <t>タ</t>
    </rPh>
    <phoneticPr fontId="2"/>
  </si>
  <si>
    <t>**shinsei_ev_KOUSAKU_KOUJI_SONOTA</t>
  </si>
  <si>
    <t>cst_shinsei_ev_KOUSAKU_KOUJI_SONOTA</t>
    <phoneticPr fontId="2"/>
  </si>
  <si>
    <t>工事種別 - 中間検査</t>
    <rPh sb="7" eb="9">
      <t>チュウカン</t>
    </rPh>
    <rPh sb="9" eb="11">
      <t>ケンサ</t>
    </rPh>
    <phoneticPr fontId="2"/>
  </si>
  <si>
    <t>新築</t>
  </si>
  <si>
    <t>**shinsei_intermediate_BILL_KOUJI_SINTIKU</t>
  </si>
  <si>
    <t>cst_shinsei_intermediate_BILL_KOUJI_SINTIKU</t>
    <phoneticPr fontId="2"/>
  </si>
  <si>
    <t>増築</t>
  </si>
  <si>
    <t>**shinsei_intermediate_BILL_KOUJI_ZOUTIKU</t>
  </si>
  <si>
    <t>cst_shinsei_intermediate_BILL_KOUJI_ZOUTIKU</t>
    <phoneticPr fontId="2"/>
  </si>
  <si>
    <t>**shinsei_intermediate_BILL_KOUJI_KAITIKU</t>
  </si>
  <si>
    <t>cst_shinsei_intermediate_BILL_KOUJI_KAITIKU</t>
    <phoneticPr fontId="2"/>
  </si>
  <si>
    <t>**shinsei_intermediate_BILL_KOUJI_ITEN</t>
  </si>
  <si>
    <t>cst_shinsei_intermediate_BILL_KOUJI_ITEN</t>
    <phoneticPr fontId="2"/>
  </si>
  <si>
    <t>**shinsei_intermediate_BILL_KOUJI_DAI_SYUUZEN</t>
  </si>
  <si>
    <t>cst_shinsei_intermediate_BILL_KOUJI_DAI_SYUUZEN</t>
    <phoneticPr fontId="2"/>
  </si>
  <si>
    <t>**shinsei_intermediate_BILL_KOUJI_DAI_MOYOUGAE</t>
  </si>
  <si>
    <t>cst_shinsei_intermediate_BILL_KOUJI_DAI_MOYOUGAE</t>
    <phoneticPr fontId="2"/>
  </si>
  <si>
    <t>建築設備の設置</t>
  </si>
  <si>
    <t>**shinsei_intermediate_BILL_KOUJI_SETUBISETTI</t>
  </si>
  <si>
    <t>cst_shinsei_intermediate_BILL_KOUJI_SETUBISETTI</t>
    <phoneticPr fontId="2"/>
  </si>
  <si>
    <t>工事種別 - 完了検査</t>
    <rPh sb="7" eb="9">
      <t>カンリョウ</t>
    </rPh>
    <rPh sb="9" eb="11">
      <t>ケンサ</t>
    </rPh>
    <phoneticPr fontId="2"/>
  </si>
  <si>
    <t>**shinsei_final_KOUJI_SINTIKU</t>
  </si>
  <si>
    <t>cst_shinsei_final_KOUJI_SINTIKU</t>
    <phoneticPr fontId="2"/>
  </si>
  <si>
    <t>**shinsei_final_KOUJI_ZOUTIKU</t>
  </si>
  <si>
    <t>cst_shinsei_final_KOUJI_ZOUTIKU</t>
    <phoneticPr fontId="2"/>
  </si>
  <si>
    <t>**shinsei_final_KOUJI_KAITIKU</t>
  </si>
  <si>
    <t>cst_shinsei_final_KOUJI_KAITIKU</t>
    <phoneticPr fontId="2"/>
  </si>
  <si>
    <t>**shinsei_final_KOUJI_ITEN</t>
  </si>
  <si>
    <t>cst_shinsei_final_KOUJI_ITEN</t>
    <phoneticPr fontId="2"/>
  </si>
  <si>
    <t>**shinsei_final_KOUJI_DAI_SYUUZEN</t>
  </si>
  <si>
    <t>cst_shinsei_final_KOUJI_DAI_SYUUZEN</t>
    <phoneticPr fontId="2"/>
  </si>
  <si>
    <t>**shinsei_final_KOUJI_DAI_MOYOUGAE</t>
  </si>
  <si>
    <t>cst_shinsei_final_KOUJI_DAI_MOYOUGAE</t>
    <phoneticPr fontId="2"/>
  </si>
  <si>
    <t>**shinsei_final_KOUJI_SETUBISETTI</t>
  </si>
  <si>
    <t>cst_shinsei_final_KOUJI_SETUBISETTI</t>
    <phoneticPr fontId="2"/>
  </si>
  <si>
    <t>建築物の構造</t>
    <phoneticPr fontId="2"/>
  </si>
  <si>
    <t>**shinsei_build_kouzou</t>
  </si>
  <si>
    <t>cst_shinsei_build_kouzou</t>
    <phoneticPr fontId="2"/>
  </si>
  <si>
    <t>主要部＋一部</t>
    <phoneticPr fontId="2"/>
  </si>
  <si>
    <t>木造</t>
    <rPh sb="0" eb="2">
      <t>モクゾウ</t>
    </rPh>
    <phoneticPr fontId="2"/>
  </si>
  <si>
    <t>cst_shinsei_build_KOUZOU1</t>
    <phoneticPr fontId="2"/>
  </si>
  <si>
    <t>cst_shinsei_build_KOUZOU2</t>
    <phoneticPr fontId="2"/>
  </si>
  <si>
    <t>建築物の名称又は工事名、物件名、建築物名称</t>
    <rPh sb="12" eb="14">
      <t>ブッケン</t>
    </rPh>
    <rPh sb="14" eb="15">
      <t>メイ</t>
    </rPh>
    <rPh sb="16" eb="19">
      <t>ケンチクブツ</t>
    </rPh>
    <rPh sb="19" eb="21">
      <t>メイショウ</t>
    </rPh>
    <phoneticPr fontId="2"/>
  </si>
  <si>
    <t>建築物・工作物</t>
    <rPh sb="0" eb="3">
      <t>ケンチクブツ</t>
    </rPh>
    <rPh sb="4" eb="7">
      <t>コウサクブツ</t>
    </rPh>
    <phoneticPr fontId="2"/>
  </si>
  <si>
    <t>cst_shinsei_BILL_NAME</t>
    <phoneticPr fontId="2"/>
  </si>
  <si>
    <t>建築物、工作物</t>
    <rPh sb="0" eb="3">
      <t>ケンチクブツ</t>
    </rPh>
    <rPh sb="4" eb="7">
      <t>コウサクブツ</t>
    </rPh>
    <phoneticPr fontId="2"/>
  </si>
  <si>
    <t>昇降機</t>
    <rPh sb="0" eb="3">
      <t>ショウコウキ</t>
    </rPh>
    <phoneticPr fontId="2"/>
  </si>
  <si>
    <t>cst_shinsei_ev_EV_BILL_NAME</t>
  </si>
  <si>
    <t>●</t>
    <phoneticPr fontId="2"/>
  </si>
  <si>
    <t>建築物・工作物・昇降機（共通）：</t>
    <rPh sb="0" eb="3">
      <t>ケンチクブツ</t>
    </rPh>
    <rPh sb="4" eb="7">
      <t>コウサクブツ</t>
    </rPh>
    <rPh sb="8" eb="11">
      <t>ショウコウキ</t>
    </rPh>
    <rPh sb="12" eb="14">
      <t>キョウツウ</t>
    </rPh>
    <phoneticPr fontId="2"/>
  </si>
  <si>
    <t>cst_shinsei_BILL_NAME__common</t>
    <phoneticPr fontId="2"/>
  </si>
  <si>
    <t>建築物・昇降機・工作物：建築物の名称</t>
    <rPh sb="0" eb="3">
      <t>ケンチクブツ</t>
    </rPh>
    <rPh sb="4" eb="7">
      <t>ショウコウキ</t>
    </rPh>
    <rPh sb="8" eb="11">
      <t>コウサクブツ</t>
    </rPh>
    <rPh sb="12" eb="15">
      <t>ケンチクブツ</t>
    </rPh>
    <rPh sb="16" eb="18">
      <t>メイショウ</t>
    </rPh>
    <phoneticPr fontId="2"/>
  </si>
  <si>
    <t>工事完了予定年月日</t>
    <rPh sb="0" eb="2">
      <t>コウジ</t>
    </rPh>
    <rPh sb="2" eb="4">
      <t>カンリョウ</t>
    </rPh>
    <rPh sb="4" eb="6">
      <t>ヨテイ</t>
    </rPh>
    <rPh sb="6" eb="9">
      <t>ネンガッピ</t>
    </rPh>
    <phoneticPr fontId="2"/>
  </si>
  <si>
    <t>◇ 確認・中間</t>
    <rPh sb="2" eb="4">
      <t>カクニン</t>
    </rPh>
    <rPh sb="5" eb="7">
      <t>チュウカン</t>
    </rPh>
    <phoneticPr fontId="2"/>
  </si>
  <si>
    <t>cst_shinsei_KOUJI_KANRYOU_DATE</t>
    <phoneticPr fontId="2"/>
  </si>
  <si>
    <t>date</t>
    <phoneticPr fontId="2"/>
  </si>
  <si>
    <t>date</t>
    <phoneticPr fontId="2"/>
  </si>
  <si>
    <t>◇ 完了</t>
    <rPh sb="2" eb="4">
      <t>カンリョウ</t>
    </rPh>
    <phoneticPr fontId="2"/>
  </si>
  <si>
    <t>cst_shinsei_final_KAN_KANRYOU_YOTEI_DATE</t>
    <phoneticPr fontId="2"/>
  </si>
  <si>
    <t>date</t>
    <phoneticPr fontId="2"/>
  </si>
  <si>
    <t>◇ 確認・中間・完了</t>
    <rPh sb="2" eb="4">
      <t>カクニン</t>
    </rPh>
    <rPh sb="5" eb="7">
      <t>チュウカン</t>
    </rPh>
    <rPh sb="8" eb="10">
      <t>カンリョウ</t>
    </rPh>
    <phoneticPr fontId="2"/>
  </si>
  <si>
    <t>cst_shinsei_KOUJI_KANRYOU_DATE__common</t>
    <phoneticPr fontId="2"/>
  </si>
  <si>
    <t>cst_shinsei_KOUJI_KANRYOU_DATE__common__disp</t>
    <phoneticPr fontId="2"/>
  </si>
  <si>
    <t>天空率の適用</t>
    <rPh sb="0" eb="2">
      <t>テンクウ</t>
    </rPh>
    <rPh sb="2" eb="3">
      <t>リツ</t>
    </rPh>
    <rPh sb="4" eb="6">
      <t>テキヨウ</t>
    </rPh>
    <phoneticPr fontId="2"/>
  </si>
  <si>
    <t>□、■表示</t>
    <rPh sb="3" eb="5">
      <t>ヒョウジ</t>
    </rPh>
    <phoneticPr fontId="2"/>
  </si>
  <si>
    <t>道路</t>
    <rPh sb="0" eb="2">
      <t>ドウロ</t>
    </rPh>
    <phoneticPr fontId="2"/>
  </si>
  <si>
    <t>cst_shinsei_build_TOKUREI_56_7_DOURO_TAKASA</t>
    <phoneticPr fontId="2"/>
  </si>
  <si>
    <t>隣地</t>
    <rPh sb="0" eb="2">
      <t>リンチ</t>
    </rPh>
    <phoneticPr fontId="2"/>
  </si>
  <si>
    <t>cst_shinsei_build_TOKUREI_56_7_DOURO_RINTI</t>
    <phoneticPr fontId="2"/>
  </si>
  <si>
    <t>北側</t>
    <rPh sb="0" eb="2">
      <t>キタガワ</t>
    </rPh>
    <phoneticPr fontId="2"/>
  </si>
  <si>
    <t>cst_shinsei_build_TOKUREI_56_7_DOURO_KITA</t>
    <phoneticPr fontId="2"/>
  </si>
  <si>
    <t>検査経過</t>
    <rPh sb="0" eb="2">
      <t>ケンサ</t>
    </rPh>
    <rPh sb="2" eb="4">
      <t>ケイカ</t>
    </rPh>
    <phoneticPr fontId="2"/>
  </si>
  <si>
    <t>中間検査合格証番号</t>
    <rPh sb="0" eb="2">
      <t>チュウカン</t>
    </rPh>
    <rPh sb="2" eb="4">
      <t>ケンサ</t>
    </rPh>
    <rPh sb="4" eb="6">
      <t>ゴウカク</t>
    </rPh>
    <rPh sb="6" eb="7">
      <t>ショウ</t>
    </rPh>
    <rPh sb="7" eb="9">
      <t>バンゴウ</t>
    </rPh>
    <phoneticPr fontId="2"/>
  </si>
  <si>
    <t>cst_shinsei_KANRYOU_KEIKA1_GOUKAKU_NO</t>
    <phoneticPr fontId="2"/>
  </si>
  <si>
    <t>cst_shinsei_KANRYOU_KEIKA1_GOUKAKU_NO_disp</t>
    <phoneticPr fontId="2"/>
  </si>
  <si>
    <t>中間検査合格年月日</t>
    <rPh sb="0" eb="2">
      <t>チュウカン</t>
    </rPh>
    <rPh sb="2" eb="4">
      <t>ケンサ</t>
    </rPh>
    <rPh sb="4" eb="6">
      <t>ゴウカク</t>
    </rPh>
    <rPh sb="6" eb="9">
      <t>ネンガッピ</t>
    </rPh>
    <phoneticPr fontId="2"/>
  </si>
  <si>
    <t>cst_shinsei_KANRYOU_KEIKA1_KOUFU_DATE</t>
    <phoneticPr fontId="2"/>
  </si>
  <si>
    <t>前回の特定工程</t>
    <rPh sb="0" eb="2">
      <t>ゼンカイ</t>
    </rPh>
    <rPh sb="3" eb="5">
      <t>トクテイ</t>
    </rPh>
    <rPh sb="5" eb="7">
      <t>コウテイ</t>
    </rPh>
    <phoneticPr fontId="2"/>
  </si>
  <si>
    <t>cst_shinsei_KANRYOU_KEIKA1_KOUTEI</t>
    <phoneticPr fontId="2"/>
  </si>
  <si>
    <t>■ 申請書　第四面</t>
    <rPh sb="2" eb="5">
      <t>シンセイショ</t>
    </rPh>
    <rPh sb="6" eb="7">
      <t>ダイ</t>
    </rPh>
    <rPh sb="7" eb="9">
      <t>ヨンメン</t>
    </rPh>
    <phoneticPr fontId="2"/>
  </si>
  <si>
    <t>耐火建築物</t>
    <rPh sb="0" eb="2">
      <t>タイカ</t>
    </rPh>
    <rPh sb="2" eb="4">
      <t>ケンチク</t>
    </rPh>
    <rPh sb="4" eb="5">
      <t>ブツ</t>
    </rPh>
    <phoneticPr fontId="2"/>
  </si>
  <si>
    <t>cst_shinsei_build_p4_TAIKA_KENTIKU</t>
    <phoneticPr fontId="2"/>
  </si>
  <si>
    <t>軒の高さ</t>
    <rPh sb="0" eb="1">
      <t>ノキ</t>
    </rPh>
    <rPh sb="2" eb="3">
      <t>タカ</t>
    </rPh>
    <phoneticPr fontId="2"/>
  </si>
  <si>
    <t>cst_shinsei_build_p4_TAKASA_KEN_MAX</t>
    <phoneticPr fontId="2"/>
  </si>
  <si>
    <t>最高の高さ</t>
    <rPh sb="0" eb="2">
      <t>サイコウ</t>
    </rPh>
    <rPh sb="3" eb="4">
      <t>タカ</t>
    </rPh>
    <phoneticPr fontId="2"/>
  </si>
  <si>
    <t>cst_shinsei_build_p4_TAKASA_MAX</t>
    <phoneticPr fontId="2"/>
  </si>
  <si>
    <t>■ 概要データ － 消防関係</t>
    <rPh sb="10" eb="12">
      <t>ショウボウ</t>
    </rPh>
    <rPh sb="12" eb="14">
      <t>カンケイ</t>
    </rPh>
    <phoneticPr fontId="2"/>
  </si>
  <si>
    <t>消防署</t>
    <rPh sb="0" eb="3">
      <t>ショウボウショ</t>
    </rPh>
    <phoneticPr fontId="2"/>
  </si>
  <si>
    <t>消防署名</t>
    <rPh sb="0" eb="2">
      <t>ショウボウ</t>
    </rPh>
    <rPh sb="2" eb="4">
      <t>ショメイ</t>
    </rPh>
    <phoneticPr fontId="2"/>
  </si>
  <si>
    <t>画面表示項目</t>
    <rPh sb="0" eb="2">
      <t>ガメン</t>
    </rPh>
    <rPh sb="2" eb="4">
      <t>ヒョウジ</t>
    </rPh>
    <rPh sb="4" eb="6">
      <t>コウモク</t>
    </rPh>
    <phoneticPr fontId="2"/>
  </si>
  <si>
    <t>部署名</t>
    <rPh sb="0" eb="2">
      <t>ブショ</t>
    </rPh>
    <rPh sb="2" eb="3">
      <t>メイ</t>
    </rPh>
    <phoneticPr fontId="2"/>
  </si>
  <si>
    <t>消防同意・通知の判定（同意・通知）</t>
    <rPh sb="0" eb="2">
      <t>ショウボウ</t>
    </rPh>
    <rPh sb="2" eb="4">
      <t>ドウイ</t>
    </rPh>
    <rPh sb="5" eb="7">
      <t>ツウチ</t>
    </rPh>
    <rPh sb="8" eb="10">
      <t>ハンテイ</t>
    </rPh>
    <rPh sb="11" eb="13">
      <t>ドウイ</t>
    </rPh>
    <rPh sb="14" eb="16">
      <t>ツウチ</t>
    </rPh>
    <phoneticPr fontId="2"/>
  </si>
  <si>
    <t>**shinsei_FIRE_NOTIFY_SUBMIT_KIND</t>
  </si>
  <si>
    <t>同意依頼日（送付日）</t>
    <rPh sb="0" eb="2">
      <t>ドウイ</t>
    </rPh>
    <rPh sb="2" eb="4">
      <t>イライ</t>
    </rPh>
    <rPh sb="4" eb="5">
      <t>ビ</t>
    </rPh>
    <rPh sb="6" eb="8">
      <t>ソウフ</t>
    </rPh>
    <rPh sb="8" eb="9">
      <t>ビ</t>
    </rPh>
    <phoneticPr fontId="2"/>
  </si>
  <si>
    <t>cst_shinsei_FIRE_SUBMIT_DATE</t>
    <phoneticPr fontId="2"/>
  </si>
  <si>
    <t>cst_shinsei_FIRE_SUBMIT_DATE__disp</t>
  </si>
  <si>
    <t>消防同意日</t>
    <rPh sb="0" eb="2">
      <t>ショウボウ</t>
    </rPh>
    <rPh sb="2" eb="4">
      <t>ドウイ</t>
    </rPh>
    <rPh sb="4" eb="5">
      <t>ビ</t>
    </rPh>
    <phoneticPr fontId="2"/>
  </si>
  <si>
    <t>cst_shinsei_FIRE_AGREE_DATE</t>
    <phoneticPr fontId="2"/>
  </si>
  <si>
    <t>cst_shinsei_FIRE_AGREE_DATE__disp</t>
    <phoneticPr fontId="2"/>
  </si>
  <si>
    <t>通知日</t>
    <phoneticPr fontId="2"/>
  </si>
  <si>
    <t>cst_shinsei_FIRE_NOTIFY_DATE</t>
    <phoneticPr fontId="2"/>
  </si>
  <si>
    <t>cst_shinsei_FIRE_NOTIFY_DATE__disp</t>
  </si>
  <si>
    <t>保健所</t>
    <rPh sb="0" eb="3">
      <t>ホケンジョ</t>
    </rPh>
    <phoneticPr fontId="2"/>
  </si>
  <si>
    <t>浄化槽 - 有無</t>
    <rPh sb="0" eb="3">
      <t>ジョウカソウ</t>
    </rPh>
    <rPh sb="6" eb="8">
      <t>ウム</t>
    </rPh>
    <phoneticPr fontId="2"/>
  </si>
  <si>
    <t>（有 無）</t>
  </si>
  <si>
    <t>処理方式</t>
    <rPh sb="0" eb="2">
      <t>ショリ</t>
    </rPh>
    <rPh sb="2" eb="4">
      <t>ホウシキ</t>
    </rPh>
    <phoneticPr fontId="2"/>
  </si>
  <si>
    <t>cst_shinsei_build_STAT_SEPTICTANK_KIBO</t>
    <phoneticPr fontId="2"/>
  </si>
  <si>
    <t>規模</t>
    <rPh sb="0" eb="2">
      <t>キボ</t>
    </rPh>
    <phoneticPr fontId="2"/>
  </si>
  <si>
    <t>cst_shinsei_build_STAT_SEPTICTANK_CAPACITY</t>
    <phoneticPr fontId="2"/>
  </si>
  <si>
    <t>処理方法 + 規模</t>
    <rPh sb="0" eb="2">
      <t>ショリ</t>
    </rPh>
    <rPh sb="2" eb="4">
      <t>ホウホウ</t>
    </rPh>
    <rPh sb="7" eb="9">
      <t>キボ</t>
    </rPh>
    <phoneticPr fontId="2"/>
  </si>
  <si>
    <t>cst_shinsei_build_STAT_SEPTICTANK_KIBO</t>
    <phoneticPr fontId="2"/>
  </si>
  <si>
    <t>保健所通知</t>
    <phoneticPr fontId="2"/>
  </si>
  <si>
    <t>通知日</t>
    <phoneticPr fontId="2"/>
  </si>
  <si>
    <t>cst_shinsei_HEALTH_NOTIFY_DATE</t>
    <phoneticPr fontId="2"/>
  </si>
  <si>
    <t>cst_shinsei_HEALTH_NOTIFY_DATE__disp</t>
  </si>
  <si>
    <t>屎尿浄化槽の構造形式の種類、面積</t>
  </si>
  <si>
    <t>cst_shinsei_SEPTICTANK_KOUZOU_SYURUI</t>
    <phoneticPr fontId="2"/>
  </si>
  <si>
    <t>■ 概要（その他）</t>
    <rPh sb="2" eb="4">
      <t>ガイヨウ</t>
    </rPh>
    <rPh sb="7" eb="8">
      <t>タ</t>
    </rPh>
    <phoneticPr fontId="2"/>
  </si>
  <si>
    <t>行政経由日</t>
    <rPh sb="0" eb="2">
      <t>ギョウセイ</t>
    </rPh>
    <rPh sb="2" eb="4">
      <t>ケイユ</t>
    </rPh>
    <rPh sb="4" eb="5">
      <t>ビ</t>
    </rPh>
    <phoneticPr fontId="2"/>
  </si>
  <si>
    <t>cst_shinsei_KAKUNINZUMI_HOUKOKU_GYOSEI_DATE</t>
    <phoneticPr fontId="2"/>
  </si>
  <si>
    <t>道路・敷地状況発送日</t>
  </si>
  <si>
    <t>cst_shinsei_build_DOURO_SIKITI_HASSO_DATE</t>
  </si>
  <si>
    <t>cst_shinsei_build_DOURO_SIKITI_HASSO_DATE__disp</t>
  </si>
  <si>
    <t>法６条区分</t>
    <rPh sb="0" eb="1">
      <t>ホウ</t>
    </rPh>
    <rPh sb="2" eb="3">
      <t>ジョウ</t>
    </rPh>
    <rPh sb="3" eb="5">
      <t>クブン</t>
    </rPh>
    <phoneticPr fontId="2"/>
  </si>
  <si>
    <t>**shinsei_build_STAT_HOU6_1</t>
  </si>
  <si>
    <t>cst_shinsei_build_STAT_HOU6</t>
    <phoneticPr fontId="2"/>
  </si>
  <si>
    <t>(１号, 1号(１号＋２号）, １号（１号＋３号）, ２号, ３号, ４号, １号を含まない特殊建築物)</t>
  </si>
  <si>
    <t>受付 - 特記事項</t>
    <rPh sb="0" eb="2">
      <t>ウケツケ</t>
    </rPh>
    <rPh sb="5" eb="7">
      <t>トッキ</t>
    </rPh>
    <rPh sb="7" eb="9">
      <t>ジコウ</t>
    </rPh>
    <phoneticPr fontId="2"/>
  </si>
  <si>
    <t>cst_shinsei_ACCEPT_TOKKI_JIKOU</t>
    <phoneticPr fontId="2"/>
  </si>
  <si>
    <t>下部備考（左）</t>
    <rPh sb="0" eb="2">
      <t>カブ</t>
    </rPh>
    <rPh sb="2" eb="4">
      <t>ビコウ</t>
    </rPh>
    <rPh sb="5" eb="6">
      <t>ヒダリ</t>
    </rPh>
    <phoneticPr fontId="2"/>
  </si>
  <si>
    <t>cst_shinsei_ACCEPT_NOTE</t>
    <phoneticPr fontId="2"/>
  </si>
  <si>
    <t>■ 概要（昇降機）</t>
    <rPh sb="2" eb="4">
      <t>ガイヨウ</t>
    </rPh>
    <rPh sb="5" eb="8">
      <t>ショウコウキ</t>
    </rPh>
    <phoneticPr fontId="2"/>
  </si>
  <si>
    <t>名称</t>
    <phoneticPr fontId="2"/>
  </si>
  <si>
    <t>**shinsei_ev_EV_BILL_NAME</t>
  </si>
  <si>
    <t>cst_shinsei_ev_EV_BILL_NAME</t>
    <phoneticPr fontId="2"/>
  </si>
  <si>
    <t>用途</t>
    <rPh sb="0" eb="2">
      <t>ヨウト</t>
    </rPh>
    <phoneticPr fontId="2"/>
  </si>
  <si>
    <t>**shinsei_ev_EV_BILL_YOUTO</t>
  </si>
  <si>
    <t>cst_shinsei_ev_EV_BILL_YOUTO</t>
    <phoneticPr fontId="2"/>
  </si>
  <si>
    <t>**shinsei_ev_EV_SYUBETU</t>
  </si>
  <si>
    <t>cst_shinsei_ev_EV_SYUBETU</t>
    <phoneticPr fontId="2"/>
  </si>
  <si>
    <t>**shinsei_ev_EV_YOUTO</t>
  </si>
  <si>
    <t>cst_shinsei_ev_EV_YOUTO</t>
    <phoneticPr fontId="2"/>
  </si>
  <si>
    <t>◇</t>
    <phoneticPr fontId="2"/>
  </si>
  <si>
    <t>積載荷重</t>
    <rPh sb="0" eb="2">
      <t>セキサイ</t>
    </rPh>
    <rPh sb="2" eb="4">
      <t>カジュウ</t>
    </rPh>
    <phoneticPr fontId="2"/>
  </si>
  <si>
    <t>**shinsei_ev_EV_SEKISAI</t>
  </si>
  <si>
    <t>cst_shinsei_ev_EV_SEKISAI</t>
    <phoneticPr fontId="2"/>
  </si>
  <si>
    <t>#,##0</t>
  </si>
  <si>
    <t>◇</t>
    <phoneticPr fontId="2"/>
  </si>
  <si>
    <t>最大定員</t>
    <rPh sb="0" eb="2">
      <t>サイダイ</t>
    </rPh>
    <rPh sb="2" eb="4">
      <t>テイイン</t>
    </rPh>
    <phoneticPr fontId="2"/>
  </si>
  <si>
    <t>**shinsei_ev_EV_TEIIN</t>
  </si>
  <si>
    <t>cst_shinsei_ev_EV_TEIIN</t>
    <phoneticPr fontId="2"/>
  </si>
  <si>
    <t xml:space="preserve"> - 単位</t>
    <rPh sb="3" eb="5">
      <t>タンイ</t>
    </rPh>
    <phoneticPr fontId="2"/>
  </si>
  <si>
    <t>cst_shinsei_ev_EV_TEIIN__tani</t>
    <phoneticPr fontId="2"/>
  </si>
  <si>
    <t>EV：人, ES：人/時</t>
    <rPh sb="3" eb="4">
      <t>ニン</t>
    </rPh>
    <rPh sb="9" eb="10">
      <t>ヒト</t>
    </rPh>
    <rPh sb="11" eb="12">
      <t>ジ</t>
    </rPh>
    <phoneticPr fontId="2"/>
  </si>
  <si>
    <t>定格速度</t>
    <rPh sb="0" eb="2">
      <t>テイカク</t>
    </rPh>
    <rPh sb="2" eb="4">
      <t>ソクド</t>
    </rPh>
    <phoneticPr fontId="2"/>
  </si>
  <si>
    <t>**shinsei_ev_EV_SPEED</t>
  </si>
  <si>
    <t>cst_shinsei_ev_EV_SPEED</t>
    <phoneticPr fontId="2"/>
  </si>
  <si>
    <t>その他必要な事項</t>
    <rPh sb="2" eb="3">
      <t>タ</t>
    </rPh>
    <rPh sb="3" eb="5">
      <t>ヒツヨウ</t>
    </rPh>
    <rPh sb="6" eb="8">
      <t>ジコウ</t>
    </rPh>
    <phoneticPr fontId="2"/>
  </si>
  <si>
    <t>**shinsei_ev_EV_SONOTA</t>
  </si>
  <si>
    <t>cst_shinsei_ev_EV_SONOTA</t>
    <phoneticPr fontId="2"/>
  </si>
  <si>
    <t>分類</t>
    <rPh sb="0" eb="2">
      <t>ブンルイ</t>
    </rPh>
    <phoneticPr fontId="2"/>
  </si>
  <si>
    <t>**shinsei_EV_TYPE</t>
  </si>
  <si>
    <t>cst_shinsei_EV_TYPE</t>
    <phoneticPr fontId="2"/>
  </si>
  <si>
    <t>（昇降機, ホームエレベータ, 小荷物専用昇降機, 昇降機以外の設備）</t>
    <rPh sb="26" eb="29">
      <t>ショウコウキ</t>
    </rPh>
    <rPh sb="29" eb="31">
      <t>イガイ</t>
    </rPh>
    <rPh sb="32" eb="34">
      <t>セツビ</t>
    </rPh>
    <phoneticPr fontId="2"/>
  </si>
  <si>
    <t>昇降機の基数</t>
  </si>
  <si>
    <t>cst_shinsei_ev_EV_COUNT</t>
    <phoneticPr fontId="2"/>
  </si>
  <si>
    <t>建築設備の概要</t>
    <rPh sb="0" eb="2">
      <t>ケンチク</t>
    </rPh>
    <rPh sb="2" eb="4">
      <t>セツビ</t>
    </rPh>
    <rPh sb="5" eb="7">
      <t>ガイヨウ</t>
    </rPh>
    <phoneticPr fontId="2"/>
  </si>
  <si>
    <t>cst_shinsei_ev_SETUBI_GAIYOU</t>
    <phoneticPr fontId="2"/>
  </si>
  <si>
    <t>■ 概要（工作物）</t>
    <rPh sb="2" eb="4">
      <t>ガイヨウ</t>
    </rPh>
    <rPh sb="5" eb="8">
      <t>コウサクブツ</t>
    </rPh>
    <phoneticPr fontId="2"/>
  </si>
  <si>
    <t>法８８条区分</t>
    <rPh sb="0" eb="1">
      <t>ホウ</t>
    </rPh>
    <rPh sb="3" eb="4">
      <t>ジョウ</t>
    </rPh>
    <rPh sb="4" eb="6">
      <t>クブン</t>
    </rPh>
    <phoneticPr fontId="2"/>
  </si>
  <si>
    <t>**shinsei_WORK_88</t>
  </si>
  <si>
    <t>cst_shinsei_WORK_88</t>
    <phoneticPr fontId="2"/>
  </si>
  <si>
    <t>1, 2</t>
    <phoneticPr fontId="2"/>
  </si>
  <si>
    <t>工作物の数</t>
    <phoneticPr fontId="2"/>
  </si>
  <si>
    <t>cst_shinsei_ev_WORKCOUNT_SHINSEI</t>
    <phoneticPr fontId="2"/>
  </si>
  <si>
    <t>工作物の概要</t>
    <rPh sb="4" eb="6">
      <t>ガイヨウ</t>
    </rPh>
    <phoneticPr fontId="2"/>
  </si>
  <si>
    <t>種類（区分）</t>
    <rPh sb="0" eb="2">
      <t>シュルイ</t>
    </rPh>
    <phoneticPr fontId="2"/>
  </si>
  <si>
    <t>**shinsei_ev_KOUSAKU_SYURUI_CODE</t>
  </si>
  <si>
    <t>cst_shinsei_ev_KOUSAKU_SYURUI_CODE</t>
    <phoneticPr fontId="2"/>
  </si>
  <si>
    <t>**shinsei_ev_KOUSAKU_SYURUI</t>
  </si>
  <si>
    <t>擁壁</t>
    <rPh sb="0" eb="2">
      <t>ヨウヘキ</t>
    </rPh>
    <phoneticPr fontId="2"/>
  </si>
  <si>
    <t>cst_shinsei_ev_KOUSAKU_SYURUI</t>
    <phoneticPr fontId="2"/>
  </si>
  <si>
    <t>高さ（通常）</t>
    <rPh sb="0" eb="1">
      <t>タカ</t>
    </rPh>
    <rPh sb="3" eb="5">
      <t>ツウジョウ</t>
    </rPh>
    <phoneticPr fontId="2"/>
  </si>
  <si>
    <t>**shinsei_ev_KOUSAKU_TAKASA</t>
  </si>
  <si>
    <t>cst_shinsei_ev_KOUSAKU_TAKASA</t>
    <phoneticPr fontId="2"/>
  </si>
  <si>
    <t>高さ（マックス）</t>
    <rPh sb="0" eb="1">
      <t>タカ</t>
    </rPh>
    <phoneticPr fontId="2"/>
  </si>
  <si>
    <t>cst_shinsei_ev_KOUSAKU_TAKASA_MAX</t>
    <phoneticPr fontId="2"/>
  </si>
  <si>
    <t>高さ（範囲１）</t>
    <rPh sb="0" eb="1">
      <t>タカ</t>
    </rPh>
    <rPh sb="3" eb="5">
      <t>ハンイ</t>
    </rPh>
    <phoneticPr fontId="2"/>
  </si>
  <si>
    <t>cst_shinsei_ev_KOUSAKU_TAKASA__range1</t>
    <phoneticPr fontId="2"/>
  </si>
  <si>
    <t>範囲表示（～）</t>
    <rPh sb="0" eb="2">
      <t>ハンイ</t>
    </rPh>
    <rPh sb="2" eb="4">
      <t>ヒョウジ</t>
    </rPh>
    <phoneticPr fontId="2"/>
  </si>
  <si>
    <t>cst_shinsei_ev_KOUSAKU_TAKASA__range_sign</t>
    <phoneticPr fontId="2"/>
  </si>
  <si>
    <t>高さ（範囲２）</t>
    <rPh sb="0" eb="1">
      <t>タカ</t>
    </rPh>
    <rPh sb="3" eb="5">
      <t>ハンイ</t>
    </rPh>
    <phoneticPr fontId="2"/>
  </si>
  <si>
    <t>cst_shinsei_ev_KOUSAKU_TAKASA__range2</t>
    <phoneticPr fontId="2"/>
  </si>
  <si>
    <t>高さ（テキスト）</t>
    <rPh sb="0" eb="1">
      <t>タカ</t>
    </rPh>
    <phoneticPr fontId="2"/>
  </si>
  <si>
    <t>cst_shinsei_ev_KOUSAKU_TAKASA_BIKO</t>
    <phoneticPr fontId="2"/>
  </si>
  <si>
    <t>構造</t>
    <rPh sb="0" eb="2">
      <t>コウゾウ</t>
    </rPh>
    <phoneticPr fontId="2"/>
  </si>
  <si>
    <t>**shinsei_ev_KOUSAKU_KOUZOU</t>
  </si>
  <si>
    <t>cst_shinsei_ev_KOUSAKU_KOUZOU</t>
    <phoneticPr fontId="2"/>
  </si>
  <si>
    <t>**shinsei_ev_KOUSAKU_SONOTA</t>
  </si>
  <si>
    <t>cst_shinsei_ev_KOUSAKU_SONOTA</t>
    <phoneticPr fontId="2"/>
  </si>
  <si>
    <t>88-2専用</t>
    <rPh sb="4" eb="6">
      <t>センヨウ</t>
    </rPh>
    <phoneticPr fontId="2"/>
  </si>
  <si>
    <t>cst_shinsei_ev_KOUSAKU882_YOUTO</t>
    <phoneticPr fontId="2"/>
  </si>
  <si>
    <t>築造面積（申請部分）</t>
  </si>
  <si>
    <t>cst_shinsei_ev_TIKUZOUMENSEKI_SHINSEI</t>
    <phoneticPr fontId="2"/>
  </si>
  <si>
    <t>88-1の場合に「-」を表示</t>
    <rPh sb="5" eb="7">
      <t>バアイ</t>
    </rPh>
    <rPh sb="12" eb="14">
      <t>ヒョウジ</t>
    </rPh>
    <phoneticPr fontId="2"/>
  </si>
  <si>
    <t>**shinsei_strtower03_CHARGE_KEISAN_NOTE</t>
  </si>
  <si>
    <t>cst_shinsei_strtower03_CHARGE_KEISAN_NOTE</t>
    <phoneticPr fontId="2"/>
  </si>
  <si>
    <t>cst_shinsei_strtower03_CHARGE_KEISAN_NOTE__alter</t>
    <phoneticPr fontId="2"/>
  </si>
  <si>
    <t>**shinsei_strtower03_KEISAN_X_ROUTE</t>
  </si>
  <si>
    <t>cst_shinsei_strtower03_KEISAN_X_ROUTE</t>
    <phoneticPr fontId="2"/>
  </si>
  <si>
    <t>**shinsei_strtower03_KEISAN_Y_ROUTE</t>
  </si>
  <si>
    <t>cst_shinsei_strtower03_KEISAN_Y_ROUTE</t>
    <phoneticPr fontId="2"/>
  </si>
  <si>
    <t>cst_shinsei_strtower03_XY_select</t>
    <phoneticPr fontId="2"/>
  </si>
  <si>
    <t>**shinsei_strtower03_PROGRAM_KIND_SONOTA</t>
  </si>
  <si>
    <t>cst_shinsei_strtower03_PROGRAM_KIND_SONOTA</t>
    <phoneticPr fontId="2"/>
  </si>
  <si>
    <t>棟別情報４</t>
    <rPh sb="0" eb="1">
      <t>トウ</t>
    </rPh>
    <rPh sb="1" eb="2">
      <t>ベツ</t>
    </rPh>
    <rPh sb="2" eb="4">
      <t>ジョウホウ</t>
    </rPh>
    <phoneticPr fontId="2"/>
  </si>
  <si>
    <t>**shinsei_strtower04_TOWER_NO</t>
  </si>
  <si>
    <t>cst_shinsei_strtower04_TOWER_NO</t>
    <phoneticPr fontId="2"/>
  </si>
  <si>
    <t>text</t>
    <phoneticPr fontId="2"/>
  </si>
  <si>
    <t>**shinsei_strtower04_STR_TOWER_NO</t>
  </si>
  <si>
    <t>cst_shinsei_strtower12_prgo05_MAKER__NINTEI_ari</t>
    <phoneticPr fontId="2"/>
  </si>
  <si>
    <t>cst_shinsei_strtower12_prgo05_NAME_VER__NINTEI_ari</t>
    <phoneticPr fontId="2"/>
  </si>
  <si>
    <t>cst_shinsei_strtower12_prgo05_MAKER__NINTEI_non</t>
    <phoneticPr fontId="2"/>
  </si>
  <si>
    <t>cst_shinsei_strtower12_prgo05_NAME_VER__NINTEI_non</t>
    <phoneticPr fontId="2"/>
  </si>
  <si>
    <t>cst_shinsei_strtower12_PROG_NAME_VER__CHAR</t>
    <phoneticPr fontId="2"/>
  </si>
  <si>
    <t>cst_shinsei_strtower12_PROG_NAME_VER__CHAR__SP</t>
    <phoneticPr fontId="2"/>
  </si>
  <si>
    <t>cst_shinsei_strtower12_PROG_MAKER__NINTEI_ari_SP</t>
    <phoneticPr fontId="2"/>
  </si>
  <si>
    <t>cst_shinsei_strtower12_PROG_NAME_VER__NINTEI_ari_SP</t>
    <phoneticPr fontId="2"/>
  </si>
  <si>
    <t>cst_shinsei_strtower12_PROG_NINTEI_DATE_SP</t>
    <phoneticPr fontId="2"/>
  </si>
  <si>
    <t>cst_shinsei_strtower12_PROG_MAKER__NINTEI_no_SP</t>
    <phoneticPr fontId="2"/>
  </si>
  <si>
    <t>cst_shinsei_strtower12_PROG_NAME_VER__NINTEI_non_SP</t>
    <phoneticPr fontId="2"/>
  </si>
  <si>
    <t>**shinsei_strtower12_DISK_FLAG</t>
  </si>
  <si>
    <t>cst_shinsei_strtower12_DISK_FLAG</t>
    <phoneticPr fontId="2"/>
  </si>
  <si>
    <t>**shinsei_strtower12_CHARGE</t>
  </si>
  <si>
    <t>cst_shinsei_strtower12_CHARGE</t>
    <phoneticPr fontId="2"/>
  </si>
  <si>
    <t>cst_shinsei_strtower12_CHARGE__dsp</t>
    <phoneticPr fontId="2"/>
  </si>
  <si>
    <t>**shinsei_strtower12_CHARGE_WARIMASHI</t>
  </si>
  <si>
    <t>cst_shinsei_strtower12_CHARGE_WARIMASHI</t>
    <phoneticPr fontId="2"/>
  </si>
  <si>
    <t>**shinsei_strtower12_CHARGE_TOTAL</t>
  </si>
  <si>
    <t>cst_shinsei_strtower12_CHARGE_TOTAL</t>
    <phoneticPr fontId="2"/>
  </si>
  <si>
    <t>**shinsei_strtower12_CHARGE_KEISAN_NOTE</t>
  </si>
  <si>
    <t>**shinsei_strtower04_KOUZOU_KEISAN_TEXT</t>
  </si>
  <si>
    <t>cst_shinsei_strtower04_KOUZOU_KEISAN_TEXT</t>
    <phoneticPr fontId="2"/>
  </si>
  <si>
    <t>**shinsei_strtower04_MENSEKI</t>
  </si>
  <si>
    <t>cst_shinsei_strtower04_MENSEKI</t>
    <phoneticPr fontId="2"/>
  </si>
  <si>
    <t>cst_shinsei_strtower04_MENSEKI__dsp</t>
    <phoneticPr fontId="2"/>
  </si>
  <si>
    <t>**shinsei_strtower04_MAX_TAKASA</t>
  </si>
  <si>
    <t>cst_shinsei_strtower04_MAX_TAKASA</t>
    <phoneticPr fontId="2"/>
  </si>
  <si>
    <t>**shinsei_strtower04_MAX_NOKI_TAKASA</t>
  </si>
  <si>
    <t>cst_shinsei_strtower04_MAX_NOKI_TAKASA</t>
    <phoneticPr fontId="2"/>
  </si>
  <si>
    <t>**shinsei_strtower04_KAISU_TIJYOU</t>
  </si>
  <si>
    <t>cst_shinsei_strtower04_KAISU_TIJYOU</t>
    <phoneticPr fontId="2"/>
  </si>
  <si>
    <t>**shinsei_strtower04_KAISU_TIKA</t>
  </si>
  <si>
    <t>cst_shinsei_strtower04_KAISU_TIKA</t>
    <phoneticPr fontId="2"/>
  </si>
  <si>
    <t>**shinsei_strtower04_KAISU_TOUYA</t>
  </si>
  <si>
    <t>cst_shinsei_strtower04_KAISU_TOUYA</t>
    <phoneticPr fontId="2"/>
  </si>
  <si>
    <t>**shinsei_strtower04_BUILD_KUBUN</t>
  </si>
  <si>
    <t>cst_shinsei_strtower04_BUILD_KUBUN</t>
    <phoneticPr fontId="2"/>
  </si>
  <si>
    <t>**shinsei_strtower04_BUILD_KUBUN_TEXT</t>
  </si>
  <si>
    <t>cst_shinsei_strtower04_BUILD_KUBUN_TEXT</t>
    <phoneticPr fontId="2"/>
  </si>
  <si>
    <t>cst_shinsei_strtower04_HOU20_2_select</t>
    <phoneticPr fontId="2"/>
  </si>
  <si>
    <t>cst_shinsei_strtower04_HOU20_3_select</t>
    <phoneticPr fontId="2"/>
  </si>
  <si>
    <t>**shinsei_strtower04_MENJYO_TEXT</t>
  </si>
  <si>
    <t>cst_shinsei_strtower04_MENJYO</t>
    <phoneticPr fontId="2"/>
  </si>
  <si>
    <t>**shinsei_strtower04_PROGRAM_KIND</t>
  </si>
  <si>
    <t>cst_shinsei_strtower04_PROGRAM_KIND</t>
    <phoneticPr fontId="2"/>
  </si>
  <si>
    <t>**shinsei_strtower04_REI80_2_KOKUJI_TEXT</t>
  </si>
  <si>
    <t>cst_shinsei_strtower04_REI80_2_KOKUJI</t>
    <phoneticPr fontId="2"/>
  </si>
  <si>
    <t>**shinsei_strtower04_PROGRAM_KIND__nintei__box</t>
  </si>
  <si>
    <t>cst_shinsei_strtower04_NINTEI</t>
    <phoneticPr fontId="2"/>
  </si>
  <si>
    <t>**shinsei_strtower04_PROGRAM_KIND__hyouka__box</t>
  </si>
  <si>
    <t>**shinsei_strtower04_PROGRAM_KIND__sonota__box</t>
  </si>
  <si>
    <t>**shinsei_strtower04_prgo01_NAME</t>
  </si>
  <si>
    <t>cst_shinsei_strtower04_prgo01_NAME</t>
    <phoneticPr fontId="2"/>
  </si>
  <si>
    <t>**shinsei_strtower04_prgo01_VER</t>
  </si>
  <si>
    <t>cst_shinsei_strtower04_prgo01_VER</t>
    <phoneticPr fontId="2"/>
  </si>
  <si>
    <t>cst_shinsei_strtower04_prgo01_NINTEI__umu</t>
    <phoneticPr fontId="2"/>
  </si>
  <si>
    <t>**shinsei_strtower04_prgo01_NINTEI_NO</t>
  </si>
  <si>
    <t>cst_shinsei_strtower04_prgo01_NINTEI_NO</t>
    <phoneticPr fontId="2"/>
  </si>
  <si>
    <t>**shinsei_strtower04_prgo01_NINTEI_DATE</t>
  </si>
  <si>
    <t>cst_shinsei_strtower04_prgo01_NINTEI_DATE</t>
    <phoneticPr fontId="2"/>
  </si>
  <si>
    <t>**shinsei_strtower04_prgo01_MAKER_NAME</t>
  </si>
  <si>
    <t>cst_shinsei_strtower04_prgo01_NAME_VER</t>
    <phoneticPr fontId="2"/>
  </si>
  <si>
    <t>cst_shinsei_strtower04_prgo01_NAME_VER__SP</t>
    <phoneticPr fontId="2"/>
  </si>
  <si>
    <t>cst_shinsei_strtower04_prgo01_MAKER__NINTEI_ari</t>
    <phoneticPr fontId="2"/>
  </si>
  <si>
    <t>cst_shinsei_strtower04_prgo01_NAME_VER__NINTEI_ari</t>
    <phoneticPr fontId="2"/>
  </si>
  <si>
    <t>cst_shinsei_strtower04_prgo01_MAKER__NINTEI_non</t>
    <phoneticPr fontId="2"/>
  </si>
  <si>
    <t>cst_shinsei_strtower04_prgo01_NAME_VER__NINTEI_non</t>
    <phoneticPr fontId="2"/>
  </si>
  <si>
    <t>cst_shinsei_strtower04_prgo01_PROG__nintei_ari</t>
    <phoneticPr fontId="2"/>
  </si>
  <si>
    <t>cst_shinsei_strtower04_prgo01_VER__nintei_ari</t>
    <phoneticPr fontId="2"/>
  </si>
  <si>
    <t>cst_shinsei_strtower04_prgo01_NINTEI__nintei_ari</t>
    <phoneticPr fontId="2"/>
  </si>
  <si>
    <t>cst_shinsei_strtower04_prgo01_MAKER__nintei_nasi</t>
    <phoneticPr fontId="2"/>
  </si>
  <si>
    <t>cst_shinsei_strtower04_prgo01_PROG__nintei_nasi</t>
    <phoneticPr fontId="2"/>
  </si>
  <si>
    <t>cst_shinsei_strtower04_prgo01_VER__nintei_nasi</t>
    <phoneticPr fontId="2"/>
  </si>
  <si>
    <t>**shinsei_strtower04_prgo02_NAME</t>
  </si>
  <si>
    <t>**shinsei_strtower04_prgo02_VER</t>
  </si>
  <si>
    <t>cst_shinsei_strtower04_prgo02_NINTEI__umu</t>
    <phoneticPr fontId="2"/>
  </si>
  <si>
    <t>**shinsei_strtower04_prgo02_NINTEI_NO</t>
  </si>
  <si>
    <t>**shinsei_strtower04_prgo02_NINTEI_DATE</t>
  </si>
  <si>
    <t>cst_shinsei_strtower04_prgo02_NINTEI_DATE</t>
    <phoneticPr fontId="2"/>
  </si>
  <si>
    <t>**shinsei_strtower04_prgo02_MAKER_NAME</t>
  </si>
  <si>
    <t>cst_shinsei_strtower04_prgo02_NAME_VER</t>
    <phoneticPr fontId="2"/>
  </si>
  <si>
    <t>cst_shinsei_strtower04_prgo02_NAME_VER__SP</t>
    <phoneticPr fontId="2"/>
  </si>
  <si>
    <t>cst_shinsei_strtower04_prgo02_MAKER__NINTEI_ari</t>
    <phoneticPr fontId="2"/>
  </si>
  <si>
    <t>cst_shinsei_strtower04_prgo02_NAME_VER__NINTEI_ari</t>
    <phoneticPr fontId="2"/>
  </si>
  <si>
    <t>cst_shinsei_strtower04_prgo02_MAKER__NINTEI_non</t>
    <phoneticPr fontId="2"/>
  </si>
  <si>
    <t>cst_shinsei_strtower04_prgo02_NAME_VER__NINTEI_non</t>
    <phoneticPr fontId="2"/>
  </si>
  <si>
    <t>**shinsei_strtower04_prgo03_NAME</t>
  </si>
  <si>
    <t>**shinsei_strtower04_prgo03_VER</t>
  </si>
  <si>
    <t>cst_shinsei_strtower04_prgo03_NINTEI__umu</t>
    <phoneticPr fontId="2"/>
  </si>
  <si>
    <t>**shinsei_strtower04_prgo03_NINTEI_NO</t>
  </si>
  <si>
    <t>**shinsei_strtower04_prgo03_NINTEI_DATE</t>
  </si>
  <si>
    <t>cst_shinsei_strtower04_prgo03_NINTEI_DATE_dsp</t>
    <phoneticPr fontId="2"/>
  </si>
  <si>
    <t>**shinsei_strtower04_prgo03_MAKER_NAME</t>
  </si>
  <si>
    <t>cst_shinsei_strtower04_prgo03_NAME_VER</t>
    <phoneticPr fontId="2"/>
  </si>
  <si>
    <t>cst_shinsei_strtower04_prgo03_NAME_VER__SP</t>
    <phoneticPr fontId="2"/>
  </si>
  <si>
    <t>cst_shinsei_strtower04_prgo03_MAKER__NINTEI_ari</t>
    <phoneticPr fontId="2"/>
  </si>
  <si>
    <t>cst_shinsei_strtower04_prgo03_NAME_VER__NINTEI_ari</t>
    <phoneticPr fontId="2"/>
  </si>
  <si>
    <t>cst_shinsei_strtower04_prgo03_MAKER__NINTEI_non</t>
    <phoneticPr fontId="2"/>
  </si>
  <si>
    <t>cst_shinsei_strtower04_prgo03_NAME_VER__NINTEI_non</t>
    <phoneticPr fontId="2"/>
  </si>
  <si>
    <t>**shinsei_strtower04_prgo04_NAME</t>
  </si>
  <si>
    <t>**shinsei_strtower04_prgo04_VER</t>
  </si>
  <si>
    <t>cst_shinsei_strtower04_prgo04_NINTEI__umu</t>
    <phoneticPr fontId="2"/>
  </si>
  <si>
    <t>**shinsei_strtower04_prgo04_NINTEI_NO</t>
  </si>
  <si>
    <t>**shinsei_strtower04_prgo04_NINTEI_DATE</t>
  </si>
  <si>
    <t>cst_shinsei_strtower04_prgo04_NINTEI_DATE_dsp</t>
    <phoneticPr fontId="2"/>
  </si>
  <si>
    <t>**shinsei_strtower04_prgo04_MAKER_NAME</t>
  </si>
  <si>
    <t>cst_shinsei_strtower04_prgo04_NAME_VER</t>
    <phoneticPr fontId="2"/>
  </si>
  <si>
    <t>cst_shinsei_strtower04_prgo04_NAME_VER__SP</t>
    <phoneticPr fontId="2"/>
  </si>
  <si>
    <t>cst_shinsei_strtower04_prgo04_MAKER__NINTEI_ari</t>
    <phoneticPr fontId="2"/>
  </si>
  <si>
    <t>cst_shinsei_strtower04_prgo04_NAME_VER__NINTEI_ari</t>
    <phoneticPr fontId="2"/>
  </si>
  <si>
    <t>cst_shinsei_strtower04_prgo04_MAKER__NINTEI_non</t>
    <phoneticPr fontId="2"/>
  </si>
  <si>
    <t>cst_shinsei_strtower04_prgo04_NAME_VER__NINTEI_non</t>
    <phoneticPr fontId="2"/>
  </si>
  <si>
    <t>プログラム05</t>
    <phoneticPr fontId="2"/>
  </si>
  <si>
    <t>**shinsei_strtower04_prgo05_NAME</t>
  </si>
  <si>
    <t>**shinsei_strtower04_prgo05_VER</t>
  </si>
  <si>
    <t>cst_shinsei_strtower04_prgo05_NINTEI__umu</t>
    <phoneticPr fontId="2"/>
  </si>
  <si>
    <t>**shinsei_strtower04_prgo05_NINTEI_NO</t>
  </si>
  <si>
    <t>**shinsei_strtower04_prgo05_NINTEI_DATE</t>
  </si>
  <si>
    <t>cst_shinsei_strtower04_prgo05_NINTEI_DATE_dsp</t>
    <phoneticPr fontId="2"/>
  </si>
  <si>
    <t>**shinsei_strtower04_prgo05_MAKER_NAME</t>
  </si>
  <si>
    <t>cst_shinsei_strtower04_prgo05_NAME_VER</t>
    <phoneticPr fontId="2"/>
  </si>
  <si>
    <t>cst_shinsei_strtower04_prgo05_NAME_VER__SP</t>
    <phoneticPr fontId="2"/>
  </si>
  <si>
    <t>cst_shinsei_strtower04_prgo05_MAKER__NINTEI_ari</t>
    <phoneticPr fontId="2"/>
  </si>
  <si>
    <t>cst_shinsei_strtower04_prgo05_NAME_VER__NINTEI_ari</t>
    <phoneticPr fontId="2"/>
  </si>
  <si>
    <t>cst_shinsei_strtower04_prgo05_MAKER__NINTEI_non</t>
    <phoneticPr fontId="2"/>
  </si>
  <si>
    <t>cst_shinsei_strtower04_prgo05_NAME_VER__NINTEI_non</t>
    <phoneticPr fontId="2"/>
  </si>
  <si>
    <t>cst_shinsei_strtower04_PROG_NAME_VER__CHAR</t>
    <phoneticPr fontId="2"/>
  </si>
  <si>
    <t>cst_shinsei_strtower04_PROG_NAME_VER__CHAR__SP</t>
    <phoneticPr fontId="2"/>
  </si>
  <si>
    <t>cst_shinsei_strtower04_PROG_MAKER__NINTEI_ari_SP</t>
    <phoneticPr fontId="2"/>
  </si>
  <si>
    <t>cst_shinsei_strtower04_PROG_NAME_VER__NINTEI_ari_SP</t>
    <phoneticPr fontId="2"/>
  </si>
  <si>
    <t>cst_shinsei_strtower04_PROG_NINTEI_DATE_SP</t>
    <phoneticPr fontId="2"/>
  </si>
  <si>
    <t>cst_shinsei_strtower04_PROG_MAKER__NINTEI_no_SP</t>
    <phoneticPr fontId="2"/>
  </si>
  <si>
    <t>cst_shinsei_strtower04_PROG_NAME_VER__NINTEI_non_SP</t>
    <phoneticPr fontId="2"/>
  </si>
  <si>
    <t>**shinsei_strtower04_DISK_FLAG</t>
  </si>
  <si>
    <t>cst_shinsei_strtower04_DISK_FLAG</t>
    <phoneticPr fontId="2"/>
  </si>
  <si>
    <t>**shinsei_strtower04_CHARGE</t>
  </si>
  <si>
    <t>cst_shinsei_strtower04_CHARGE</t>
    <phoneticPr fontId="2"/>
  </si>
  <si>
    <t>cst_shinsei_strtower04_CHARGE__dsp</t>
    <phoneticPr fontId="2"/>
  </si>
  <si>
    <t>**shinsei_strtower04_CHARGE_WARIMASHI</t>
  </si>
  <si>
    <t>cst_shinsei_strtower04_CHARGE_WARIMASHI</t>
    <phoneticPr fontId="2"/>
  </si>
  <si>
    <t>**shinsei_strtower04_CHARGE_TOTAL</t>
  </si>
  <si>
    <t>cst_shinsei_strtower04_CHARGE_TOTAL</t>
    <phoneticPr fontId="2"/>
  </si>
  <si>
    <t>cst_shinsei_strtower04_CHARGE_SANTEI_MENSEKI</t>
    <phoneticPr fontId="2"/>
  </si>
  <si>
    <t>**shinsei_strtower04_CHARGE_KEISAN_NOTE</t>
  </si>
  <si>
    <t>cst_shinsei_strtower04_CHARGE_KEISAN_NOTE</t>
    <phoneticPr fontId="2"/>
  </si>
  <si>
    <t>cst_shinsei_strtower04_CHARGE_KEISAN_NOTE__alter</t>
    <phoneticPr fontId="2"/>
  </si>
  <si>
    <t>**shinsei_strtower04_KEISAN_X_ROUTE</t>
  </si>
  <si>
    <t>cst_shinsei_strtower04_KEISAN_X_ROUTE</t>
    <phoneticPr fontId="2"/>
  </si>
  <si>
    <t>**shinsei_strtower04_KEISAN_Y_ROUTE</t>
  </si>
  <si>
    <t>cst_shinsei_strtower04_KEISAN_Y_ROUTE</t>
    <phoneticPr fontId="2"/>
  </si>
  <si>
    <t>cst_shinsei_strtower04_XY_select</t>
    <phoneticPr fontId="2"/>
  </si>
  <si>
    <t>**shinsei_strtower04_PROGRAM_KIND_SONOTA</t>
  </si>
  <si>
    <t>cst_shinsei_strtower04_PROGRAM_KIND_SONOTA</t>
    <phoneticPr fontId="2"/>
  </si>
  <si>
    <t>棟別情報5</t>
    <rPh sb="0" eb="1">
      <t>トウ</t>
    </rPh>
    <rPh sb="1" eb="2">
      <t>ベツ</t>
    </rPh>
    <rPh sb="2" eb="4">
      <t>ジョウホウ</t>
    </rPh>
    <phoneticPr fontId="2"/>
  </si>
  <si>
    <t>**shinsei_strtower05_TOWER_NO</t>
  </si>
  <si>
    <t>cst_shinsei_strtower05_TOWER_NO</t>
    <phoneticPr fontId="2"/>
  </si>
  <si>
    <t>**shinsei_strtower05_STR_TOWER_NO</t>
  </si>
  <si>
    <t>cst_shinsei_strtower05_STR_TOWER_NO</t>
    <phoneticPr fontId="2"/>
  </si>
  <si>
    <t>cst_shinsei_strtower05__TOWER_NO_STR_TOWER_NO</t>
    <phoneticPr fontId="2"/>
  </si>
  <si>
    <t>cst_shinsei_strtower05__TOWER_NO_STR_TOWERS</t>
    <phoneticPr fontId="2"/>
  </si>
  <si>
    <t>**shinsei_strtower05_STR_TOWER_NAME</t>
  </si>
  <si>
    <t>cst_shinsei_strtower05_STR_TOWER_NAME</t>
    <phoneticPr fontId="2"/>
  </si>
  <si>
    <t>**shinsei_strtower05_JUDGE</t>
  </si>
  <si>
    <t>cst_shinsei_strtower05_JUDGE</t>
    <phoneticPr fontId="2"/>
  </si>
  <si>
    <t>**shinsei_strtower05_STR_TOWER_YOUTO_TEXT</t>
  </si>
  <si>
    <t>cst_shinsei_strtower05_STR_TOWER_YOUTO_TEXT</t>
    <phoneticPr fontId="2"/>
  </si>
  <si>
    <t>**shinsei_strtower05_KOUJI_TEXT</t>
  </si>
  <si>
    <t>cst_shinsei_strtower05_KOUJI_TEXT</t>
    <phoneticPr fontId="2"/>
  </si>
  <si>
    <t>text</t>
    <phoneticPr fontId="2"/>
  </si>
  <si>
    <t>構造</t>
    <phoneticPr fontId="2"/>
  </si>
  <si>
    <t>**shinsei_strtower05_KOUZOU</t>
  </si>
  <si>
    <t>cst_shinsei_strtower05_KOUZOU</t>
    <phoneticPr fontId="2"/>
  </si>
  <si>
    <t>**shinsei_strtower05_KOUZOU_TEXT</t>
  </si>
  <si>
    <t>cst_shinsei_strtower05_KOUZOU_TEXT</t>
    <phoneticPr fontId="2"/>
  </si>
  <si>
    <t>**shinsei_strtower05_KOUZOU_KEISAN</t>
  </si>
  <si>
    <t>cst_shinsei_strtower05_KOUZOU_KEISAN</t>
    <phoneticPr fontId="2"/>
  </si>
  <si>
    <t>**shinsei_strtower05_KOUZOU_KEISAN_TEXT</t>
  </si>
  <si>
    <t>cst_shinsei_strtower05_KOUZOU_KEISAN_TEXT</t>
    <phoneticPr fontId="2"/>
  </si>
  <si>
    <t>**shinsei_strtower05_MENSEKI</t>
  </si>
  <si>
    <t>cst_shinsei_strtower05_MENSEKI</t>
    <phoneticPr fontId="2"/>
  </si>
  <si>
    <t>cst_shinsei_strtower05_MENSEKI__dsp</t>
    <phoneticPr fontId="2"/>
  </si>
  <si>
    <t>**shinsei_strtower05_MAX_TAKASA</t>
  </si>
  <si>
    <t>cst_shinsei_strtower05_MAX_TAKASA</t>
    <phoneticPr fontId="2"/>
  </si>
  <si>
    <t>**shinsei_strtower05_MAX_NOKI_TAKASA</t>
  </si>
  <si>
    <t>cst_shinsei_strtower05_MAX_NOKI_TAKASA</t>
    <phoneticPr fontId="2"/>
  </si>
  <si>
    <t>**shinsei_strtower05_KAISU_TIJYOU</t>
  </si>
  <si>
    <t>cst_shinsei_strtower05_KAISU_TIJYOU</t>
    <phoneticPr fontId="2"/>
  </si>
  <si>
    <t>**shinsei_strtower05_KAISU_TIKA</t>
  </si>
  <si>
    <t>cst_shinsei_strtower05_KAISU_TIKA</t>
    <phoneticPr fontId="2"/>
  </si>
  <si>
    <t>**shinsei_strtower05_KAISU_TOUYA</t>
  </si>
  <si>
    <t>cst_shinsei_strtower05_KAISU_TOUYA</t>
    <phoneticPr fontId="2"/>
  </si>
  <si>
    <t>**shinsei_strtower05_BUILD_KUBUN</t>
  </si>
  <si>
    <t>cst_shinsei_strtower05_BUILD_KUBUN</t>
    <phoneticPr fontId="2"/>
  </si>
  <si>
    <t>**shinsei_strtower05_BUILD_KUBUN_TEXT</t>
  </si>
  <si>
    <t>cst_shinsei_strtower05_BUILD_KUBUN_NEXT</t>
    <phoneticPr fontId="2"/>
  </si>
  <si>
    <t>cst_shinsei_strtower05_HOU20_2_select</t>
    <phoneticPr fontId="2"/>
  </si>
  <si>
    <t>cst_shinsei_strtower05_HOU20_3_select</t>
    <phoneticPr fontId="2"/>
  </si>
  <si>
    <t>構造計算免除の規定</t>
    <phoneticPr fontId="2"/>
  </si>
  <si>
    <t>**shinsei_strtower05_MENJYO_TEXT</t>
  </si>
  <si>
    <t>cst_shinsei_strtower05_MENJYO</t>
    <phoneticPr fontId="2"/>
  </si>
  <si>
    <t>**shinsei_strtower05_PROGRAM_KIND</t>
  </si>
  <si>
    <t>cst_shinsei_strtower05_PROGRAM_KIND</t>
    <phoneticPr fontId="2"/>
  </si>
  <si>
    <t>**shinsei_strtower05_REI80_2_KOKUJI_TEXT</t>
  </si>
  <si>
    <t>cst_shinsei_strtower05_REI80_2_KOKUJI</t>
    <phoneticPr fontId="2"/>
  </si>
  <si>
    <t>**shinsei_strtower05_PROGRAM_KIND__nintei__box</t>
  </si>
  <si>
    <t>cst_shinsei_strtower05_NINTEI</t>
    <phoneticPr fontId="2"/>
  </si>
  <si>
    <t>**shinsei_strtower05_PROGRAM_KIND__hyouka__box</t>
  </si>
  <si>
    <t>**shinsei_strtower05_PROGRAM_KIND__sonota__box</t>
  </si>
  <si>
    <t>**shinsei_strtower05_prgo01_NAME</t>
  </si>
  <si>
    <t>cst_shinsei_strtower05_prgo01_NAME</t>
    <phoneticPr fontId="2"/>
  </si>
  <si>
    <t>**shinsei_strtower05_prgo01_VER</t>
  </si>
  <si>
    <t>cst_shinsei_strtower05_prgo01_VER</t>
    <phoneticPr fontId="2"/>
  </si>
  <si>
    <t>cst_shinsei_strtower05_prgo01_NINTEI__umu</t>
    <phoneticPr fontId="2"/>
  </si>
  <si>
    <t>**shinsei_strtower05_prgo01_NINTEI_NO</t>
  </si>
  <si>
    <t>cst_shinsei_strtower05_prgo01_NINTEI_NO</t>
    <phoneticPr fontId="2"/>
  </si>
  <si>
    <t>**shinsei_strtower05_prgo01_NINTEI_DATE</t>
  </si>
  <si>
    <t>cst_shinsei_strtower05_prgo01_NINTEI_DATE</t>
    <phoneticPr fontId="2"/>
  </si>
  <si>
    <t>**shinsei_strtower05_prgo01_MAKER_NAME</t>
  </si>
  <si>
    <t>cst_shinsei_strtower05_prgo01_NAME_VER</t>
    <phoneticPr fontId="2"/>
  </si>
  <si>
    <t>cst_shinsei_strtower05_prgo01_NAME_VER__SP</t>
    <phoneticPr fontId="2"/>
  </si>
  <si>
    <t>cst_shinsei_strtower05_prgo01_MAKER__NINTEI_ari</t>
    <phoneticPr fontId="2"/>
  </si>
  <si>
    <t>cst_shinsei_strtower05_prgo01_NAME_VER__NINTEI_ari</t>
    <phoneticPr fontId="2"/>
  </si>
  <si>
    <t xml:space="preserve"> - メーカー(SP)</t>
    <phoneticPr fontId="2"/>
  </si>
  <si>
    <t>cst_shinsei_strtower05_prgo01_MAKER__NINTEI_non</t>
    <phoneticPr fontId="2"/>
  </si>
  <si>
    <t>cst_shinsei_strtower05_prgo01_NAME_VER__NINTEI_non</t>
    <phoneticPr fontId="2"/>
  </si>
  <si>
    <t>cst_shinsei_strtower05_prgo01_PROG__nintei_ari</t>
    <phoneticPr fontId="2"/>
  </si>
  <si>
    <t>cst_shinsei_strtower05_prgo01_VER__nintei_ari</t>
    <phoneticPr fontId="2"/>
  </si>
  <si>
    <t>cst_shinsei_strtower05_prgo01_NINTEI__nintei_ari</t>
    <phoneticPr fontId="2"/>
  </si>
  <si>
    <t>cst_shinsei_strtower05_prgo01_MAKER__nintei_nasi</t>
    <phoneticPr fontId="2"/>
  </si>
  <si>
    <t>cst_shinsei_strtower05_prgo01_PROG__nintei_nasi</t>
    <phoneticPr fontId="2"/>
  </si>
  <si>
    <t>cst_shinsei_strtower05_prgo01_VER__nintei_nasi</t>
    <phoneticPr fontId="2"/>
  </si>
  <si>
    <t>**shinsei_strtower05_prgo02_NAME</t>
  </si>
  <si>
    <t>**shinsei_strtower05_prgo02_VER</t>
  </si>
  <si>
    <t>cst_shinsei_strtower05_prgo02_NINTEI__umu</t>
    <phoneticPr fontId="2"/>
  </si>
  <si>
    <t>**shinsei_strtower05_prgo02_NINTEI_NO</t>
  </si>
  <si>
    <t>text</t>
    <phoneticPr fontId="2"/>
  </si>
  <si>
    <t>**shinsei_strtower05_prgo02_NINTEI_DATE</t>
  </si>
  <si>
    <t>cst_shinsei_strtower05_prgo02_NINTEI_DATE</t>
    <phoneticPr fontId="2"/>
  </si>
  <si>
    <t>**shinsei_strtower05_prgo02_MAKER_NAME</t>
  </si>
  <si>
    <t>cst_shinsei_strtower05_prgo02_NAME_VER</t>
    <phoneticPr fontId="2"/>
  </si>
  <si>
    <t>cst_shinsei_strtower05_prgo02_NAME_VER__SP</t>
    <phoneticPr fontId="2"/>
  </si>
  <si>
    <t xml:space="preserve"> - メーカー(SP)</t>
    <phoneticPr fontId="2"/>
  </si>
  <si>
    <t>cst_shinsei_strtower05_prgo02_MAKER__NINTEI_ari</t>
    <phoneticPr fontId="2"/>
  </si>
  <si>
    <t>cst_shinsei_strtower05_prgo02_NAME_VER__NINTEI_ari</t>
    <phoneticPr fontId="2"/>
  </si>
  <si>
    <t>cst_shinsei_strtower05_prgo02_MAKER__NINTEI_non</t>
    <phoneticPr fontId="2"/>
  </si>
  <si>
    <t>cst_shinsei_strtower05_prgo02_NAME_VER__NINTEI_non</t>
    <phoneticPr fontId="2"/>
  </si>
  <si>
    <t>**shinsei_strtower05_prgo03_NAME</t>
  </si>
  <si>
    <t>**shinsei_strtower05_prgo03_VER</t>
  </si>
  <si>
    <t>cst_shinsei_strtower05_prgo03_NINTEI__umu</t>
    <phoneticPr fontId="2"/>
  </si>
  <si>
    <t>**shinsei_strtower05_prgo03_NINTEI_NO</t>
  </si>
  <si>
    <t>**shinsei_strtower05_prgo03_NINTEI_DATE</t>
  </si>
  <si>
    <t>cst_shinsei_strtower05_prgo03_NINTEI_DATE_dsp</t>
    <phoneticPr fontId="2"/>
  </si>
  <si>
    <t xml:space="preserve"> - メーカー</t>
    <phoneticPr fontId="2"/>
  </si>
  <si>
    <t>**shinsei_strtower05_prgo03_MAKER_NAME</t>
  </si>
  <si>
    <t>cst_shinsei_strtower05_prgo03_NAME_VER</t>
    <phoneticPr fontId="2"/>
  </si>
  <si>
    <t>cst_shinsei_strtower05_prgo03_NAME_VER__SP</t>
    <phoneticPr fontId="2"/>
  </si>
  <si>
    <t>cst_shinsei_strtower05_prgo03_MAKER__NINTEI_ari</t>
    <phoneticPr fontId="2"/>
  </si>
  <si>
    <t>cst_shinsei_strtower05_prgo03_NAME_VER__NINTEI_ari</t>
    <phoneticPr fontId="2"/>
  </si>
  <si>
    <t>cst_shinsei_strtower05_prgo03_MAKER__NINTEI_non</t>
    <phoneticPr fontId="2"/>
  </si>
  <si>
    <t>cst_shinsei_strtower05_prgo03_NAME_VER__NINTEI_non</t>
    <phoneticPr fontId="2"/>
  </si>
  <si>
    <t>**shinsei_strtower05_prgo04_NAME</t>
  </si>
  <si>
    <t>**shinsei_strtower05_prgo04_VER</t>
  </si>
  <si>
    <t>cst_shinsei_strtower05_prgo04_NINTEI__umu</t>
    <phoneticPr fontId="2"/>
  </si>
  <si>
    <t>**shinsei_strtower05_prgo04_NINTEI_NO</t>
  </si>
  <si>
    <t>text</t>
    <phoneticPr fontId="2"/>
  </si>
  <si>
    <t>**shinsei_strtower05_prgo04_NINTEI_DATE</t>
  </si>
  <si>
    <t>cst_shinsei_strtower05_prgo04_NINTEI_DATE_dsp</t>
    <phoneticPr fontId="2"/>
  </si>
  <si>
    <t xml:space="preserve"> - メーカー</t>
    <phoneticPr fontId="2"/>
  </si>
  <si>
    <t>**shinsei_strtower05_prgo04_MAKER_NAME</t>
  </si>
  <si>
    <t>cst_shinsei_strtower05_prgo04_NAME_VER</t>
    <phoneticPr fontId="2"/>
  </si>
  <si>
    <t>cst_shinsei_strtower05_prgo04_NAME_VER__SP</t>
    <phoneticPr fontId="2"/>
  </si>
  <si>
    <t>cst_shinsei_strtower05_prgo04_MAKER__NINTEI_ari</t>
    <phoneticPr fontId="2"/>
  </si>
  <si>
    <t>cst_shinsei_strtower05_prgo04_NAME_VER__NINTEI_ari</t>
    <phoneticPr fontId="2"/>
  </si>
  <si>
    <t>cst_shinsei_strtower05_prgo04_MAKER__NINTEI_non</t>
    <phoneticPr fontId="2"/>
  </si>
  <si>
    <t>cst_shinsei_strtower05_prgo04_NAME_VER__NINTEI_non</t>
    <phoneticPr fontId="2"/>
  </si>
  <si>
    <t>プログラム05</t>
    <phoneticPr fontId="2"/>
  </si>
  <si>
    <t>**shinsei_strtower05_prgo05_NAME</t>
  </si>
  <si>
    <t>**shinsei_strtower05_prgo05_VER</t>
  </si>
  <si>
    <t>cst_shinsei_strtower05_prgo05_NINTEI__umu</t>
    <phoneticPr fontId="2"/>
  </si>
  <si>
    <t>**shinsei_strtower05_prgo05_NINTEI_NO</t>
  </si>
  <si>
    <t>text</t>
    <phoneticPr fontId="2"/>
  </si>
  <si>
    <t>**shinsei_strtower05_prgo05_NINTEI_DATE</t>
  </si>
  <si>
    <t>cst_shinsei_strtower05_prgo05_NINTEI_DATE_dsp</t>
    <phoneticPr fontId="2"/>
  </si>
  <si>
    <t>**shinsei_strtower05_prgo05_MAKER_NAME</t>
  </si>
  <si>
    <t>cst_shinsei_strtower05_prgo05_NAME_VER</t>
    <phoneticPr fontId="2"/>
  </si>
  <si>
    <t>cst_shinsei_strtower05_prgo05_NAME_VER__SP</t>
    <phoneticPr fontId="2"/>
  </si>
  <si>
    <t>cst_shinsei_strtower05_prgo05_MAKER__NINTEI_ari</t>
    <phoneticPr fontId="2"/>
  </si>
  <si>
    <t>cst_shinsei_strtower05_prgo05_NAME_VER__NINTEI_ari</t>
    <phoneticPr fontId="2"/>
  </si>
  <si>
    <t xml:space="preserve"> - メーカー(SP)</t>
    <phoneticPr fontId="2"/>
  </si>
  <si>
    <t>cst_shinsei_strtower05_prgo05_MAKER__NINTEI_non</t>
    <phoneticPr fontId="2"/>
  </si>
  <si>
    <t>cst_shinsei_strtower05_prgo05_NAME_VER__NINTEI_non</t>
    <phoneticPr fontId="2"/>
  </si>
  <si>
    <t>プログラム</t>
    <phoneticPr fontId="2"/>
  </si>
  <si>
    <t>cst_shinsei_strtower05_PROG_NAME_VER__CHAR</t>
    <phoneticPr fontId="2"/>
  </si>
  <si>
    <t>cst_shinsei_strtower05_PROG_NAME_VER__CHAR__SP</t>
    <phoneticPr fontId="2"/>
  </si>
  <si>
    <t>cst_shinsei_strtower05_PROG_MAKER__NINTEI_ari_SP</t>
    <phoneticPr fontId="2"/>
  </si>
  <si>
    <t>cst_shinsei_strtower05_PROG_NAME_VER__NINTEI_ari_SP</t>
    <phoneticPr fontId="2"/>
  </si>
  <si>
    <t>cst_shinsei_strtower05_PROG_NINTEI_DATE_SP</t>
    <phoneticPr fontId="2"/>
  </si>
  <si>
    <t>cst_shinsei_strtower05_PROG_MAKER__NINTEI_no_SP</t>
    <phoneticPr fontId="2"/>
  </si>
  <si>
    <t>cst_shinsei_strtower05_PROG_NAME_VER__NINTEI_non_SP</t>
    <phoneticPr fontId="2"/>
  </si>
  <si>
    <t>**shinsei_strtower05_DISK_FLAG</t>
  </si>
  <si>
    <t>cst_shinsei_strtower05_DISK_FLAG</t>
    <phoneticPr fontId="2"/>
  </si>
  <si>
    <t>**shinsei_strtower05_CHARGE</t>
  </si>
  <si>
    <t>cst_shinsei_strtower05_CHARGE</t>
    <phoneticPr fontId="2"/>
  </si>
  <si>
    <t>cst_shinsei_strtower05_CHARGE__dsp</t>
    <phoneticPr fontId="2"/>
  </si>
  <si>
    <t>**shinsei_strtower05_CHARGE_WARIMASHI</t>
  </si>
  <si>
    <t>cst_shinsei_strtower05_CHARGE_WARIMASHI</t>
    <phoneticPr fontId="2"/>
  </si>
  <si>
    <t>**shinsei_strtower05_CHARGE_TOTAL</t>
  </si>
  <si>
    <t>cst_shinsei_strtower05_CHARGE_TOTAL</t>
    <phoneticPr fontId="2"/>
  </si>
  <si>
    <t>cst_shinsei_strtower05_CHARGE_SANTEI_MENSEKI</t>
    <phoneticPr fontId="2"/>
  </si>
  <si>
    <t>**shinsei_strtower05_CHARGE_KEISAN_NOTE</t>
  </si>
  <si>
    <t>cst_shinsei_strtower05_CHARGE_KEISAN_NOTE</t>
    <phoneticPr fontId="2"/>
  </si>
  <si>
    <t>cst_shinsei_strtower05_CHARGE_KEISAN_NOTE__alter</t>
    <phoneticPr fontId="2"/>
  </si>
  <si>
    <t>**shinsei_strtower05_KEISAN_X_ROUTE</t>
  </si>
  <si>
    <t>cst_shinsei_strtower05_KEISAN_X_ROUTE</t>
    <phoneticPr fontId="2"/>
  </si>
  <si>
    <t>**shinsei_strtower05_KEISAN_Y_ROUTE</t>
  </si>
  <si>
    <t>cst_shinsei_strtower05_KEISAN_Y_ROUTE</t>
    <phoneticPr fontId="2"/>
  </si>
  <si>
    <t>cst_shinsei_strtower05_XY_select</t>
    <phoneticPr fontId="2"/>
  </si>
  <si>
    <t>**shinsei_strtower05_PROGRAM_KIND_SONOTA</t>
  </si>
  <si>
    <t>cst_shinsei_strtower05_PROGRAM_KIND_SONOTA</t>
    <phoneticPr fontId="2"/>
  </si>
  <si>
    <t>棟別情報6</t>
    <rPh sb="0" eb="1">
      <t>トウ</t>
    </rPh>
    <rPh sb="1" eb="2">
      <t>ベツ</t>
    </rPh>
    <rPh sb="2" eb="4">
      <t>ジョウホウ</t>
    </rPh>
    <phoneticPr fontId="2"/>
  </si>
  <si>
    <t>**shinsei_strtower06_TOWER_NO</t>
  </si>
  <si>
    <t>cst_shinsei_strtower06_TOWER_NO</t>
    <phoneticPr fontId="2"/>
  </si>
  <si>
    <t>**shinsei_strtower06_STR_TOWER_NO</t>
  </si>
  <si>
    <t>cst_shinsei_strtower06_STR_TOWER_NO</t>
    <phoneticPr fontId="2"/>
  </si>
  <si>
    <t>cst_shinsei_strtower06__TOWER_NO_STR_TOWER_NO</t>
    <phoneticPr fontId="2"/>
  </si>
  <si>
    <t>cst_shinsei_strtower06__TOWER_NO_STR_TOWERS</t>
    <phoneticPr fontId="2"/>
  </si>
  <si>
    <t>棟別情報の構造棟名称</t>
    <phoneticPr fontId="2"/>
  </si>
  <si>
    <t>**shinsei_strtower06_STR_TOWER_NAME</t>
  </si>
  <si>
    <t>cst_shinsei_strtower06_STR_TOWER_NAME</t>
    <phoneticPr fontId="2"/>
  </si>
  <si>
    <t>**shinsei_strtower06_JUDGE</t>
  </si>
  <si>
    <t>cst_shinsei_strtower06_JUDGE</t>
    <phoneticPr fontId="2"/>
  </si>
  <si>
    <t>**shinsei_strtower06_STR_TOWER_YOUTO_TEXT</t>
  </si>
  <si>
    <t>cst_shinsei_strtower06_STR_TOWER_YOUTO_TEXT</t>
    <phoneticPr fontId="2"/>
  </si>
  <si>
    <t>text</t>
    <phoneticPr fontId="2"/>
  </si>
  <si>
    <t>**shinsei_strtower06_KOUJI_TEXT</t>
  </si>
  <si>
    <t>cst_shinsei_strtower06_KOUJI_TEXT</t>
    <phoneticPr fontId="2"/>
  </si>
  <si>
    <t>**shinsei_strtower06_KOUZOU</t>
  </si>
  <si>
    <t>cst_shinsei_strtower06_KOUZOU</t>
    <phoneticPr fontId="2"/>
  </si>
  <si>
    <t>構造</t>
    <phoneticPr fontId="2"/>
  </si>
  <si>
    <t>建築物等の区分</t>
  </si>
  <si>
    <t>建築物：</t>
  </si>
  <si>
    <t>IF(shinsei_TARGET_KIND="建築物","■建築物","□建築物")</t>
  </si>
  <si>
    <t>建築設備（昇降機）：</t>
  </si>
  <si>
    <t>IF(AND(shinsei_TARGET_KIND="昇降機",cst_shinsei_EV_TYPE&lt;&gt;"昇降機以外の設備"),"■建築設備(昇降機）","□建築設備（昇降機）")</t>
  </si>
  <si>
    <t>建築設備（昇降機以外）：</t>
  </si>
  <si>
    <t>IF(AND(shinsei_TARGET_KIND="昇降機",cst_shinsei_EV_TYPE="昇降機以外の設備"),"■建築設備（昇降機以外）","□建築設備（昇降機以外）")</t>
  </si>
  <si>
    <t>工作物（法第88条第１項）：</t>
  </si>
  <si>
    <t>IF(AND(shinsei_TARGET_KIND="工作物",cst_shinsei_WORK_88=1),"■工作物(法第88条第1項)","□工作物(法第88条第1項)")</t>
  </si>
  <si>
    <t>工作物（法第88条第２項）：</t>
  </si>
  <si>
    <t>IF(AND(shinsei_TARGET_KIND="工作物",cst_shinsei_WORK_88=2),"■工作物(法第88条第2項)","□工作物(法第88条第2項)")</t>
  </si>
  <si>
    <t>建築場所：</t>
  </si>
  <si>
    <t>cst_shinsei_build_address</t>
  </si>
  <si>
    <t>手数料等：</t>
  </si>
  <si>
    <t>cst_shinsei_CHARGE_ID__RECEIPT_PRICE</t>
  </si>
  <si>
    <t>cst_shinsei_CHARGE_ID__RECEIPT_PRICE__disp</t>
  </si>
  <si>
    <t>■ 確認引受通知書 ■</t>
  </si>
  <si>
    <t>固定</t>
  </si>
  <si>
    <t>"　　　　　"&amp;cst_PRESENTER_DAIHYOSYA__Hikiuke</t>
  </si>
  <si>
    <t>建築主：</t>
  </si>
  <si>
    <t>確認申請があった建築物等：</t>
  </si>
  <si>
    <t>確認の引受年月日：</t>
  </si>
  <si>
    <t>特記事項：</t>
  </si>
  <si>
    <t>リンク無</t>
  </si>
  <si>
    <t>連絡先 - 担当者：</t>
  </si>
  <si>
    <t>cst_shinsei_HIKIUKE_TANTO</t>
  </si>
  <si>
    <t>■ 建築確認業務に関わる道路・敷地状況の照会について ■</t>
  </si>
  <si>
    <t>日付：■ 行政経由日を用いている。これは後から違うセル名で対応になる。（道路・敷地状況発送日）■</t>
  </si>
  <si>
    <t>cst_shinsei_KAKUNINZUMI_HOUKOKU_GYOSEI_DATE</t>
  </si>
  <si>
    <t>発行者 - 会社名：■同上■</t>
  </si>
  <si>
    <t>発行者 - 代表社名：■同上■</t>
  </si>
  <si>
    <t>"  "&amp;cst_shinsei_HIKIUKE_DATE__text&amp;"　"&amp;cst_shinsei_UKETUKE_NO__disp&amp;"　で建築基準法第６条の２第１項"</t>
  </si>
  <si>
    <t>■ 決定することができない旨の通知書 ■</t>
  </si>
  <si>
    <t>番号：</t>
  </si>
  <si>
    <t>cst_shinsei__NOTIFY_DATE__disp</t>
  </si>
  <si>
    <t>cst_PRESENTER_CORP__KoufuFuka</t>
  </si>
  <si>
    <t>cst_PRESENTER_DAIHYOSYA__KoufuFuka</t>
  </si>
  <si>
    <t>本文：</t>
  </si>
  <si>
    <t>cst_Ng_Notify_Common_Sentence</t>
  </si>
  <si>
    <t>理由：</t>
  </si>
  <si>
    <t>cst_shinsei__NOTIFY_CAUSE</t>
  </si>
  <si>
    <t>期限日：</t>
  </si>
  <si>
    <t>cst_shinsei__NOTIFY_LIMIT_DATE__add_kigentuki</t>
  </si>
  <si>
    <t>備考：</t>
  </si>
  <si>
    <t>IF(cst_shinsei__NOTIFY_NOTE="",cst_shinsei_BILL_NAME__common,cst_shinsei__NOTIFY_NOTE)</t>
  </si>
  <si>
    <t>■ 適合しない旨の通知書 ■</t>
  </si>
  <si>
    <t>■ 確認済証 B ■</t>
  </si>
  <si>
    <t>cst_shinsei_ISSUE_NO__disp</t>
  </si>
  <si>
    <t>cst_shinsei_ISSUE_DATE__disp</t>
  </si>
  <si>
    <t>cst_PRESENTER_ADDRESS__Issue</t>
  </si>
  <si>
    <t>cst_PRESENTER_ADDRESS2__Issue</t>
  </si>
  <si>
    <t>cst_PRESENTER_CORP__Issue</t>
  </si>
  <si>
    <t>"　　　　　"&amp;cst_PRESENTER_DAIHYOSYA__Issue</t>
  </si>
  <si>
    <t>建物名：</t>
  </si>
  <si>
    <t>cst_shinsei_BILL_NAME__common</t>
  </si>
  <si>
    <t>用途：</t>
  </si>
  <si>
    <t>cst_shinsei_build_YOUTO</t>
  </si>
  <si>
    <t>工事種別：</t>
  </si>
  <si>
    <t>cst_shinsei_kouji</t>
  </si>
  <si>
    <t>構造：</t>
  </si>
  <si>
    <t>cst_shinsei_build_kouzou</t>
  </si>
  <si>
    <t>規模</t>
  </si>
  <si>
    <t xml:space="preserve"> - 地下：</t>
  </si>
  <si>
    <t xml:space="preserve"> - 地上：</t>
  </si>
  <si>
    <t>cst_shinsei_build_KAISU_TIJYOU_SHINSEI</t>
  </si>
  <si>
    <t>敷地面積：</t>
  </si>
  <si>
    <t>cst_shinsei_build_SHIKITI_MENSEKI_1_TOTAL</t>
  </si>
  <si>
    <t>延べ面積</t>
  </si>
  <si>
    <t xml:space="preserve"> - 申請部分：</t>
  </si>
  <si>
    <t>cst_shinsei_build_NOBE_MENSEKI_BILL_SHINSEI</t>
  </si>
  <si>
    <t xml:space="preserve"> - 申請以外の部分：</t>
  </si>
  <si>
    <t xml:space="preserve"> - 合計：</t>
  </si>
  <si>
    <t>cst_shinsei_build_NOBE_MENSEKI_BILL_SHINSEI_TOTAL</t>
  </si>
  <si>
    <t>申請棟数：</t>
  </si>
  <si>
    <t>cst_shinsei_build_BILL_SHINSEI_COUNT</t>
  </si>
  <si>
    <t>確認を行った確認検査員氏名：</t>
  </si>
  <si>
    <t>cst_shinsei__NOTIFY_USER</t>
  </si>
  <si>
    <t>構造計算適合性判定の結果を記載した通知書の番号：</t>
  </si>
  <si>
    <t>構造計算適合性判定の結果を記載した通知書の交付年月日：</t>
  </si>
  <si>
    <t>構造計算適合性判定の結果を記載した通知書の交付者：</t>
  </si>
  <si>
    <t>cst_shinsei_STRUCTRESULT_NOTIFY_KOUFU_NAME__houkoku__add_code</t>
  </si>
  <si>
    <t>７．前確認済証番号：（計画変更時に表示）</t>
  </si>
  <si>
    <t>IF(shinsei_INSPECTION_TYPE="計画変更","７．前確認済証番号","")</t>
  </si>
  <si>
    <t>計画変更時の元確番号：（計画変更時に表示）</t>
  </si>
  <si>
    <t>IF(shinsei_INSPECTION_TYPE="計画変更",cst_p2_shinsei_ISSUE_NO,"")</t>
  </si>
  <si>
    <t>■ 確認済証 E ■</t>
    <phoneticPr fontId="2"/>
  </si>
  <si>
    <t>建物の用途：</t>
  </si>
  <si>
    <t>cst_shinsei_ev_EV_BILL_YOUTO</t>
  </si>
  <si>
    <t>種別：</t>
  </si>
  <si>
    <t>cst_shinsei_ev_EV_SYUBETU</t>
  </si>
  <si>
    <t>cst_shinsei_ev_EV_YOUTO</t>
  </si>
  <si>
    <t>積載荷重：</t>
  </si>
  <si>
    <t>cst_shinsei_ev_EV_SEKISAI</t>
  </si>
  <si>
    <t>最大定員：</t>
  </si>
  <si>
    <t>cst_shinsei_ev_EV_TEIIN</t>
  </si>
  <si>
    <t>定格速度：</t>
  </si>
  <si>
    <t>cst_shinsei_ev_EV_SPEED</t>
  </si>
  <si>
    <t>昇降機の数：</t>
  </si>
  <si>
    <t>cst_shinsei_ev_EV_COUNT</t>
  </si>
  <si>
    <t>■ 確認済証 W ■</t>
    <phoneticPr fontId="2"/>
  </si>
  <si>
    <t>名称又は工事名：</t>
    <phoneticPr fontId="2"/>
  </si>
  <si>
    <t>種類：</t>
  </si>
  <si>
    <t>cst_shinsei_ev_KOUSAKU_SYURUI</t>
  </si>
  <si>
    <t>高さ：</t>
  </si>
  <si>
    <t>cst_shinsei_ev_KOUSAKU_TAKASA</t>
  </si>
  <si>
    <t>IF(shinsei_ev_KOUSAKU_TAKASA_MAX="","","～")</t>
  </si>
  <si>
    <t>cst_shinsei_ev_KOUSAKU_TAKASA_MAX</t>
  </si>
  <si>
    <t>cst_shinsei_ev_KOUSAKU_KOUZOU</t>
  </si>
  <si>
    <t>cst_shinsei_ev_kousaku_kouji</t>
  </si>
  <si>
    <t>築造面積：</t>
  </si>
  <si>
    <t>cst_shinsei_ev_TIKUZOUMENSEKI_SHINSEI</t>
  </si>
  <si>
    <t>工作物の数：</t>
  </si>
  <si>
    <t>cst_shinsei_ev_WORKCOUNT_SHINSEI</t>
  </si>
  <si>
    <t>計画変更時に表示する項目：</t>
  </si>
  <si>
    <t>IF(shinsei_INSPECTION_TYPE="計画変更","４．前確認済証番号","")</t>
  </si>
  <si>
    <t>未完成</t>
    <phoneticPr fontId="2"/>
  </si>
  <si>
    <t>共通処理 カスタマイズシート Ver.3.1</t>
    <rPh sb="0" eb="2">
      <t>キョウツウ</t>
    </rPh>
    <rPh sb="2" eb="4">
      <t>ショリ</t>
    </rPh>
    <phoneticPr fontId="2"/>
  </si>
  <si>
    <t>■ 構造計算情報</t>
    <rPh sb="2" eb="4">
      <t>コウゾウ</t>
    </rPh>
    <rPh sb="4" eb="6">
      <t>ケイサン</t>
    </rPh>
    <rPh sb="6" eb="8">
      <t>ジョウホウ</t>
    </rPh>
    <phoneticPr fontId="2"/>
  </si>
  <si>
    <t>構造判定受付番号・判定結果通知書番号</t>
    <rPh sb="0" eb="2">
      <t>コウゾウ</t>
    </rPh>
    <rPh sb="2" eb="4">
      <t>ハンテイ</t>
    </rPh>
    <rPh sb="4" eb="6">
      <t>ウケツケ</t>
    </rPh>
    <rPh sb="6" eb="8">
      <t>バンゴウ</t>
    </rPh>
    <rPh sb="9" eb="11">
      <t>ハンテイ</t>
    </rPh>
    <rPh sb="11" eb="13">
      <t>ケッカ</t>
    </rPh>
    <rPh sb="13" eb="16">
      <t>ツウチショ</t>
    </rPh>
    <rPh sb="16" eb="18">
      <t>バンゴウ</t>
    </rPh>
    <phoneticPr fontId="2"/>
  </si>
  <si>
    <t>cst_shinsei_STRUCTRESULT__NO</t>
    <phoneticPr fontId="2"/>
  </si>
  <si>
    <t>構造計算適合性判定結果通知を検索、続いて判定依頼日 - 構造判定受付番号</t>
  </si>
  <si>
    <t>・受付 - 構造情報 - 審査情報</t>
    <rPh sb="1" eb="3">
      <t>ウケツケ</t>
    </rPh>
    <rPh sb="6" eb="8">
      <t>コウゾウ</t>
    </rPh>
    <rPh sb="8" eb="10">
      <t>ジョウホウ</t>
    </rPh>
    <rPh sb="13" eb="15">
      <t>シンサ</t>
    </rPh>
    <rPh sb="15" eb="17">
      <t>ジョウホウ</t>
    </rPh>
    <phoneticPr fontId="2"/>
  </si>
  <si>
    <t>設計事務所の対応度</t>
    <rPh sb="0" eb="2">
      <t>セッケイ</t>
    </rPh>
    <rPh sb="2" eb="4">
      <t>ジム</t>
    </rPh>
    <rPh sb="4" eb="5">
      <t>ショ</t>
    </rPh>
    <rPh sb="6" eb="8">
      <t>タイオウ</t>
    </rPh>
    <rPh sb="8" eb="9">
      <t>ド</t>
    </rPh>
    <phoneticPr fontId="2"/>
  </si>
  <si>
    <t>建築技術安全審査（構造安全審査）</t>
    <phoneticPr fontId="2"/>
  </si>
  <si>
    <t>耐震診断</t>
    <phoneticPr fontId="2"/>
  </si>
  <si>
    <t>**shinsei_TAISHIN_SHINDAN_FLAG</t>
  </si>
  <si>
    <t>高層指針の適用</t>
    <phoneticPr fontId="2"/>
  </si>
  <si>
    <t>**shinsei_KEN_KOUSOUSISIN_FLAG</t>
  </si>
  <si>
    <t>- 対象外</t>
    <rPh sb="2" eb="5">
      <t>タイショウガイ</t>
    </rPh>
    <phoneticPr fontId="2"/>
  </si>
  <si>
    <t>**shinsei_KEN_KOUSOUSISIN_GAI_FLAG</t>
  </si>
  <si>
    <t>構造評定（構造評価）</t>
    <phoneticPr fontId="2"/>
  </si>
  <si>
    <t>**shinsei_KOUZOU_HYOUTEI_FLAG</t>
  </si>
  <si>
    <t>告示免震</t>
    <phoneticPr fontId="2"/>
  </si>
  <si>
    <t>**shinsei_KOKUJI_MENSHIN_FLAG</t>
  </si>
  <si>
    <t>限界耐力</t>
    <phoneticPr fontId="2"/>
  </si>
  <si>
    <t>**shinsei_GENKAI_TAIRYOKU_FLAG</t>
  </si>
  <si>
    <t>cst_shinsei_GENKAI_TAIRYOKU_FLAG</t>
    <phoneticPr fontId="2"/>
  </si>
  <si>
    <t>1:■</t>
    <phoneticPr fontId="2"/>
  </si>
  <si>
    <t>適判申請種別</t>
  </si>
  <si>
    <t>cst_shinsei_STR_SHINSEI_TOWERS__disp</t>
    <phoneticPr fontId="2"/>
  </si>
  <si>
    <t>構造1次担当者</t>
    <rPh sb="0" eb="2">
      <t>コウゾウ</t>
    </rPh>
    <rPh sb="3" eb="4">
      <t>ジ</t>
    </rPh>
    <rPh sb="4" eb="7">
      <t>タントウシャ</t>
    </rPh>
    <phoneticPr fontId="2"/>
  </si>
  <si>
    <t>**shinsei_judgehist_accept_kouzou1_TANTO_USER_ID</t>
  </si>
  <si>
    <t>cst_shinsei_judgehist_accept_kouzou1_TANTO_USER_ID</t>
    <phoneticPr fontId="2"/>
  </si>
  <si>
    <t>構造2次担当者</t>
    <rPh sb="0" eb="2">
      <t>コウゾウ</t>
    </rPh>
    <rPh sb="3" eb="4">
      <t>ジ</t>
    </rPh>
    <rPh sb="4" eb="7">
      <t>タントウシャ</t>
    </rPh>
    <phoneticPr fontId="2"/>
  </si>
  <si>
    <t>**shinsei_judgehist_accept_kouzou2_TANTO_USER_ID</t>
  </si>
  <si>
    <t>cst_shinsei_judgehist_accept_kouzou2_TANTO_USER_ID</t>
    <phoneticPr fontId="2"/>
  </si>
  <si>
    <t>構造設計者</t>
    <rPh sb="0" eb="2">
      <t>コウゾウ</t>
    </rPh>
    <rPh sb="2" eb="4">
      <t>セッケイ</t>
    </rPh>
    <rPh sb="4" eb="5">
      <t>シャ</t>
    </rPh>
    <phoneticPr fontId="2"/>
  </si>
  <si>
    <t>**shinsei_STR_SEKKEI_JIMU_NAME</t>
  </si>
  <si>
    <t>cst_shinsei_STR_SEKKEI_JIMU_NAME</t>
    <phoneticPr fontId="2"/>
  </si>
  <si>
    <t>氏名</t>
    <phoneticPr fontId="2"/>
  </si>
  <si>
    <t>**shinsei_STR_SEKKEI_NAME</t>
  </si>
  <si>
    <t>cst_shinsei_STR_SEKKEI_NAME</t>
    <phoneticPr fontId="2"/>
  </si>
  <si>
    <t>**shinsei_STR_SEKKEI___address</t>
  </si>
  <si>
    <t>cst_shinsei_STR_SEKKEI___address</t>
    <phoneticPr fontId="2"/>
  </si>
  <si>
    <t>E-mail</t>
    <phoneticPr fontId="2"/>
  </si>
  <si>
    <t>**shinsei_STR_SEKKEI_EMAIL</t>
  </si>
  <si>
    <t>cst_shinsei_STR_SEKKEI_EMAIL</t>
    <phoneticPr fontId="2"/>
  </si>
  <si>
    <t>**shinsei_STR_SEKKEI_TEL</t>
  </si>
  <si>
    <t>cst_shinsei_STR_SEKKEI_TEL</t>
    <phoneticPr fontId="2"/>
  </si>
  <si>
    <t>**shinsei_STR_SEKKEI_FAX</t>
  </si>
  <si>
    <t>cst_shinsei_STR_SEKKEI_FAX</t>
    <phoneticPr fontId="2"/>
  </si>
  <si>
    <t>・受付 - 構造情報</t>
    <rPh sb="6" eb="8">
      <t>コウゾウ</t>
    </rPh>
    <rPh sb="8" eb="10">
      <t>ジョウホウ</t>
    </rPh>
    <phoneticPr fontId="2"/>
  </si>
  <si>
    <t>-  棟別情報*</t>
    <phoneticPr fontId="2"/>
  </si>
  <si>
    <t>DATA_strtower 参照</t>
    <rPh sb="14" eb="16">
      <t>サンショウ</t>
    </rPh>
    <phoneticPr fontId="2"/>
  </si>
  <si>
    <t>・処理 - 構造適判 - 事務処理</t>
    <rPh sb="1" eb="3">
      <t>ショリ</t>
    </rPh>
    <rPh sb="6" eb="8">
      <t>コウゾウ</t>
    </rPh>
    <rPh sb="8" eb="10">
      <t>テキハン</t>
    </rPh>
    <rPh sb="13" eb="15">
      <t>ジム</t>
    </rPh>
    <rPh sb="15" eb="17">
      <t>ショリ</t>
    </rPh>
    <phoneticPr fontId="2"/>
  </si>
  <si>
    <t>事前通知</t>
    <rPh sb="0" eb="2">
      <t>ジゼン</t>
    </rPh>
    <rPh sb="2" eb="4">
      <t>ツウチ</t>
    </rPh>
    <phoneticPr fontId="2"/>
  </si>
  <si>
    <t>**shinsei_STRPROVO_NOTIFY_DATE</t>
  </si>
  <si>
    <t>cst_shinsei_STRPROVO_NOTIFY_DATE</t>
    <phoneticPr fontId="2"/>
  </si>
  <si>
    <t>大規模(GBRC, KKS, HLPA)</t>
    <rPh sb="0" eb="3">
      <t>ダイキボ</t>
    </rPh>
    <phoneticPr fontId="2"/>
  </si>
  <si>
    <t>判定依頼予定日</t>
    <rPh sb="0" eb="2">
      <t>ハンテイ</t>
    </rPh>
    <rPh sb="2" eb="4">
      <t>イライ</t>
    </rPh>
    <rPh sb="4" eb="7">
      <t>ヨテイビ</t>
    </rPh>
    <phoneticPr fontId="2"/>
  </si>
  <si>
    <t>**shinsei_STRPROVO_IRAIYOTEI_DATE</t>
  </si>
  <si>
    <t>cst_shinsei_STRPROVO_IRAIYOTEI_DATE</t>
    <phoneticPr fontId="2"/>
  </si>
  <si>
    <t>cst_shinsei_STRPROVO_IRAIYOTEI_DATE2</t>
    <phoneticPr fontId="2"/>
  </si>
  <si>
    <t>制限業種対象</t>
  </si>
  <si>
    <t>別紙のものを予定</t>
  </si>
  <si>
    <t>**shinsei_STRPROVO_SEIGEN_BESSI</t>
  </si>
  <si>
    <t>cst_shinsei_STRPROVO_SEIGEN_BESSI</t>
    <phoneticPr fontId="2"/>
  </si>
  <si>
    <t>0：OFF, 1：ON</t>
    <phoneticPr fontId="2"/>
  </si>
  <si>
    <t>未定</t>
  </si>
  <si>
    <t>**shinsei_STRPROVO_SEIGEN_MITEI</t>
  </si>
  <si>
    <t>cst_shinsei_STRPROVO_SEIGEN_MITEI</t>
    <phoneticPr fontId="2"/>
  </si>
  <si>
    <t>0：OFF, 1：ON</t>
    <phoneticPr fontId="2"/>
  </si>
  <si>
    <t>**shinsei_STRPROVO_NOTE</t>
  </si>
  <si>
    <t>cst_shinsei_STRPROVO_NOTE</t>
    <phoneticPr fontId="2"/>
  </si>
  <si>
    <t>適判 - 判定受付日</t>
    <rPh sb="0" eb="2">
      <t>テキハン</t>
    </rPh>
    <rPh sb="5" eb="7">
      <t>ハンテイ</t>
    </rPh>
    <rPh sb="7" eb="10">
      <t>ウケツケビ</t>
    </rPh>
    <phoneticPr fontId="2"/>
  </si>
  <si>
    <t>**shinsei_STR_ACCEPT_DATE</t>
  </si>
  <si>
    <t>date</t>
    <phoneticPr fontId="2"/>
  </si>
  <si>
    <t>UDIまでの旧機関</t>
    <rPh sb="6" eb="9">
      <t>キュウキカン</t>
    </rPh>
    <phoneticPr fontId="2"/>
  </si>
  <si>
    <t>判定 - 送付日</t>
    <rPh sb="0" eb="2">
      <t>ハンテイ</t>
    </rPh>
    <rPh sb="5" eb="8">
      <t>ソウフビ</t>
    </rPh>
    <phoneticPr fontId="2"/>
  </si>
  <si>
    <t>**shinsei_STR_SEND_DATE</t>
  </si>
  <si>
    <t>判定依頼 - 文書番号</t>
    <rPh sb="0" eb="2">
      <t>ハンテイ</t>
    </rPh>
    <rPh sb="2" eb="4">
      <t>イライ</t>
    </rPh>
    <rPh sb="7" eb="9">
      <t>ブンショ</t>
    </rPh>
    <rPh sb="9" eb="11">
      <t>バンゴウ</t>
    </rPh>
    <phoneticPr fontId="2"/>
  </si>
  <si>
    <t>**shinsei_STRIRAI_DOCNO</t>
  </si>
  <si>
    <t>cst_shinsei_STRIRAI_DOCNO</t>
    <phoneticPr fontId="2"/>
  </si>
  <si>
    <t xml:space="preserve">0000_ </t>
  </si>
  <si>
    <t>**shinsei_STRIRAI_DATE</t>
  </si>
  <si>
    <t>cst_shinsei_STRIRAI_DATE</t>
    <phoneticPr fontId="2"/>
  </si>
  <si>
    <t>**shinsei_STRIRAI_TEKIHAN_ACCEPT_DATE</t>
  </si>
  <si>
    <t>cst_shinsei_STRIRAI_TEKIHAN_ACCEPT_DATE</t>
    <phoneticPr fontId="2"/>
  </si>
  <si>
    <t>**shinsei_STRIRAI_TEKIHAN_ACCEPT_NO</t>
  </si>
  <si>
    <t>受付番号が無い場合は判定結果通知書番号を取得</t>
    <rPh sb="0" eb="2">
      <t>ウケツケ</t>
    </rPh>
    <rPh sb="2" eb="4">
      <t>バンゴウ</t>
    </rPh>
    <rPh sb="5" eb="6">
      <t>ナ</t>
    </rPh>
    <rPh sb="7" eb="9">
      <t>バアイ</t>
    </rPh>
    <rPh sb="10" eb="12">
      <t>ハンテイ</t>
    </rPh>
    <rPh sb="12" eb="14">
      <t>ケッカ</t>
    </rPh>
    <rPh sb="14" eb="17">
      <t>ツウチショ</t>
    </rPh>
    <rPh sb="17" eb="19">
      <t>バンゴウ</t>
    </rPh>
    <rPh sb="20" eb="22">
      <t>シュトク</t>
    </rPh>
    <phoneticPr fontId="2"/>
  </si>
  <si>
    <t>cst_shinsei_STR_TEKIHAN_NO</t>
    <phoneticPr fontId="2"/>
  </si>
  <si>
    <t>前回判定受付番号</t>
  </si>
  <si>
    <t>**shinsei_STRIRAI_TEKIHAN_LAST_NO</t>
  </si>
  <si>
    <t>cst_shinsei_STRIRAI_TEKIHAN_LAST_NO</t>
    <phoneticPr fontId="2"/>
  </si>
  <si>
    <t>構造計算適合性判定延長通知</t>
    <rPh sb="0" eb="2">
      <t>コウゾウ</t>
    </rPh>
    <rPh sb="2" eb="4">
      <t>ケイサン</t>
    </rPh>
    <rPh sb="4" eb="7">
      <t>テキゴウセイ</t>
    </rPh>
    <rPh sb="7" eb="9">
      <t>ハンテイ</t>
    </rPh>
    <rPh sb="9" eb="11">
      <t>エンチョウ</t>
    </rPh>
    <rPh sb="11" eb="13">
      <t>ツウチ</t>
    </rPh>
    <phoneticPr fontId="2"/>
  </si>
  <si>
    <t>延長通知日(延長通知書 - 通知日)</t>
    <rPh sb="0" eb="2">
      <t>エンチョウ</t>
    </rPh>
    <rPh sb="2" eb="5">
      <t>ツウチビ</t>
    </rPh>
    <rPh sb="6" eb="8">
      <t>エンチョウ</t>
    </rPh>
    <rPh sb="8" eb="10">
      <t>ツウチ</t>
    </rPh>
    <rPh sb="10" eb="11">
      <t>ショ</t>
    </rPh>
    <rPh sb="14" eb="17">
      <t>ツウチビ</t>
    </rPh>
    <phoneticPr fontId="2"/>
  </si>
  <si>
    <t>**shinsei_STR_EXCEEDED_DATE</t>
  </si>
  <si>
    <t>延長通知用</t>
    <rPh sb="0" eb="2">
      <t>エンチョウ</t>
    </rPh>
    <rPh sb="2" eb="5">
      <t>ツウチヨウ</t>
    </rPh>
    <phoneticPr fontId="2"/>
  </si>
  <si>
    <t>cst_shinsei_STR_EXCEEDED_DATE_disp</t>
  </si>
  <si>
    <t>空白時に「平成   年   月   日」を出力する。</t>
    <rPh sb="0" eb="2">
      <t>クウハク</t>
    </rPh>
    <rPh sb="2" eb="3">
      <t>ジ</t>
    </rPh>
    <rPh sb="21" eb="23">
      <t>シュツリョク</t>
    </rPh>
    <phoneticPr fontId="2"/>
  </si>
  <si>
    <t>機関別：延長通知書 - 通知日</t>
    <rPh sb="0" eb="2">
      <t>キカン</t>
    </rPh>
    <rPh sb="2" eb="3">
      <t>ベツ</t>
    </rPh>
    <rPh sb="4" eb="6">
      <t>エンチョウ</t>
    </rPh>
    <rPh sb="6" eb="9">
      <t>ツウチショ</t>
    </rPh>
    <rPh sb="12" eb="14">
      <t>ツウチ</t>
    </rPh>
    <rPh sb="14" eb="15">
      <t>ビ</t>
    </rPh>
    <phoneticPr fontId="2"/>
  </si>
  <si>
    <t>機関別：処分の概要 - 交付日</t>
    <rPh sb="0" eb="2">
      <t>キカン</t>
    </rPh>
    <rPh sb="2" eb="3">
      <t>ベツ</t>
    </rPh>
    <rPh sb="4" eb="6">
      <t>ショブン</t>
    </rPh>
    <rPh sb="7" eb="9">
      <t>ガイヨウ</t>
    </rPh>
    <rPh sb="12" eb="14">
      <t>コウフ</t>
    </rPh>
    <rPh sb="14" eb="15">
      <t>ビ</t>
    </rPh>
    <phoneticPr fontId="2"/>
  </si>
  <si>
    <t>理由</t>
    <phoneticPr fontId="2"/>
  </si>
  <si>
    <t>**shinsei_STR_EXCEEDED_CAUSE</t>
  </si>
  <si>
    <t>※大規模は入力項目が無い。</t>
    <rPh sb="1" eb="4">
      <t>ダイキボ</t>
    </rPh>
    <rPh sb="5" eb="7">
      <t>ニュウリョク</t>
    </rPh>
    <rPh sb="7" eb="9">
      <t>コウモク</t>
    </rPh>
    <rPh sb="10" eb="11">
      <t>ナ</t>
    </rPh>
    <phoneticPr fontId="2"/>
  </si>
  <si>
    <t>延長する期間</t>
    <phoneticPr fontId="2"/>
  </si>
  <si>
    <t>**shinsei_STR_EXCEEDED_DAYS</t>
  </si>
  <si>
    <t>***日間</t>
    <rPh sb="3" eb="5">
      <t>ニチカン</t>
    </rPh>
    <phoneticPr fontId="2"/>
  </si>
  <si>
    <t>**shinsei_STR_EXCEEDED_NOTE</t>
  </si>
  <si>
    <t>取下げ</t>
    <rPh sb="0" eb="2">
      <t>トリサ</t>
    </rPh>
    <phoneticPr fontId="2"/>
  </si>
  <si>
    <t>適判機関への提出日</t>
    <rPh sb="0" eb="2">
      <t>テキハン</t>
    </rPh>
    <rPh sb="2" eb="4">
      <t>キカン</t>
    </rPh>
    <rPh sb="6" eb="8">
      <t>テイシュツ</t>
    </rPh>
    <rPh sb="8" eb="9">
      <t>ビ</t>
    </rPh>
    <phoneticPr fontId="2"/>
  </si>
  <si>
    <t>**shinsei_STRTORISAGE_TEISYUTU_DATE</t>
  </si>
  <si>
    <t>cst_p2_shinsei_ISSUE_NO__disp</t>
    <phoneticPr fontId="2"/>
  </si>
  <si>
    <t>****</t>
    <phoneticPr fontId="2"/>
  </si>
  <si>
    <t>【ﾊ.交付年月日】</t>
    <rPh sb="3" eb="5">
      <t>コウフ</t>
    </rPh>
    <rPh sb="5" eb="8">
      <t>ネンガッピ</t>
    </rPh>
    <phoneticPr fontId="2"/>
  </si>
  <si>
    <t>cst_p2_shinsei_ISSUE_DATE</t>
    <phoneticPr fontId="2"/>
  </si>
  <si>
    <t>date</t>
    <phoneticPr fontId="2"/>
  </si>
  <si>
    <t>cst_p2_shinsei_ISSUE_DATE__disp</t>
    <phoneticPr fontId="2"/>
  </si>
  <si>
    <t>平成    年    月    日</t>
    <rPh sb="0" eb="2">
      <t>ヘイセイ</t>
    </rPh>
    <rPh sb="6" eb="7">
      <t>ネン</t>
    </rPh>
    <rPh sb="11" eb="12">
      <t>ガツ</t>
    </rPh>
    <rPh sb="16" eb="17">
      <t>ヒ</t>
    </rPh>
    <phoneticPr fontId="2"/>
  </si>
  <si>
    <t>(計画変更の確認)</t>
    <rPh sb="1" eb="3">
      <t>ケイカク</t>
    </rPh>
    <rPh sb="3" eb="5">
      <t>ヘンコウ</t>
    </rPh>
    <rPh sb="6" eb="8">
      <t>カクニン</t>
    </rPh>
    <phoneticPr fontId="2"/>
  </si>
  <si>
    <t>※確認時：空欄, 計画変更時：当該確認番号（自分）</t>
    <rPh sb="1" eb="3">
      <t>カクニン</t>
    </rPh>
    <rPh sb="3" eb="4">
      <t>ジ</t>
    </rPh>
    <rPh sb="5" eb="7">
      <t>クウラン</t>
    </rPh>
    <rPh sb="9" eb="11">
      <t>ケイカク</t>
    </rPh>
    <rPh sb="11" eb="13">
      <t>ヘンコウ</t>
    </rPh>
    <rPh sb="13" eb="14">
      <t>ジ</t>
    </rPh>
    <rPh sb="15" eb="17">
      <t>トウガイ</t>
    </rPh>
    <rPh sb="17" eb="19">
      <t>カクニン</t>
    </rPh>
    <rPh sb="19" eb="21">
      <t>バンゴウ</t>
    </rPh>
    <rPh sb="22" eb="24">
      <t>ジブン</t>
    </rPh>
    <phoneticPr fontId="2"/>
  </si>
  <si>
    <t>【ｲ.確認済証交付者】</t>
  </si>
  <si>
    <t>cst_p2_shinsei_HEN_SUMI_KOUFU_NAME</t>
    <phoneticPr fontId="2"/>
  </si>
  <si>
    <t>txt</t>
    <phoneticPr fontId="2"/>
  </si>
  <si>
    <t>【ﾛ.確認済証番号】</t>
  </si>
  <si>
    <t>cst_p2_shinsei_HEN_SUMI_NO</t>
    <phoneticPr fontId="2"/>
  </si>
  <si>
    <t>cst_p2_shinsei_HEN_SUMI_NO__shobun</t>
    <phoneticPr fontId="2"/>
  </si>
  <si>
    <t>cst_p2_shinsei_HEN_SUMI_KOUFU_DATE</t>
    <phoneticPr fontId="2"/>
  </si>
  <si>
    <t>cst_p2_shinsei_HEN_SUMI_KOUFU_DATE__shobun</t>
    <phoneticPr fontId="2"/>
  </si>
  <si>
    <t>cst_p2_shinsei_HEN_SUMI_KOUFU_DATE__add_disp</t>
    <phoneticPr fontId="2"/>
  </si>
  <si>
    <t>計変時の直前の確認交付番号</t>
    <rPh sb="0" eb="1">
      <t>ケイ</t>
    </rPh>
    <rPh sb="1" eb="2">
      <t>ヘン</t>
    </rPh>
    <rPh sb="2" eb="3">
      <t>ジ</t>
    </rPh>
    <rPh sb="4" eb="6">
      <t>チョクゼン</t>
    </rPh>
    <rPh sb="7" eb="9">
      <t>カクニン</t>
    </rPh>
    <rPh sb="9" eb="11">
      <t>コウフ</t>
    </rPh>
    <rPh sb="11" eb="13">
      <t>バンゴウ</t>
    </rPh>
    <phoneticPr fontId="2"/>
  </si>
  <si>
    <t>cst_p2_shinsei_CHOKUZEN_ISSUE_NO</t>
  </si>
  <si>
    <t>押下ボタン情報＋回数</t>
    <rPh sb="0" eb="2">
      <t>オウカ</t>
    </rPh>
    <rPh sb="5" eb="7">
      <t>ジョウホウ</t>
    </rPh>
    <rPh sb="8" eb="10">
      <t>カイスウ</t>
    </rPh>
    <phoneticPr fontId="10"/>
  </si>
  <si>
    <t>cst__button_kind</t>
  </si>
  <si>
    <t>shinsei_ コントロール</t>
    <phoneticPr fontId="10"/>
  </si>
  <si>
    <t>cst_shinsei_ctrl</t>
    <phoneticPr fontId="10"/>
  </si>
  <si>
    <t>NOTIFY_LIMIT_DATE コントロール</t>
    <phoneticPr fontId="10"/>
  </si>
  <si>
    <t>cst_NOTIFY_ctrl</t>
  </si>
  <si>
    <t>STRUCT_NOTIFT コントロール</t>
    <phoneticPr fontId="10"/>
  </si>
  <si>
    <t>cst_STRUCTNOTIFT_NOTIFT_ctrl</t>
  </si>
  <si>
    <t>書面・できない旨の通知書</t>
    <rPh sb="0" eb="2">
      <t>ショメン</t>
    </rPh>
    <rPh sb="7" eb="8">
      <t>ムネ</t>
    </rPh>
    <rPh sb="9" eb="12">
      <t>ツウチショ</t>
    </rPh>
    <phoneticPr fontId="10"/>
  </si>
  <si>
    <t>期限付</t>
    <rPh sb="0" eb="2">
      <t>キゲン</t>
    </rPh>
    <rPh sb="2" eb="3">
      <t>ツキ</t>
    </rPh>
    <phoneticPr fontId="10"/>
  </si>
  <si>
    <t>補正等</t>
    <rPh sb="0" eb="3">
      <t>ホセイナド</t>
    </rPh>
    <phoneticPr fontId="10"/>
  </si>
  <si>
    <t>通知年月日</t>
    <rPh sb="2" eb="5">
      <t>ネンガッピ</t>
    </rPh>
    <phoneticPr fontId="2"/>
  </si>
  <si>
    <t>cst_shinsei_xx_NOTIFY_DATE</t>
    <phoneticPr fontId="2"/>
  </si>
  <si>
    <t>○</t>
    <phoneticPr fontId="10"/>
  </si>
  <si>
    <t>担当者</t>
  </si>
  <si>
    <t>cst_shinsei_xx_NOTIFY_TANTOU</t>
  </si>
  <si>
    <t>検査員</t>
  </si>
  <si>
    <t>cst_shinsei_xx_NOTIFY_USER</t>
    <phoneticPr fontId="10"/>
  </si>
  <si>
    <t>検査年月日</t>
    <rPh sb="0" eb="2">
      <t>ケンサ</t>
    </rPh>
    <rPh sb="2" eb="5">
      <t>ネンガッピ</t>
    </rPh>
    <phoneticPr fontId="10"/>
  </si>
  <si>
    <t>cst_shinsei_xx_NOTIFY_KENSA_DATE</t>
    <phoneticPr fontId="2"/>
  </si>
  <si>
    <t>期限年月日</t>
    <rPh sb="2" eb="5">
      <t>ネンガッピ</t>
    </rPh>
    <phoneticPr fontId="2"/>
  </si>
  <si>
    <t>cst_shinsei_xx_NOTIFY_LIMIT_DATE</t>
    <phoneticPr fontId="2"/>
  </si>
  <si>
    <t>○</t>
    <phoneticPr fontId="10"/>
  </si>
  <si>
    <t>回答日</t>
  </si>
  <si>
    <t>cst_shinsei_xx_NOTIFY_ANSWER_DATE</t>
    <phoneticPr fontId="2"/>
  </si>
  <si>
    <t>cst_shinsei_xx_NOTIFY_CAUSE</t>
    <phoneticPr fontId="2"/>
  </si>
  <si>
    <t>cst_shinsei_xx_NOTIFY_NOTE</t>
    <phoneticPr fontId="10"/>
  </si>
  <si>
    <t>送付先</t>
  </si>
  <si>
    <t>cst_shinsei_xx_NOTIFY_SOUFU_SAKI</t>
    <phoneticPr fontId="2"/>
  </si>
  <si>
    <t>文書番号(不要)</t>
  </si>
  <si>
    <t>cst_shinsei_xx_NOTIFY_DOCNO</t>
    <phoneticPr fontId="2"/>
  </si>
  <si>
    <t>---</t>
    <phoneticPr fontId="10"/>
  </si>
  <si>
    <t>審査・検査報告書</t>
    <rPh sb="0" eb="2">
      <t>シンサ</t>
    </rPh>
    <rPh sb="3" eb="5">
      <t>ケンサ</t>
    </rPh>
    <rPh sb="5" eb="8">
      <t>ホウコクショ</t>
    </rPh>
    <phoneticPr fontId="10"/>
  </si>
  <si>
    <t>報告年月日</t>
    <rPh sb="2" eb="5">
      <t>ネンガッピ</t>
    </rPh>
    <phoneticPr fontId="2"/>
  </si>
  <si>
    <t>cst_shinsei_xx_REPORT_DATE</t>
    <phoneticPr fontId="2"/>
  </si>
  <si>
    <t>不適合時の事由</t>
  </si>
  <si>
    <t>cst_shinsei_xx_CAUSE</t>
    <phoneticPr fontId="2"/>
  </si>
  <si>
    <t>判定できない通知</t>
    <rPh sb="0" eb="2">
      <t>ハンテイ</t>
    </rPh>
    <rPh sb="6" eb="8">
      <t>ツウチ</t>
    </rPh>
    <phoneticPr fontId="10"/>
  </si>
  <si>
    <t>適判 - 判定できない通知 (有効)</t>
  </si>
  <si>
    <t>cst_shinsei_xx_STRUCT_NOTIFT_USE</t>
  </si>
  <si>
    <t>1：有効</t>
    <rPh sb="2" eb="4">
      <t>ユウコウ</t>
    </rPh>
    <phoneticPr fontId="10"/>
  </si>
  <si>
    <t>○</t>
    <phoneticPr fontId="10"/>
  </si>
  <si>
    <t>cst_shinsei_xx_STRUCT_NOTIFT_DATE</t>
    <phoneticPr fontId="2"/>
  </si>
  <si>
    <t>通知書番号</t>
    <rPh sb="0" eb="2">
      <t>ツウチ</t>
    </rPh>
    <rPh sb="2" eb="3">
      <t>ショ</t>
    </rPh>
    <rPh sb="3" eb="5">
      <t>バンゴウ</t>
    </rPh>
    <phoneticPr fontId="2"/>
  </si>
  <si>
    <t>cst_shinsei_xx_STRUCT_NOTIFT_NO</t>
    <phoneticPr fontId="2"/>
  </si>
  <si>
    <t>到着メモ</t>
  </si>
  <si>
    <t>cst_shinsei_xx_STRUCT_NOTIFT_TOUTYAKU_MEMO</t>
  </si>
  <si>
    <t>cst_shinsei_xx_STRUCT_NOTIFT_BIKO</t>
  </si>
  <si>
    <t>追加説明提出日（提出期限日）</t>
    <rPh sb="0" eb="2">
      <t>ツイカ</t>
    </rPh>
    <rPh sb="2" eb="4">
      <t>セツメイ</t>
    </rPh>
    <rPh sb="4" eb="6">
      <t>テイシュツ</t>
    </rPh>
    <rPh sb="6" eb="7">
      <t>ビ</t>
    </rPh>
    <rPh sb="8" eb="10">
      <t>テイシュツ</t>
    </rPh>
    <rPh sb="10" eb="12">
      <t>キゲン</t>
    </rPh>
    <rPh sb="12" eb="13">
      <t>ビ</t>
    </rPh>
    <phoneticPr fontId="2"/>
  </si>
  <si>
    <t>cst_shinsei_xx_STRUCT_NOTIFT_TUIKA_DATE</t>
  </si>
  <si>
    <t>確認結果文書番号</t>
  </si>
  <si>
    <t>cst_shinsei_xx_STRUCT_NOTIFT_DOCNO</t>
  </si>
  <si>
    <t>追加説明書の提出（適判へ）</t>
  </si>
  <si>
    <t>cst_shinsei_xx_STRUCT_TUIKA_NOTIFT_DATE</t>
    <phoneticPr fontId="2"/>
  </si>
  <si>
    <t>変更通知日（提出日(GBRC)）</t>
    <phoneticPr fontId="2"/>
  </si>
  <si>
    <t>cst_shinsei_xx_STRUCT_HENKOU_NOTIFT_DATE</t>
  </si>
  <si>
    <t>変更の期限日</t>
  </si>
  <si>
    <t>cst_shinsei_xx_STRUCT_HENKOU_LIMIT_DATE</t>
  </si>
  <si>
    <t>文書番号</t>
  </si>
  <si>
    <t>cst_shinsei_xx_STRUCT_TUIKA_DOCNO</t>
  </si>
  <si>
    <t>備考</t>
    <phoneticPr fontId="10"/>
  </si>
  <si>
    <t>cst_shinsei_xx_BIKO</t>
    <phoneticPr fontId="2"/>
  </si>
  <si>
    <t>■ 交付不可書発行処理用情報（※ 帳票出力には用いない）</t>
    <rPh sb="2" eb="4">
      <t>コウフ</t>
    </rPh>
    <rPh sb="4" eb="6">
      <t>フカ</t>
    </rPh>
    <rPh sb="6" eb="7">
      <t>ショ</t>
    </rPh>
    <rPh sb="7" eb="9">
      <t>ハッコウ</t>
    </rPh>
    <rPh sb="9" eb="11">
      <t>ショリ</t>
    </rPh>
    <rPh sb="11" eb="12">
      <t>ヨウ</t>
    </rPh>
    <rPh sb="12" eb="14">
      <t>ジョウホウ</t>
    </rPh>
    <rPh sb="17" eb="19">
      <t>チョウヒョウ</t>
    </rPh>
    <rPh sb="19" eb="21">
      <t>シュツリョク</t>
    </rPh>
    <rPh sb="23" eb="24">
      <t>モチ</t>
    </rPh>
    <phoneticPr fontId="2"/>
  </si>
  <si>
    <t>● 期限付1（適合するかどうかを決定する事が出来ない旨の通知書）</t>
    <rPh sb="2" eb="4">
      <t>キゲン</t>
    </rPh>
    <rPh sb="4" eb="5">
      <t>ツキ</t>
    </rPh>
    <phoneticPr fontId="2"/>
  </si>
  <si>
    <t>**shinsei_IMPOSS_NOTIFY_DATE</t>
  </si>
  <si>
    <t>cst_shinsei_imposs1_NOTIFY_DATE</t>
    <phoneticPr fontId="2"/>
  </si>
  <si>
    <t>**shinsei_IMPOSS_NOTIFY_USER_ID</t>
  </si>
  <si>
    <t>cst_shinsei_imposs1_NOTIFY_USER</t>
  </si>
  <si>
    <t>**shinsei_IMPOSS_NOTIFY_LIMIT_DATE</t>
  </si>
  <si>
    <t>cst_shinsei_imposs1_NOTIFY_LIMIT_DATE</t>
    <phoneticPr fontId="2"/>
  </si>
  <si>
    <t>**shinsei_IMPOSS_NOTIFY_CAUSE</t>
  </si>
  <si>
    <t>cst_shinsei_imposs1_NOTIFY_CAUSE</t>
    <phoneticPr fontId="2"/>
  </si>
  <si>
    <t>**shinsei_IMPOSS_NOTIFY_BIKO</t>
  </si>
  <si>
    <t>cst_shinsei_imposs1_NOTIFY_NOTE</t>
  </si>
  <si>
    <t>● 期限付1（確認審査の報告書）</t>
    <rPh sb="2" eb="4">
      <t>キゲン</t>
    </rPh>
    <rPh sb="4" eb="5">
      <t>ツキ</t>
    </rPh>
    <rPh sb="7" eb="9">
      <t>カクニン</t>
    </rPh>
    <rPh sb="9" eb="11">
      <t>シンサ</t>
    </rPh>
    <rPh sb="12" eb="15">
      <t>ホウコクショ</t>
    </rPh>
    <phoneticPr fontId="2"/>
  </si>
  <si>
    <t>**shinsei_IMPOSS_REPORT_DATE</t>
  </si>
  <si>
    <t>cst_shinsei_imposs1_REPORT_DATE</t>
    <phoneticPr fontId="2"/>
  </si>
  <si>
    <t>● 適判 - 判定できない通知</t>
    <rPh sb="2" eb="4">
      <t>テキハン</t>
    </rPh>
    <rPh sb="7" eb="9">
      <t>ハンテイ</t>
    </rPh>
    <rPh sb="13" eb="15">
      <t>ツウチ</t>
    </rPh>
    <phoneticPr fontId="2"/>
  </si>
  <si>
    <t>cst_shinsei_strtuikaimposs1_STRUCT_NOTIFT_DATE</t>
    <phoneticPr fontId="2"/>
  </si>
  <si>
    <t>cst_shinsei_strtuikaimposs1_STRUCT_NOTIFT_NO</t>
    <phoneticPr fontId="2"/>
  </si>
  <si>
    <t>追加説明提出日</t>
    <rPh sb="0" eb="2">
      <t>ツイカ</t>
    </rPh>
    <rPh sb="2" eb="4">
      <t>セツメイ</t>
    </rPh>
    <rPh sb="4" eb="6">
      <t>テイシュツ</t>
    </rPh>
    <rPh sb="6" eb="7">
      <t>ビ</t>
    </rPh>
    <phoneticPr fontId="2"/>
  </si>
  <si>
    <t>cst_shinsei_strtuikaimposs1_STRUCT_TUIKA_DATE</t>
    <phoneticPr fontId="2"/>
  </si>
  <si>
    <t>適判への追加説明書の提出通知日</t>
    <rPh sb="0" eb="2">
      <t>テキハン</t>
    </rPh>
    <rPh sb="4" eb="6">
      <t>ツイカ</t>
    </rPh>
    <rPh sb="6" eb="9">
      <t>セツメイショ</t>
    </rPh>
    <rPh sb="10" eb="12">
      <t>テイシュツ</t>
    </rPh>
    <rPh sb="12" eb="15">
      <t>ツウチビ</t>
    </rPh>
    <phoneticPr fontId="2"/>
  </si>
  <si>
    <t>cst_shinsei_strtuikaimposs1_STRUCTTUIKA_NOTIFT_DATE</t>
    <phoneticPr fontId="2"/>
  </si>
  <si>
    <t>● 期限付2（適合するかどうかを決定する事が出来ない旨の通知書）</t>
    <rPh sb="2" eb="4">
      <t>キゲン</t>
    </rPh>
    <rPh sb="4" eb="5">
      <t>ツキ</t>
    </rPh>
    <phoneticPr fontId="2"/>
  </si>
  <si>
    <t>**shinsei_IMPOSS2_NOTIFY_ID__NOTIFY_DATE</t>
  </si>
  <si>
    <t>cst_shinsei_imposs2_NOTIFY_DATE</t>
    <phoneticPr fontId="2"/>
  </si>
  <si>
    <t>**shinsei_IMPOSS2_NOTIFY_ID__KENSAIN_USER_ID</t>
  </si>
  <si>
    <t>cst_shinsei_imposs2_NOTIFY_USER</t>
  </si>
  <si>
    <t>**shinsei_IMPOSS2_NOTIFY_ID__LIMIT_DATE</t>
  </si>
  <si>
    <t>cst_shinsei_imposs2_NOTIFY_LIMIT_DATE</t>
    <phoneticPr fontId="2"/>
  </si>
  <si>
    <t>**shinsei_IMPOSS2_NOTIFY_ID__NOTIFY_CAUSE</t>
  </si>
  <si>
    <t>cst_shinsei_imposs2_NOTIFY_CAUSE</t>
    <phoneticPr fontId="2"/>
  </si>
  <si>
    <t>cst_shinsei_imposs2_NOTIFY_NOTE</t>
    <phoneticPr fontId="2"/>
  </si>
  <si>
    <t>● 期限付2（確認審査の報告書）</t>
    <rPh sb="2" eb="4">
      <t>キゲン</t>
    </rPh>
    <rPh sb="4" eb="5">
      <t>ツキ</t>
    </rPh>
    <rPh sb="7" eb="9">
      <t>カクニン</t>
    </rPh>
    <rPh sb="9" eb="11">
      <t>シンサ</t>
    </rPh>
    <rPh sb="12" eb="15">
      <t>ホウコクショ</t>
    </rPh>
    <phoneticPr fontId="2"/>
  </si>
  <si>
    <t>**shinsei_IMPOSS2_NOTIFY_ID__REPORT_DATE</t>
  </si>
  <si>
    <t>cst_shinsei_imposs2_REPORT_DATE</t>
    <phoneticPr fontId="2"/>
  </si>
  <si>
    <t>cst_shinsei_strtuikaimposs2_STRUCT_NOTIFT_DATE</t>
    <phoneticPr fontId="2"/>
  </si>
  <si>
    <t>cst_shinsei_strtuikaimposs2_STRUCT_NOTIFT_NO</t>
    <phoneticPr fontId="2"/>
  </si>
  <si>
    <t>cst_shinsei_strtuikaimposs2_STRUCT_TUIKA_DATE</t>
    <phoneticPr fontId="2"/>
  </si>
  <si>
    <t>cst_shinsei_strtuikaimposs2_STRUCTTUIKA_NOTIFT_DATE</t>
    <phoneticPr fontId="2"/>
  </si>
  <si>
    <t>● 期限付3（適合するかどうかを決定する事が出来ない旨の通知書）</t>
    <rPh sb="2" eb="4">
      <t>キゲン</t>
    </rPh>
    <rPh sb="4" eb="5">
      <t>ツキ</t>
    </rPh>
    <phoneticPr fontId="2"/>
  </si>
  <si>
    <t>**shinsei_IMPOSS3_NOTIFY_ID__NOTIFY_DATE</t>
  </si>
  <si>
    <t>cst_shinsei_imposs3_NOTIFY_DATE</t>
    <phoneticPr fontId="2"/>
  </si>
  <si>
    <t>**shinsei_IMPOSS3_NOTIFY_ID__KENSAIN_USER_ID</t>
  </si>
  <si>
    <t>cst_shinsei_imposs3_NOTIFY_USER</t>
    <phoneticPr fontId="2"/>
  </si>
  <si>
    <t>**shinsei_IMPOSS3_NOTIFY_ID__LIMIT_DATE</t>
  </si>
  <si>
    <t>cst_shinsei_imposs3_NOTIFY_LIMIT_DATE</t>
    <phoneticPr fontId="2"/>
  </si>
  <si>
    <t>**shinsei_IMPOSS3_NOTIFY_ID__NOTIFY_CAUSE</t>
  </si>
  <si>
    <t>cst_shinsei_imposs3_NOTIFY_CAUSE</t>
    <phoneticPr fontId="2"/>
  </si>
  <si>
    <t>**shinsei_IMPOSS3_NOTIFY_ID__NOTIFY_NOTE</t>
  </si>
  <si>
    <t>cst_shinsei_imposs3_NOTIFY_NOTE</t>
    <phoneticPr fontId="2"/>
  </si>
  <si>
    <t>● 期限付3（確認審査の報告書）</t>
    <rPh sb="2" eb="4">
      <t>キゲン</t>
    </rPh>
    <rPh sb="4" eb="5">
      <t>ツキ</t>
    </rPh>
    <rPh sb="7" eb="9">
      <t>カクニン</t>
    </rPh>
    <rPh sb="9" eb="11">
      <t>シンサ</t>
    </rPh>
    <rPh sb="12" eb="15">
      <t>ホウコクショ</t>
    </rPh>
    <phoneticPr fontId="2"/>
  </si>
  <si>
    <t>**shinsei_IMPOSS3_NOTIFY_ID__REPORT_DATE</t>
  </si>
  <si>
    <t>cst_shinsei_imposs3_REPORT_DATE</t>
    <phoneticPr fontId="2"/>
  </si>
  <si>
    <t>cst_shinsei_strtuikaimposs3_STRUCT_NOTIFT_DATE</t>
    <phoneticPr fontId="2"/>
  </si>
  <si>
    <t>cst_shinsei_strtuikaimposs3_STRUCT_NOTIFT_NO</t>
    <phoneticPr fontId="2"/>
  </si>
  <si>
    <t>cst_shinsei_strtuikaimposs3_STRUCT_TUIKA_DATE</t>
    <phoneticPr fontId="2"/>
  </si>
  <si>
    <t>cst_shinsei_strtuikaimposs3_STRUCTTUIKA_NOTIFT_DATE</t>
    <phoneticPr fontId="2"/>
  </si>
  <si>
    <t>● 期限付4（適合するかどうかを決定する事が出来ない旨の通知書）</t>
    <rPh sb="2" eb="4">
      <t>キゲン</t>
    </rPh>
    <rPh sb="4" eb="5">
      <t>ツキ</t>
    </rPh>
    <phoneticPr fontId="2"/>
  </si>
  <si>
    <t>**shinsei_IMPOSS4_NOTIFY_ID__NOTIFY_DATE</t>
  </si>
  <si>
    <t>cst_shinsei_imposs4_NOTIFY_DATE</t>
    <phoneticPr fontId="2"/>
  </si>
  <si>
    <t>**shinsei_IMPOSS4_NOTIFY_ID__KENSAIN_USER_ID</t>
  </si>
  <si>
    <t>cst_shinsei_imposs4_NOTIFY_USER</t>
    <phoneticPr fontId="2"/>
  </si>
  <si>
    <t>**shinsei_IMPOSS4_NOTIFY_ID__LIMIT_DATE</t>
  </si>
  <si>
    <t>cst_shinsei_imposs4_NOTIFY_LIMIT_DATE</t>
    <phoneticPr fontId="2"/>
  </si>
  <si>
    <t>**shinsei_IMPOSS4_NOTIFY_ID__NOTIFY_CAUSE</t>
  </si>
  <si>
    <t>cst_shinsei_imposs4_NOTIFY_CAUSE</t>
    <phoneticPr fontId="2"/>
  </si>
  <si>
    <t>**shinsei_IMPOSS4_NOTIFY_ID__NOTIFY_NOTE</t>
  </si>
  <si>
    <t>cst_shinsei_imposs4_NOTIFY_NOTE</t>
    <phoneticPr fontId="2"/>
  </si>
  <si>
    <t>● 期限付4（確認審査の報告書）</t>
    <rPh sb="2" eb="4">
      <t>キゲン</t>
    </rPh>
    <rPh sb="4" eb="5">
      <t>ツキ</t>
    </rPh>
    <rPh sb="7" eb="9">
      <t>カクニン</t>
    </rPh>
    <rPh sb="9" eb="11">
      <t>シンサ</t>
    </rPh>
    <rPh sb="12" eb="15">
      <t>ホウコクショ</t>
    </rPh>
    <phoneticPr fontId="2"/>
  </si>
  <si>
    <t>**shinsei_IMPOSS4_NOTIFY_ID__REPORT_DATE</t>
  </si>
  <si>
    <t>cst_shinsei_imposs4_REPORT_DATE</t>
    <phoneticPr fontId="2"/>
  </si>
  <si>
    <t>cst_shinsei_strtuikaimposs4_STRUCT_NOTIFT_DATE</t>
    <phoneticPr fontId="2"/>
  </si>
  <si>
    <t>cst_shinsei_strtuikaimposs4_STRUCT_NOTIFT_NO</t>
    <phoneticPr fontId="2"/>
  </si>
  <si>
    <t>cst_shinsei_strtuikaimposs4_STRUCT_TUIKA_DATE</t>
    <phoneticPr fontId="2"/>
  </si>
  <si>
    <t>cst_shinsei_strtuikaimposs4_STRUCTTUIKA_NOTIFT_DATE</t>
    <phoneticPr fontId="2"/>
  </si>
  <si>
    <t>● 期限付5（適合するかどうかを決定する事が出来ない旨の通知書）</t>
    <rPh sb="2" eb="4">
      <t>キゲン</t>
    </rPh>
    <rPh sb="4" eb="5">
      <t>ツキ</t>
    </rPh>
    <phoneticPr fontId="2"/>
  </si>
  <si>
    <t>**shinsei_IMPOSS5_NOTIFY_ID__NOTIFY_DATE</t>
  </si>
  <si>
    <t>cst_shinsei_imposs5_NOTIFY_DATE</t>
    <phoneticPr fontId="2"/>
  </si>
  <si>
    <t>**shinsei_IMPOSS5_NOTIFY_ID__KENSAIN_USER_ID</t>
  </si>
  <si>
    <t>cst_shinsei_imposs5_NOTIFY_USER</t>
    <phoneticPr fontId="2"/>
  </si>
  <si>
    <t>**shinsei_IMPOSS5_NOTIFY_ID__LIMIT_DATE</t>
  </si>
  <si>
    <t>cst_shinsei_imposs5_NOTIFY_LIMIT_DATE</t>
    <phoneticPr fontId="2"/>
  </si>
  <si>
    <t>**shinsei_IMPOSS5_NOTIFY_ID__NOTIFY_CAUSE</t>
  </si>
  <si>
    <t>cst_shinsei_imposs5_NOTIFY_CAUSE</t>
    <phoneticPr fontId="2"/>
  </si>
  <si>
    <t>**shinsei_IMPOSS5_NOTIFY_ID__NOTIFY_NOTE</t>
  </si>
  <si>
    <t>cst_shinsei_imposs5_NOTIFY_NOTE</t>
    <phoneticPr fontId="2"/>
  </si>
  <si>
    <t>● 期限付5（確認審査の報告書）</t>
    <rPh sb="2" eb="4">
      <t>キゲン</t>
    </rPh>
    <rPh sb="4" eb="5">
      <t>ツキ</t>
    </rPh>
    <rPh sb="7" eb="9">
      <t>カクニン</t>
    </rPh>
    <rPh sb="9" eb="11">
      <t>シンサ</t>
    </rPh>
    <rPh sb="12" eb="15">
      <t>ホウコクショ</t>
    </rPh>
    <phoneticPr fontId="2"/>
  </si>
  <si>
    <t>**shinsei_IMPOSS5_NOTIFY_ID__REPORT_DATE</t>
  </si>
  <si>
    <t>cst_shinsei_imposs5_REPORT_DATE</t>
    <phoneticPr fontId="2"/>
  </si>
  <si>
    <t>cst_shinsei_strtuikaimposs5_STRUCT_NOTIFT_DATE</t>
    <phoneticPr fontId="2"/>
  </si>
  <si>
    <t>cst_shinsei_strtuikaimposs5_STRUCT_NOTIFT_NO</t>
    <phoneticPr fontId="2"/>
  </si>
  <si>
    <t>cst_shinsei_strtuikaimposs5_STRUCT_TUIKA_DATE</t>
    <phoneticPr fontId="2"/>
  </si>
  <si>
    <t>cst_shinsei_strtuikaimposs5_STRUCTTUIKA_NOTIFT_DATE</t>
    <phoneticPr fontId="2"/>
  </si>
  <si>
    <t>● 期限付6（適合するかどうかを決定する事が出来ない旨の通知書）</t>
    <rPh sb="2" eb="4">
      <t>キゲン</t>
    </rPh>
    <rPh sb="4" eb="5">
      <t>ツキ</t>
    </rPh>
    <phoneticPr fontId="2"/>
  </si>
  <si>
    <t>**shinsei_IMPOSS6_NOTIFY_ID__NOTIFY_DATE</t>
  </si>
  <si>
    <t>cst_shinsei_imposs6_NOTIFY_DATE</t>
    <phoneticPr fontId="2"/>
  </si>
  <si>
    <t>**shinsei_IMPOSS6_NOTIFY_ID__KENSAIN_USER_ID</t>
  </si>
  <si>
    <t>cst_shinsei_imposs6_NOTIFY_USER</t>
    <phoneticPr fontId="2"/>
  </si>
  <si>
    <t>**shinsei_IMPOSS6_NOTIFY_ID__LIMIT_DATE</t>
  </si>
  <si>
    <t>cst_shinsei_imposs6_NOTIFY_LIMIT_DATE</t>
    <phoneticPr fontId="2"/>
  </si>
  <si>
    <t>**shinsei_IMPOSS6_NOTIFY_ID__NOTIFY_CAUSE</t>
  </si>
  <si>
    <t>cst_shinsei_imposs6_NOTIFY_CAUSE</t>
    <phoneticPr fontId="2"/>
  </si>
  <si>
    <t>**shinsei_IMPOSS6_NOTIFY_ID__NOTIFY_NOTE</t>
  </si>
  <si>
    <t>cst_shinsei_imposs6_NOTIFY_NOTE</t>
    <phoneticPr fontId="2"/>
  </si>
  <si>
    <t>● 期限付6（確認審査の報告書）</t>
    <rPh sb="2" eb="4">
      <t>キゲン</t>
    </rPh>
    <rPh sb="4" eb="5">
      <t>ツキ</t>
    </rPh>
    <rPh sb="7" eb="9">
      <t>カクニン</t>
    </rPh>
    <rPh sb="9" eb="11">
      <t>シンサ</t>
    </rPh>
    <rPh sb="12" eb="15">
      <t>ホウコクショ</t>
    </rPh>
    <phoneticPr fontId="2"/>
  </si>
  <si>
    <t>**shinsei_IMPOSS6_NOTIFY_ID__REPORT_DATE</t>
  </si>
  <si>
    <t>cst_shinsei_imposs6_REPORT_DATE</t>
    <phoneticPr fontId="2"/>
  </si>
  <si>
    <t>cst_shinsei_strtuikaimposs6_STRUCT_NOTIFT_DATE</t>
    <phoneticPr fontId="2"/>
  </si>
  <si>
    <t>cst_shinsei_strtower08_KAISU_TIKA</t>
    <phoneticPr fontId="2"/>
  </si>
  <si>
    <t>**shinsei_strtower08_KAISU_TOUYA</t>
  </si>
  <si>
    <t>cst_shinsei_strtower08_KAISU_TOUYA</t>
    <phoneticPr fontId="2"/>
  </si>
  <si>
    <t xml:space="preserve">#,##0_ </t>
    <phoneticPr fontId="2"/>
  </si>
  <si>
    <t>**shinsei_strtower08_BUILD_KUBUN</t>
  </si>
  <si>
    <t>cst_shinsei_strtower08_BUILD_KUBUN</t>
    <phoneticPr fontId="2"/>
  </si>
  <si>
    <t>**shinsei_strtower08_BUILD_KUBUN_TEXT</t>
  </si>
  <si>
    <t>cst_shinsei_strtower08_BUILD_KUBUN_TEXT</t>
    <phoneticPr fontId="2"/>
  </si>
  <si>
    <t>text</t>
    <phoneticPr fontId="2"/>
  </si>
  <si>
    <t>cst_shinsei_strtower08_HOU20_2_select</t>
    <phoneticPr fontId="2"/>
  </si>
  <si>
    <t>cst_shinsei_strtower08_HOU20_3_select</t>
    <phoneticPr fontId="2"/>
  </si>
  <si>
    <t>構造計算免除の規定</t>
    <phoneticPr fontId="2"/>
  </si>
  <si>
    <t>**shinsei_strtower08_MENJYO_TEXT</t>
  </si>
  <si>
    <t>cst_shinsei_strtower08_MENJYO</t>
    <phoneticPr fontId="2"/>
  </si>
  <si>
    <t>**shinsei_strtower08_PROGRAM_KIND</t>
  </si>
  <si>
    <t>cst_shinsei_strtower08_PROGRAM_KIND</t>
    <phoneticPr fontId="2"/>
  </si>
  <si>
    <t>**shinsei_strtower08_REI80_2_KOKUJI_TEXT</t>
  </si>
  <si>
    <t>cst_shinsei_strtower08_REI80_2_KOKUJI</t>
    <phoneticPr fontId="2"/>
  </si>
  <si>
    <t>cst_shinsei_strtower17_prgo01_NINTEI_DATE_dsp</t>
    <phoneticPr fontId="2"/>
  </si>
  <si>
    <t>**shinsei_strtower17_prgo01_MAKER_NAME</t>
  </si>
  <si>
    <t>cst_shinsei_strtower17_prgo01_NAME_VER</t>
    <phoneticPr fontId="2"/>
  </si>
  <si>
    <t>cst_shinsei_strtower17_prgo01_NAME_VER__SP</t>
    <phoneticPr fontId="2"/>
  </si>
  <si>
    <t>cst_shinsei_strtower17_prgo01_MAKER__NINTEI_ari</t>
    <phoneticPr fontId="2"/>
  </si>
  <si>
    <t>cst_shinsei_strtower17_prgo01_NAME_VER__NINTEI_ari</t>
    <phoneticPr fontId="2"/>
  </si>
  <si>
    <t>cst_shinsei_strtower17_prgo01_MAKER__NINTEI_non</t>
    <phoneticPr fontId="2"/>
  </si>
  <si>
    <t>cst_shinsei_strtower17_prgo01_NAME_VER__NINTEI_non</t>
    <phoneticPr fontId="2"/>
  </si>
  <si>
    <t>**shinsei_strtower17_prgo02_NAME</t>
  </si>
  <si>
    <t>**shinsei_strtower17_prgo02_VER</t>
  </si>
  <si>
    <t>cst_shinsei_strtower17_prgo02_NINTEI__umu</t>
    <phoneticPr fontId="2"/>
  </si>
  <si>
    <t>**shinsei_strtower17_prgo02_NINTEI_NO</t>
  </si>
  <si>
    <t>cst_shinsei_strtower17_prgo02_NINTEI_NO</t>
    <phoneticPr fontId="2"/>
  </si>
  <si>
    <t>**shinsei_strtower17_prgo02_NINTEI_DATE</t>
  </si>
  <si>
    <t>cst_shinsei_strtower17_prgo02_NINTEI_DATE_dsp</t>
    <phoneticPr fontId="2"/>
  </si>
  <si>
    <t>**shinsei_strtower17_prgo02_MAKER_NAME</t>
  </si>
  <si>
    <t>cst_shinsei_strtower17_prgo02_NAME_VER</t>
    <phoneticPr fontId="2"/>
  </si>
  <si>
    <t>cst_shinsei_strtower17_prgo02_NAME_VER__SP</t>
    <phoneticPr fontId="2"/>
  </si>
  <si>
    <t>cst_shinsei_strtower17_prgo02_MAKER__NINTEI_ari</t>
    <phoneticPr fontId="2"/>
  </si>
  <si>
    <t>cst_shinsei_strtower08_prgo01_MAKER__NINTEI_non</t>
    <phoneticPr fontId="2"/>
  </si>
  <si>
    <t>cst_shinsei_strtower08_prgo01_NAME_VER__NINTEI_non</t>
    <phoneticPr fontId="2"/>
  </si>
  <si>
    <t>**shinsei_strtower08_prgo02_NAME</t>
  </si>
  <si>
    <t>**shinsei_strtower08_prgo02_VER</t>
  </si>
  <si>
    <t>cst_shinsei_strtower08_prgo02_NINTEI__umu</t>
    <phoneticPr fontId="2"/>
  </si>
  <si>
    <t>**shinsei_strtower08_prgo02_NINTEI_NO</t>
  </si>
  <si>
    <t>**shinsei_strtower08_prgo02_NINTEI_DATE</t>
  </si>
  <si>
    <t>cst_shinsei_strtower08_prgo02_NINTEI_DATE</t>
    <phoneticPr fontId="2"/>
  </si>
  <si>
    <t>**shinsei_strtower08_prgo02_MAKER_NAME</t>
  </si>
  <si>
    <t>cst_shinsei_strtower08_prgo02_NAME_VER</t>
    <phoneticPr fontId="2"/>
  </si>
  <si>
    <t>cst_shinsei_strtower08_prgo02_NAME_VER__SP</t>
    <phoneticPr fontId="2"/>
  </si>
  <si>
    <t>cst_shinsei_strtower08_prgo02_MAKER__NINTEI_ari</t>
    <phoneticPr fontId="2"/>
  </si>
  <si>
    <t>cst_shinsei_strtower08_prgo02_NAME_VER__NINTEI_ari</t>
    <phoneticPr fontId="2"/>
  </si>
  <si>
    <t>cst_shinsei_strtower08_prgo02_MAKER__NINTEI_non</t>
    <phoneticPr fontId="2"/>
  </si>
  <si>
    <t>cst_shinsei_strtower08_prgo02_NAME_VER__NINTEI_non</t>
    <phoneticPr fontId="2"/>
  </si>
  <si>
    <t>プログラム03</t>
    <phoneticPr fontId="2"/>
  </si>
  <si>
    <t>**shinsei_strtower08_prgo03_NAME</t>
  </si>
  <si>
    <t>**shinsei_strtower08_prgo03_VER</t>
  </si>
  <si>
    <t>cst_shinsei_strtower08_prgo03_NINTEI__umu</t>
    <phoneticPr fontId="2"/>
  </si>
  <si>
    <t>**shinsei_strtower08_prgo03_NINTEI_NO</t>
  </si>
  <si>
    <t>**shinsei_strtower08_prgo03_NINTEI_DATE</t>
  </si>
  <si>
    <t>cst_shinsei_strtower08_prgo03_NINTEI_DATE_dsp</t>
    <phoneticPr fontId="2"/>
  </si>
  <si>
    <t>**shinsei_strtower08_prgo03_MAKER_NAME</t>
  </si>
  <si>
    <t>cst_shinsei_strtower08_prgo03_NAME_VER</t>
    <phoneticPr fontId="2"/>
  </si>
  <si>
    <t>cst_shinsei_strtower08_prgo03_NAME_VER__SP</t>
    <phoneticPr fontId="2"/>
  </si>
  <si>
    <t>cst_shinsei_strtower08_prgo03_MAKER__NINTEI_ari</t>
    <phoneticPr fontId="2"/>
  </si>
  <si>
    <t>cst_shinsei_strtower08_prgo03_NAME_VER__NINTEI_ari</t>
    <phoneticPr fontId="2"/>
  </si>
  <si>
    <t xml:space="preserve"> - メーカー(SP)</t>
    <phoneticPr fontId="2"/>
  </si>
  <si>
    <t>cst_shinsei_strtower08_prgo03_MAKER__NINTEI_non</t>
    <phoneticPr fontId="2"/>
  </si>
  <si>
    <t>cst_shinsei_strtower08_prgo03_NAME_VER__NINTEI_non</t>
    <phoneticPr fontId="2"/>
  </si>
  <si>
    <t>プログラム04</t>
    <phoneticPr fontId="2"/>
  </si>
  <si>
    <t>**shinsei_strtower08_prgo04_NAME</t>
  </si>
  <si>
    <t>text</t>
    <phoneticPr fontId="2"/>
  </si>
  <si>
    <t xml:space="preserve"> - バージョン</t>
    <phoneticPr fontId="2"/>
  </si>
  <si>
    <t>**shinsei_strtower08_prgo04_VER</t>
  </si>
  <si>
    <t>cst_shinsei_strtower08_prgo04_NINTEI__umu</t>
    <phoneticPr fontId="2"/>
  </si>
  <si>
    <t>**shinsei_strtower08_prgo04_NINTEI_NO</t>
  </si>
  <si>
    <t>**shinsei_strtower08_prgo04_NINTEI_DATE</t>
  </si>
  <si>
    <t>cst_shinsei_strtower08_prgo04_NINTEI_DATE_dsp</t>
    <phoneticPr fontId="2"/>
  </si>
  <si>
    <t>**shinsei_strtower08_prgo04_MAKER_NAME</t>
  </si>
  <si>
    <t>cst_shinsei_strtower08_prgo04_NAME_VER</t>
    <phoneticPr fontId="2"/>
  </si>
  <si>
    <t>cst_shinsei_strtower08_prgo04_NAME_VER__SP</t>
    <phoneticPr fontId="2"/>
  </si>
  <si>
    <t>cst_shinsei_strtower08_prgo04_MAKER__NINTEI_ari</t>
    <phoneticPr fontId="2"/>
  </si>
  <si>
    <t>cst_shinsei_strtower08_prgo04_NAME_VER__NINTEI_ari</t>
    <phoneticPr fontId="2"/>
  </si>
  <si>
    <t>cst_shinsei_strtower08_prgo04_MAKER__NINTEI_non</t>
    <phoneticPr fontId="2"/>
  </si>
  <si>
    <t>cst_shinsei_strtower08_prgo04_NAME_VER__NINTEI_non</t>
    <phoneticPr fontId="2"/>
  </si>
  <si>
    <t>**shinsei_strtower08_prgo05_NAME</t>
  </si>
  <si>
    <t>**shinsei_strtower08_prgo05_VER</t>
  </si>
  <si>
    <t>cst_shinsei_strtower08_prgo05_NINTEI__umu</t>
    <phoneticPr fontId="2"/>
  </si>
  <si>
    <t>**shinsei_strtower08_prgo05_NINTEI_NO</t>
  </si>
  <si>
    <t>**shinsei_strtower08_prgo05_NINTEI_DATE</t>
  </si>
  <si>
    <t>cst_shinsei_strtower08_prgo05_NINTEI_DATE_dsp</t>
    <phoneticPr fontId="2"/>
  </si>
  <si>
    <t>**shinsei_strtower08_prgo05_MAKER_NAME</t>
  </si>
  <si>
    <t>cst_shinsei_strtower08_prgo05_NAME_VER</t>
    <phoneticPr fontId="2"/>
  </si>
  <si>
    <t>cst_shinsei_strtower08_prgo05_NAME_VER__SP</t>
    <phoneticPr fontId="2"/>
  </si>
  <si>
    <t>cst_shinsei_strtower08_prgo05_MAKER__NINTEI_ari</t>
    <phoneticPr fontId="2"/>
  </si>
  <si>
    <t>cst_shinsei_strtower08_prgo05_NAME_VER__NINTEI_ari</t>
    <phoneticPr fontId="2"/>
  </si>
  <si>
    <t>cst_shinsei_strtower08_prgo05_MAKER__NINTEI_non</t>
    <phoneticPr fontId="2"/>
  </si>
  <si>
    <t>cst_shinsei_strtower08_prgo05_NAME_VER__NINTEI_non</t>
    <phoneticPr fontId="2"/>
  </si>
  <si>
    <t>cst_shinsei_strtower08_PROG_NAME_VER__CHAR</t>
    <phoneticPr fontId="2"/>
  </si>
  <si>
    <t>cst_shinsei_strtower08_PROG_NAME_VER__CHAR__SP</t>
    <phoneticPr fontId="2"/>
  </si>
  <si>
    <t>cst_shinsei_strtower08_PROG_MAKER__NINTEI_ari_SP</t>
    <phoneticPr fontId="2"/>
  </si>
  <si>
    <t>cst_shinsei_strtower08_PROG_NAME_VER__NINTEI_ari_SP</t>
    <phoneticPr fontId="2"/>
  </si>
  <si>
    <t>cst_shinsei_strtower08_PROG_NINTEI_DATE_SP</t>
    <phoneticPr fontId="2"/>
  </si>
  <si>
    <t>cst_shinsei_strtower08_PROG_MAKER__NINTEI_no_SP</t>
    <phoneticPr fontId="2"/>
  </si>
  <si>
    <t>cst_shinsei_strtower08_PROG_NAME_VER__NINTEI_non_SP</t>
    <phoneticPr fontId="2"/>
  </si>
  <si>
    <t>**shinsei_strtower08_DISK_FLAG</t>
  </si>
  <si>
    <t>cst_shinsei_strtower08_DISK_FLAG</t>
    <phoneticPr fontId="2"/>
  </si>
  <si>
    <t>**shinsei_strtower08_CHARGE</t>
  </si>
  <si>
    <t>cst_shinsei_strtower08_CHARGE</t>
    <phoneticPr fontId="2"/>
  </si>
  <si>
    <t>cst_shinsei_strtower08_CHARGE__dsp</t>
    <phoneticPr fontId="2"/>
  </si>
  <si>
    <t>**shinsei_strtower08_CHARGE_WARIMASHI</t>
  </si>
  <si>
    <t>cst_shinsei_strtower08_CHARGE_WARIMASHI</t>
    <phoneticPr fontId="2"/>
  </si>
  <si>
    <t>**shinsei_strtower08_CHARGE_TOTAL</t>
  </si>
  <si>
    <t>cst_shinsei_strtower08_CHARGE_TOTAL</t>
    <phoneticPr fontId="2"/>
  </si>
  <si>
    <t>**shinsei_strtower08_CHARGE_KEISAN_NOTE</t>
  </si>
  <si>
    <t>cst_shinsei_strtower08_CHARGE_KEISAN_NOTE</t>
    <phoneticPr fontId="2"/>
  </si>
  <si>
    <t>cst_shinsei_strtower08_CHARGE_KEISAN_NOTE__alter</t>
    <phoneticPr fontId="2"/>
  </si>
  <si>
    <t>**shinsei_strtower08_KEISAN_X_ROUTE</t>
  </si>
  <si>
    <t>cst_shinsei_strtower08_KEISAN_X_ROUTE</t>
    <phoneticPr fontId="2"/>
  </si>
  <si>
    <t>**shinsei_strtower08_KEISAN_Y_ROUTE</t>
  </si>
  <si>
    <t>cst_shinsei_strtower08_KEISAN_Y_ROUTE</t>
    <phoneticPr fontId="2"/>
  </si>
  <si>
    <t>cst_shinsei_strtower08_XY_select</t>
    <phoneticPr fontId="2"/>
  </si>
  <si>
    <t>**shinsei_strtower08_PROGRAM_KIND_SONOTA</t>
  </si>
  <si>
    <t>cst_shinsei_strtower08_PROGRAM_KIND_SONOTA</t>
    <phoneticPr fontId="2"/>
  </si>
  <si>
    <t>棟別情報9</t>
    <rPh sb="0" eb="1">
      <t>トウ</t>
    </rPh>
    <rPh sb="1" eb="2">
      <t>ベツ</t>
    </rPh>
    <rPh sb="2" eb="4">
      <t>ジョウホウ</t>
    </rPh>
    <phoneticPr fontId="2"/>
  </si>
  <si>
    <t>**shinsei_strtower09_TOWER_NO</t>
  </si>
  <si>
    <t>cst_shinsei_strtower09_TOWER_NO</t>
    <phoneticPr fontId="2"/>
  </si>
  <si>
    <t>**shinsei_strtower09_STR_TOWER_NO</t>
  </si>
  <si>
    <t>cst_shinsei_strtower09_STR_TOWER_NO</t>
    <phoneticPr fontId="2"/>
  </si>
  <si>
    <t>cst_shinsei_strtower09__TOWER_NO_STR_TOWER_NO</t>
    <phoneticPr fontId="2"/>
  </si>
  <si>
    <t>cst_shinsei_strtower09__TOWER_NO_STR_TOWERS</t>
    <phoneticPr fontId="2"/>
  </si>
  <si>
    <t>棟別情報の構造棟名称</t>
    <phoneticPr fontId="2"/>
  </si>
  <si>
    <t>**shinsei_strtower09_STR_TOWER_NAME</t>
  </si>
  <si>
    <t>cst_shinsei_strtower09_STR_TOWER_NAME</t>
    <phoneticPr fontId="2"/>
  </si>
  <si>
    <t>構造判定（判定が必要なもの）</t>
    <phoneticPr fontId="2"/>
  </si>
  <si>
    <t>**shinsei_strtower09_JUDGE</t>
  </si>
  <si>
    <t>cst_shinsei_strtower09_JUDGE</t>
    <phoneticPr fontId="2"/>
  </si>
  <si>
    <t>**shinsei_strtower09_STR_TOWER_YOUTO_TEXT</t>
  </si>
  <si>
    <t>cst_shinsei_strtower09_STR_TOWER_YOUTO_TEXT</t>
    <phoneticPr fontId="2"/>
  </si>
  <si>
    <t>**shinsei_strtower09_KOUJI_TEXT</t>
  </si>
  <si>
    <t>cst_shinsei_strtower09_KOUJI_TEXT</t>
    <phoneticPr fontId="2"/>
  </si>
  <si>
    <t>**shinsei_strtower09_KOUZOU</t>
  </si>
  <si>
    <t>cst_shinsei_strtower09_KOUZOU</t>
    <phoneticPr fontId="2"/>
  </si>
  <si>
    <t>構造</t>
    <phoneticPr fontId="2"/>
  </si>
  <si>
    <t>**shinsei_strtower09_KOUZOU_TEXT</t>
  </si>
  <si>
    <t>cst_shinsei_strtower09_KOUZOU_TEXT</t>
    <phoneticPr fontId="2"/>
  </si>
  <si>
    <t>**shinsei_strtower09_KOUZOU_KEISAN</t>
  </si>
  <si>
    <t>cst_shinsei_strtower09_KOUZOU_KEISAN</t>
    <phoneticPr fontId="2"/>
  </si>
  <si>
    <t>**shinsei_strtower09_KOUZOU_KEISAN_TEXT</t>
  </si>
  <si>
    <t>cst_shinsei_strtower09_KOUZOU_KEISAN_TEXT</t>
    <phoneticPr fontId="2"/>
  </si>
  <si>
    <t>**shinsei_strtower09_MENSEKI</t>
  </si>
  <si>
    <t>cst_shinsei_strtower09_MENSEKI</t>
    <phoneticPr fontId="2"/>
  </si>
  <si>
    <t>cst_shinsei_strtower09_MENSEKI__dsp</t>
    <phoneticPr fontId="2"/>
  </si>
  <si>
    <t>**shinsei_strtower09_MAX_TAKASA</t>
  </si>
  <si>
    <t>cst_shinsei_strtower09_MAX_TAKASA</t>
    <phoneticPr fontId="2"/>
  </si>
  <si>
    <t>**shinsei_strtower09_MAX_NOKI_TAKASA</t>
  </si>
  <si>
    <t>cst_shinsei_strtower09_MAX_NOKI_TAKASA</t>
    <phoneticPr fontId="2"/>
  </si>
  <si>
    <t>**shinsei_strtower09_KAISU_TIJYOU</t>
  </si>
  <si>
    <t>cst_shinsei_strtower09_KAISU_TIJYOU</t>
    <phoneticPr fontId="2"/>
  </si>
  <si>
    <t xml:space="preserve">#,##0_ </t>
    <phoneticPr fontId="2"/>
  </si>
  <si>
    <t>**shinsei_strtower09_KAISU_TIKA</t>
  </si>
  <si>
    <t>cst_shinsei_strtower09_KAISU_TIKA</t>
    <phoneticPr fontId="2"/>
  </si>
  <si>
    <t>**shinsei_strtower09_KAISU_TOUYA</t>
  </si>
  <si>
    <t>cst_shinsei_strtower09_KAISU_TOUYA</t>
    <phoneticPr fontId="2"/>
  </si>
  <si>
    <t>**shinsei_strtower09_BUILD_KUBUN</t>
  </si>
  <si>
    <t>cst_shinsei_strtower09_BUILD_KUBUN</t>
    <phoneticPr fontId="2"/>
  </si>
  <si>
    <t>**shinsei_strtower09_BUILD_KUBUN_TEXT</t>
  </si>
  <si>
    <t>cst_shinsei_strtower09_BUILD_KUBUN_TEXT</t>
    <phoneticPr fontId="2"/>
  </si>
  <si>
    <t>cst_shinsei_strtower09_HOU20_2_select</t>
    <phoneticPr fontId="2"/>
  </si>
  <si>
    <t>cst_shinsei_strtower09_HOU20_3_select</t>
    <phoneticPr fontId="2"/>
  </si>
  <si>
    <t>**shinsei_strtower09_MENJYO_TEXT</t>
  </si>
  <si>
    <t>cst_shinsei_strtower09_MENJYO</t>
    <phoneticPr fontId="2"/>
  </si>
  <si>
    <t>**shinsei_strtower09_PROGRAM_KIND</t>
  </si>
  <si>
    <t>cst_shinsei_strtower09_PROGRAM_KIND</t>
    <phoneticPr fontId="2"/>
  </si>
  <si>
    <t>**shinsei_strtower09_REI80_2_KOKUJI_TEXT</t>
  </si>
  <si>
    <t>cst_shinsei_strtower09_REI80_2_KOKUJI</t>
    <phoneticPr fontId="2"/>
  </si>
  <si>
    <t>**shinsei_strtower09_PROGRAM_KIND__nintei__box</t>
  </si>
  <si>
    <t>cst_shinsei_strtower09_NINTEI</t>
    <phoneticPr fontId="2"/>
  </si>
  <si>
    <t>**shinsei_strtower09_PROGRAM_KIND__hyouka__box</t>
  </si>
  <si>
    <t>**shinsei_strtower09_PROGRAM_KIND__sonota__box</t>
  </si>
  <si>
    <t>**shinsei_strtower09_prgo01_NAME</t>
  </si>
  <si>
    <t>cst_shinsei_strtower09_prgo01_NAME</t>
    <phoneticPr fontId="2"/>
  </si>
  <si>
    <t>**shinsei_strtower09_prgo01_VER</t>
  </si>
  <si>
    <t>cst_shinsei_strtower09_prgo01_VER</t>
    <phoneticPr fontId="2"/>
  </si>
  <si>
    <t>cst_shinsei_strtower09_prgo01_NINTEI__umu</t>
    <phoneticPr fontId="2"/>
  </si>
  <si>
    <t>**shinsei_strtower09_prgo01_NINTEI_NO</t>
  </si>
  <si>
    <t>cst_shinsei_strtower09_prgo01_NINTEI_NO</t>
    <phoneticPr fontId="2"/>
  </si>
  <si>
    <t>text</t>
    <phoneticPr fontId="2"/>
  </si>
  <si>
    <t>**shinsei_strtower09_prgo01_NINTEI_DATE</t>
  </si>
  <si>
    <t>cst_shinsei_strtower09_prgo01_NINTEI_DATE</t>
    <phoneticPr fontId="2"/>
  </si>
  <si>
    <t>**shinsei_strtower09_prgo01_MAKER_NAME</t>
  </si>
  <si>
    <t>cst_shinsei_strtower09_prgo01_NAME_VER</t>
    <phoneticPr fontId="2"/>
  </si>
  <si>
    <t>cst_shinsei_strtower09_prgo01_NAME_VER__SP</t>
    <phoneticPr fontId="2"/>
  </si>
  <si>
    <t>cst_shinsei_strtower09_prgo01_MAKER__NINTEI_ari</t>
    <phoneticPr fontId="2"/>
  </si>
  <si>
    <t>cst_shinsei_strtower09_prgo01_NAME_VER__NINTEI_ari</t>
    <phoneticPr fontId="2"/>
  </si>
  <si>
    <t>cst_shinsei_strtower09_prgo01_MAKER__NINTEI_non</t>
    <phoneticPr fontId="2"/>
  </si>
  <si>
    <t>cst_shinsei_strtower09_prgo01_NAME_VER__NINTEI_non</t>
    <phoneticPr fontId="2"/>
  </si>
  <si>
    <t>**shinsei_strtower09_prgo02_NAME</t>
  </si>
  <si>
    <t>**shinsei_strtower09_prgo02_VER</t>
  </si>
  <si>
    <t>cst_shinsei_strtower09_prgo02_NINTEI__umu</t>
    <phoneticPr fontId="2"/>
  </si>
  <si>
    <t>**shinsei_strtower09_prgo02_NINTEI_NO</t>
  </si>
  <si>
    <t>**shinsei_strtower09_prgo02_NINTEI_DATE</t>
  </si>
  <si>
    <t>cst_shinsei_strtower09_prgo02_NINTEI_DATE</t>
    <phoneticPr fontId="2"/>
  </si>
  <si>
    <t>**shinsei_strtower09_prgo02_MAKER_NAME</t>
  </si>
  <si>
    <t>cst_shinsei_strtower09_prgo02_NAME_VER</t>
    <phoneticPr fontId="2"/>
  </si>
  <si>
    <t>cst_shinsei_strtower09_prgo02_NAME_VER__SP</t>
    <phoneticPr fontId="2"/>
  </si>
  <si>
    <t>cst_shinsei_strtower09_prgo02_MAKER__NINTEI_ari</t>
    <phoneticPr fontId="2"/>
  </si>
  <si>
    <t>cst_shinsei_strtower09_prgo02_NAME_VER__NINTEI_ari</t>
    <phoneticPr fontId="2"/>
  </si>
  <si>
    <t>cst_shinsei_strtower09_prgo02_MAKER__NINTEI_non</t>
    <phoneticPr fontId="2"/>
  </si>
  <si>
    <t>cst_shinsei_strtower09_prgo02_NAME_VER__NINTEI_non</t>
    <phoneticPr fontId="2"/>
  </si>
  <si>
    <t>**shinsei_strtower09_prgo03_NAME</t>
  </si>
  <si>
    <t>**shinsei_strtower09_prgo03_VER</t>
  </si>
  <si>
    <t>cst_shinsei_strtower09_prgo03_NINTEI__umu</t>
    <phoneticPr fontId="2"/>
  </si>
  <si>
    <t>**shinsei_strtower09_prgo03_NINTEI_NO</t>
  </si>
  <si>
    <t>**shinsei_strtower09_prgo03_NINTEI_DATE</t>
  </si>
  <si>
    <t>cst_shinsei_strtower09_prgo03_NINTEI_DATE_dsp</t>
    <phoneticPr fontId="2"/>
  </si>
  <si>
    <t>**shinsei_strtower09_prgo03_MAKER_NAME</t>
  </si>
  <si>
    <t>cst_shinsei_strtower09_prgo03_NAME_VER</t>
    <phoneticPr fontId="2"/>
  </si>
  <si>
    <t>cst_shinsei_strtower09_prgo03_NAME_VER__SP</t>
    <phoneticPr fontId="2"/>
  </si>
  <si>
    <t>cst_shinsei_strtower09_prgo03_MAKER__NINTEI_ari</t>
    <phoneticPr fontId="2"/>
  </si>
  <si>
    <t>cst_shinsei_strtower09_prgo03_NAME_VER__NINTEI_ari</t>
    <phoneticPr fontId="2"/>
  </si>
  <si>
    <t>cst_shinsei_strtower09_prgo03_MAKER__NINTEI_non</t>
    <phoneticPr fontId="2"/>
  </si>
  <si>
    <t>cst_shinsei_strtower09_prgo03_NAME_VER__NINTEI_non</t>
    <phoneticPr fontId="2"/>
  </si>
  <si>
    <t>プログラム04</t>
    <phoneticPr fontId="2"/>
  </si>
  <si>
    <t>**shinsei_strtower09_prgo04_NAME</t>
  </si>
  <si>
    <t xml:space="preserve"> - バージョン</t>
    <phoneticPr fontId="2"/>
  </si>
  <si>
    <t>**shinsei_strtower09_prgo04_VER</t>
  </si>
  <si>
    <t>cst_shinsei_strtower09_prgo04_NINTEI__umu</t>
    <phoneticPr fontId="2"/>
  </si>
  <si>
    <t>**shinsei_strtower09_prgo04_NINTEI_NO</t>
  </si>
  <si>
    <t>**shinsei_strtower09_prgo04_NINTEI_DATE</t>
  </si>
  <si>
    <t>cst_shinsei_strtower09_prgo04_NINTEI_DATE_dsp</t>
    <phoneticPr fontId="2"/>
  </si>
  <si>
    <t>**shinsei_strtower09_prgo04_MAKER_NAME</t>
  </si>
  <si>
    <t>cst_shinsei_strtower09_prgo04_NAME_VER</t>
    <phoneticPr fontId="2"/>
  </si>
  <si>
    <t>cst_shinsei_strtower09_prgo04_NAME_VER__SP</t>
    <phoneticPr fontId="2"/>
  </si>
  <si>
    <t>cst_shinsei_strtower09_prgo04_MAKER__NINTEI_ari</t>
    <phoneticPr fontId="2"/>
  </si>
  <si>
    <t>cst_shinsei_strtower09_prgo04_NAME_VER__NINTEI_ari</t>
    <phoneticPr fontId="2"/>
  </si>
  <si>
    <t>cst_shinsei_strtower09_prgo04_MAKER__NINTEI_non</t>
    <phoneticPr fontId="2"/>
  </si>
  <si>
    <t>cst_shinsei_strtower09_prgo04_NAME_VER__NINTEI_non</t>
    <phoneticPr fontId="2"/>
  </si>
  <si>
    <t>**shinsei_strtower09_prgo05_NAME</t>
  </si>
  <si>
    <t>**shinsei_strtower09_prgo05_VER</t>
  </si>
  <si>
    <t>cst_shinsei_strtower09_prgo05_NINTEI__umu</t>
    <phoneticPr fontId="2"/>
  </si>
  <si>
    <t>**shinsei_strtower09_prgo05_NINTEI_NO</t>
  </si>
  <si>
    <t>**shinsei_strtower09_prgo05_NINTEI_DATE</t>
  </si>
  <si>
    <t>cst_shinsei_strtower09_prgo05_NINTEI_DATE_dsp</t>
    <phoneticPr fontId="2"/>
  </si>
  <si>
    <t>**shinsei_strtower09_prgo05_MAKER_NAME</t>
  </si>
  <si>
    <t>cst_shinsei_strtower09_prgo05_NAME_VER</t>
    <phoneticPr fontId="2"/>
  </si>
  <si>
    <t>cst_shinsei_strtower09_prgo05_NAME_VER__SP</t>
    <phoneticPr fontId="2"/>
  </si>
  <si>
    <t>cst_shinsei_strtower09_prgo05_MAKER__NINTEI_ari</t>
    <phoneticPr fontId="2"/>
  </si>
  <si>
    <t>cst_shinsei_strtower09_prgo05_NAME_VER__NINTEI_ari</t>
    <phoneticPr fontId="2"/>
  </si>
  <si>
    <t>cst_shinsei_strtower09_prgo05_MAKER__NINTEI_non</t>
    <phoneticPr fontId="2"/>
  </si>
  <si>
    <t>cst_shinsei_strtower09_prgo05_NAME_VER__NINTEI_non</t>
    <phoneticPr fontId="2"/>
  </si>
  <si>
    <t>cst_shinsei_strtower09_PROG_NAME_VER__CHAR</t>
    <phoneticPr fontId="2"/>
  </si>
  <si>
    <t>cst_shinsei_strtower09_PROG_NAME_VER__CHAR__SP</t>
    <phoneticPr fontId="2"/>
  </si>
  <si>
    <t>cst_shinsei_strtower09_PROG_MAKER__NINTEI_ari_SP</t>
    <phoneticPr fontId="2"/>
  </si>
  <si>
    <t>cst_shinsei_strtower09_PROG_NAME_VER__NINTEI_ari_SP</t>
    <phoneticPr fontId="2"/>
  </si>
  <si>
    <t>cst_shinsei_strtower09_PROG_NINTEI_DATE_SP</t>
    <phoneticPr fontId="2"/>
  </si>
  <si>
    <t>cst_shinsei_strtower09_PROG_MAKER__NINTEI_no_SP</t>
    <phoneticPr fontId="2"/>
  </si>
  <si>
    <t>cst_shinsei_strtower09_PROG_NAME_VER__NINTEI_non_SP</t>
    <phoneticPr fontId="2"/>
  </si>
  <si>
    <t>**shinsei_strtower09_DISK_FLAG</t>
  </si>
  <si>
    <t>cst_shinsei_strtower09_DISK_FLAG</t>
    <phoneticPr fontId="2"/>
  </si>
  <si>
    <t>**shinsei_strtower09_CHARGE</t>
  </si>
  <si>
    <t>cst_shinsei_strtower09_CHARGE</t>
    <phoneticPr fontId="2"/>
  </si>
  <si>
    <t>cst_shinsei_strtower09_CHARGE__dsp</t>
    <phoneticPr fontId="2"/>
  </si>
  <si>
    <t>**shinsei_strtower09_CHARGE_WARIMASHI</t>
  </si>
  <si>
    <t>cst_shinsei_strtower09_CHARGE_WARIMASHI</t>
    <phoneticPr fontId="2"/>
  </si>
  <si>
    <t>**shinsei_strtower09_CHARGE_TOTAL</t>
  </si>
  <si>
    <t>cst_shinsei_strtower09_CHARGE_TOTAL</t>
    <phoneticPr fontId="2"/>
  </si>
  <si>
    <t>**shinsei_strtower09_CHARGE_KEISAN_NOTE</t>
  </si>
  <si>
    <t>cst_shinsei_strtower09_CHARGE_KEISAN_NOTE</t>
    <phoneticPr fontId="2"/>
  </si>
  <si>
    <t>cst_shinsei_strtower09_CHARGE_KEISAN_NOTE__alter</t>
    <phoneticPr fontId="2"/>
  </si>
  <si>
    <t>**shinsei_strtower09_KEISAN_X_ROUTE</t>
  </si>
  <si>
    <t>cst_shinsei_strtower09_KEISAN_X_ROUTE</t>
    <phoneticPr fontId="2"/>
  </si>
  <si>
    <t>**shinsei_strtower09_KEISAN_Y_ROUTE</t>
  </si>
  <si>
    <t>cst_shinsei_strtower09_KEISAN_Y_ROUTE</t>
    <phoneticPr fontId="2"/>
  </si>
  <si>
    <t>cst_shinsei_strtower09_XY_select</t>
    <phoneticPr fontId="2"/>
  </si>
  <si>
    <t>**shinsei_strtower09_PROGRAM_KIND_SONOTA</t>
  </si>
  <si>
    <t>cst_shinsei_strtower09_PROGRAM_KIND_SONOTA</t>
    <phoneticPr fontId="2"/>
  </si>
  <si>
    <t>**shinsei_strtower10_TOWER_NO</t>
  </si>
  <si>
    <t>cst_shinsei_strtower10_TOWER_NO</t>
    <phoneticPr fontId="2"/>
  </si>
  <si>
    <t>**shinsei_strtower10_STR_TOWER_NO</t>
  </si>
  <si>
    <t>cst_shinsei_strtower10_STR_TOWER_NO</t>
    <phoneticPr fontId="2"/>
  </si>
  <si>
    <t>cst_shinsei_strtower10__TOWER_NO_STR_TOWER_NO</t>
    <phoneticPr fontId="2"/>
  </si>
  <si>
    <t>cst_shinsei_strtower10__TOWER_NO_STR_TOWERS</t>
    <phoneticPr fontId="2"/>
  </si>
  <si>
    <t>棟別情報の構造棟名称</t>
    <phoneticPr fontId="2"/>
  </si>
  <si>
    <t>**shinsei_strtower10_STR_TOWER_NAME</t>
  </si>
  <si>
    <t>cst_shinsei_strtower10_STR_TOWER_NAME</t>
    <phoneticPr fontId="2"/>
  </si>
  <si>
    <t>**shinsei_strtower10_JUDGE</t>
  </si>
  <si>
    <t>cst_shinsei_strtower10_JUDGE</t>
    <phoneticPr fontId="2"/>
  </si>
  <si>
    <t>**shinsei_strtower10_STR_TOWER_YOUTO_TEXT</t>
  </si>
  <si>
    <t>cst_shinsei_strtower10_STR_TOWER_YOUTO_TEXT</t>
    <phoneticPr fontId="2"/>
  </si>
  <si>
    <t>**shinsei_strtower10_KOUJI_TEXT</t>
  </si>
  <si>
    <t>cst_shinsei_strtower10_KOUJI_TEXT</t>
    <phoneticPr fontId="2"/>
  </si>
  <si>
    <t>構造</t>
    <phoneticPr fontId="2"/>
  </si>
  <si>
    <t>**shinsei_strtower10_KOUZOU</t>
  </si>
  <si>
    <t>cst_shinsei_strtower10_KOUZOU</t>
    <phoneticPr fontId="2"/>
  </si>
  <si>
    <t>構造</t>
    <phoneticPr fontId="2"/>
  </si>
  <si>
    <t>**shinsei_strtower10_KOUZOU_TEXT</t>
  </si>
  <si>
    <t>cst_shinsei_strtower10_KOUZOU_TEXT</t>
    <phoneticPr fontId="2"/>
  </si>
  <si>
    <t>**shinsei_strtower10_KOUZOU_KEISAN</t>
  </si>
  <si>
    <t>cst_shinsei_strtower10_KOUZOU_KEISAN</t>
    <phoneticPr fontId="2"/>
  </si>
  <si>
    <t>**shinsei_strtower10_KOUZOU_KEISAN_TEXT</t>
  </si>
  <si>
    <t>cst_shinsei_strtower10_KOUZOU_KEISAN_TEXT</t>
    <phoneticPr fontId="2"/>
  </si>
  <si>
    <t>**shinsei_strtower10_MENSEKI</t>
  </si>
  <si>
    <t>cst_shinsei_strtower10_MENSEKI</t>
    <phoneticPr fontId="2"/>
  </si>
  <si>
    <t>cst_shinsei_strtower10_MENSEKI__dsp</t>
    <phoneticPr fontId="2"/>
  </si>
  <si>
    <t>**shinsei_strtower10_MAX_TAKASA</t>
  </si>
  <si>
    <t>cst_shinsei_strtower10_MAX_TAKASA</t>
    <phoneticPr fontId="2"/>
  </si>
  <si>
    <t>**shinsei_strtower10_MAX_NOKI_TAKASA</t>
  </si>
  <si>
    <t>cst_shinsei_strtower10_MAX_NOKI_TAKASA</t>
    <phoneticPr fontId="2"/>
  </si>
  <si>
    <t>**shinsei_strtower10_KAISU_TIJYOU</t>
  </si>
  <si>
    <t>cst_shinsei_strtower10_KAISU_TIJYOU</t>
    <phoneticPr fontId="2"/>
  </si>
  <si>
    <t>**shinsei_strtower10_KAISU_TIKA</t>
  </si>
  <si>
    <t>cst_shinsei_strtower10_KAISU_TIKA</t>
    <phoneticPr fontId="2"/>
  </si>
  <si>
    <t>**shinsei_strtower10_KAISU_TOUYA</t>
  </si>
  <si>
    <t>cst_shinsei_strtower10_KAISU_TOUYA</t>
    <phoneticPr fontId="2"/>
  </si>
  <si>
    <t>**shinsei_strtower10_BUILD_KUBUN</t>
  </si>
  <si>
    <t>cst_shinsei_strtower10_BUILD_KUBUN</t>
    <phoneticPr fontId="2"/>
  </si>
  <si>
    <t>**shinsei_strtower10_BUILD_KUBUN_TEXT</t>
  </si>
  <si>
    <t>cst_shinsei_strtower10_BUILD_KUBUN_TEXT</t>
    <phoneticPr fontId="2"/>
  </si>
  <si>
    <t>cst_shinsei_strtower10_HOU20_2_select</t>
    <phoneticPr fontId="2"/>
  </si>
  <si>
    <t>cst_shinsei_strtower10_HOU20_3_select</t>
    <phoneticPr fontId="2"/>
  </si>
  <si>
    <t>**shinsei_strtower10_MENJYO_TEXT</t>
  </si>
  <si>
    <t>cst_shinsei_strtower10_MENJYO</t>
    <phoneticPr fontId="2"/>
  </si>
  <si>
    <t>**shinsei_strtower10_PROGRAM_KIND</t>
  </si>
  <si>
    <t>cst_shinsei_strtower10_PROGRAM_KIND</t>
    <phoneticPr fontId="2"/>
  </si>
  <si>
    <t>**shinsei_strtower10_REI80_2_KOKUJI_TEXT</t>
  </si>
  <si>
    <t>cst_shinsei_strtower10_REI80_2_KOKUJI</t>
    <phoneticPr fontId="2"/>
  </si>
  <si>
    <t>**shinsei_strtower10_PROGRAM_KIND__nintei__box</t>
  </si>
  <si>
    <t>cst_shinsei_strtower10_NINTEI</t>
    <phoneticPr fontId="2"/>
  </si>
  <si>
    <t>**shinsei_strtower10_PROGRAM_KIND__hyouka__box</t>
  </si>
  <si>
    <t>**shinsei_strtower10_PROGRAM_KIND__sonota__box</t>
  </si>
  <si>
    <t>**shinsei_strtower10_prgo01_NAME</t>
  </si>
  <si>
    <t>cst_shinsei_strtower10_prgo01_NAME</t>
    <phoneticPr fontId="2"/>
  </si>
  <si>
    <t>**shinsei_strtower10_prgo01_VER</t>
  </si>
  <si>
    <t>cst_shinsei_strtower10_prgo01_VER</t>
    <phoneticPr fontId="2"/>
  </si>
  <si>
    <t>cst_shinsei_strtower10_prgo01_NINTEI__umu</t>
    <phoneticPr fontId="2"/>
  </si>
  <si>
    <t>**shinsei_strtower10_prgo01_NINTEI_NO</t>
  </si>
  <si>
    <t>cst_shinsei_strtower10_prgo01_NINTEI_NO</t>
    <phoneticPr fontId="2"/>
  </si>
  <si>
    <t>**shinsei_strtower10_prgo01_NINTEI_DATE</t>
  </si>
  <si>
    <t>cst_shinsei_strtower10_prgo01_NINTEI_DATE</t>
    <phoneticPr fontId="2"/>
  </si>
  <si>
    <t>**shinsei_strtower10_prgo01_MAKER_NAME</t>
  </si>
  <si>
    <t>cst_shinsei_strtower10_prgo01_NAME_VER</t>
    <phoneticPr fontId="2"/>
  </si>
  <si>
    <t>cst_shinsei_strtower10_prgo01_NAME_VER__SP</t>
    <phoneticPr fontId="2"/>
  </si>
  <si>
    <t>cst_shinsei_strtower10_prgo01_MAKER__NINTEI_ari</t>
    <phoneticPr fontId="2"/>
  </si>
  <si>
    <t>cst_shinsei_strtower10_prgo01_NAME_VER__NINTEI_ari</t>
    <phoneticPr fontId="2"/>
  </si>
  <si>
    <t>cst_shinsei_strtower10_prgo01_MAKER__NINTEI_non</t>
    <phoneticPr fontId="2"/>
  </si>
  <si>
    <t>cst_shinsei_strtower10_prgo01_NAME_VER__NINTEI_non</t>
    <phoneticPr fontId="2"/>
  </si>
  <si>
    <t>プログラム02</t>
    <phoneticPr fontId="2"/>
  </si>
  <si>
    <t>**shinsei_strtower10_prgo02_NAME</t>
  </si>
  <si>
    <t>**shinsei_strtower10_prgo02_VER</t>
  </si>
  <si>
    <t>cst_shinsei_strtower10_prgo02_NINTEI__umu</t>
    <phoneticPr fontId="2"/>
  </si>
  <si>
    <t>**shinsei_strtower10_prgo02_NINTEI_NO</t>
  </si>
  <si>
    <t>**shinsei_strtower10_prgo02_NINTEI_DATE</t>
  </si>
  <si>
    <t>cst_shinsei_strtower10_prgo02_NINTEI_DATE</t>
    <phoneticPr fontId="2"/>
  </si>
  <si>
    <t>**shinsei_strtower10_prgo02_MAKER_NAME</t>
  </si>
  <si>
    <t>cst_shinsei_strtower10_prgo02_NAME_VER</t>
    <phoneticPr fontId="2"/>
  </si>
  <si>
    <t>cst_shinsei_strtower10_prgo02_NAME_VER__SP</t>
    <phoneticPr fontId="2"/>
  </si>
  <si>
    <t>cst_shinsei_strtower10_prgo02_MAKER__NINTEI_ari</t>
    <phoneticPr fontId="2"/>
  </si>
  <si>
    <t>cst_shinsei_strtower10_prgo02_NAME_VER__NINTEI_ari</t>
    <phoneticPr fontId="2"/>
  </si>
  <si>
    <t>cst_shinsei_strtower10_prgo02_MAKER__NINTEI_non</t>
    <phoneticPr fontId="2"/>
  </si>
  <si>
    <t>cst_shinsei_strtower01_CHARGE_SANTEI_MENSEKI</t>
    <phoneticPr fontId="2"/>
  </si>
  <si>
    <t>手数料算出根拠備考</t>
    <rPh sb="0" eb="3">
      <t>テスウリョウ</t>
    </rPh>
    <rPh sb="3" eb="5">
      <t>サンシュツ</t>
    </rPh>
    <rPh sb="5" eb="7">
      <t>コンキョ</t>
    </rPh>
    <rPh sb="7" eb="9">
      <t>ビコウ</t>
    </rPh>
    <phoneticPr fontId="2"/>
  </si>
  <si>
    <t>**shinsei_strtower01_CHARGE_KEISAN_NOTE</t>
  </si>
  <si>
    <t>cst_shinsei_strtower01_CHARGE_KEISAN_NOTE</t>
    <phoneticPr fontId="2"/>
  </si>
  <si>
    <t>計画変更時</t>
    <rPh sb="0" eb="2">
      <t>ケイカク</t>
    </rPh>
    <rPh sb="2" eb="4">
      <t>ヘンコウ</t>
    </rPh>
    <rPh sb="4" eb="5">
      <t>ジ</t>
    </rPh>
    <phoneticPr fontId="2"/>
  </si>
  <si>
    <t>cst_shinsei_strtower01_CHARGE_KEISAN_NOTE__alter</t>
    <phoneticPr fontId="2"/>
  </si>
  <si>
    <t>Ｘ方向ルート</t>
  </si>
  <si>
    <t>**shinsei_strtower01_KEISAN_X_ROUTE</t>
  </si>
  <si>
    <t>cst_shinsei_strtower01_KEISAN_X_ROUTE</t>
    <phoneticPr fontId="2"/>
  </si>
  <si>
    <t>Ｙ方向ルート</t>
  </si>
  <si>
    <t>**shinsei_strtower01_KEISAN_Y_ROUTE</t>
  </si>
  <si>
    <t>cst_shinsei_strtower01_KEISAN_Y_ROUTE</t>
    <phoneticPr fontId="2"/>
  </si>
  <si>
    <t>cst_shinsei_strtower01_XY_select</t>
    <phoneticPr fontId="2"/>
  </si>
  <si>
    <t>X,Y　双方が３の時：■</t>
    <rPh sb="4" eb="6">
      <t>ソウホウ</t>
    </rPh>
    <rPh sb="9" eb="10">
      <t>トキ</t>
    </rPh>
    <phoneticPr fontId="2"/>
  </si>
  <si>
    <t>構造計算の方法のその他の備考欄</t>
  </si>
  <si>
    <t>**shinsei_strtower01_PROGRAM_KIND_SONOTA</t>
  </si>
  <si>
    <t>cst_shinsei_strtower01_PROGRAM_KIND_SONOTA</t>
    <phoneticPr fontId="2"/>
  </si>
  <si>
    <t>棟別情報２</t>
    <rPh sb="0" eb="1">
      <t>トウ</t>
    </rPh>
    <rPh sb="1" eb="2">
      <t>ベツ</t>
    </rPh>
    <rPh sb="2" eb="4">
      <t>ジョウホウ</t>
    </rPh>
    <phoneticPr fontId="2"/>
  </si>
  <si>
    <t>**shinsei_strtower02_TOWER_NO</t>
  </si>
  <si>
    <t>cst_shinsei_strtower02_TOWER_NO</t>
    <phoneticPr fontId="2"/>
  </si>
  <si>
    <t>**shinsei_strtower02_STR_TOWER_NO</t>
  </si>
  <si>
    <t>cst_shinsei_strtower02_STR_TOWER_NO</t>
    <phoneticPr fontId="2"/>
  </si>
  <si>
    <t>cst_shinsei_strtower02__TOWER_NO_STR_TOWER_NO</t>
    <phoneticPr fontId="2"/>
  </si>
  <si>
    <t>cst_shinsei_strtower02__TOWER_NO_STR_TOWERS</t>
    <phoneticPr fontId="2"/>
  </si>
  <si>
    <t>棟別情報の構造棟名称</t>
    <phoneticPr fontId="2"/>
  </si>
  <si>
    <t>**shinsei_strtower02_STR_TOWER_NAME</t>
  </si>
  <si>
    <t>cst_shinsei_strtower02_STR_TOWER_NAME</t>
    <phoneticPr fontId="2"/>
  </si>
  <si>
    <t>構造判定（判定が必要なもの）</t>
    <phoneticPr fontId="2"/>
  </si>
  <si>
    <t>**shinsei_strtower02_JUDGE</t>
  </si>
  <si>
    <t>cst_shinsei_strtower02_JUDGE</t>
    <phoneticPr fontId="2"/>
  </si>
  <si>
    <t>1：有, 0：無</t>
    <phoneticPr fontId="2"/>
  </si>
  <si>
    <t>**shinsei_strtower02_STR_TOWER_YOUTO_TEXT</t>
  </si>
  <si>
    <t>cst_shinsei_strtower02_STR_TOWER_YOUTO_TEXT</t>
    <phoneticPr fontId="2"/>
  </si>
  <si>
    <t>**shinsei_strtower02_KOUJI_TEXT</t>
  </si>
  <si>
    <t>cst_shinsei_strtower02_KOUJI_TEXT</t>
    <phoneticPr fontId="2"/>
  </si>
  <si>
    <t>構造</t>
    <phoneticPr fontId="2"/>
  </si>
  <si>
    <t>**shinsei_strtower02_KOUZOU</t>
  </si>
  <si>
    <t>cst_shinsei_strtower02_KOUZOU</t>
    <phoneticPr fontId="2"/>
  </si>
  <si>
    <t>構造</t>
    <phoneticPr fontId="2"/>
  </si>
  <si>
    <t>**shinsei_strtower02_KOUZOU_TEXT</t>
  </si>
  <si>
    <t>cst_shinsei_strtower02_KOUZOU_TEXT</t>
    <phoneticPr fontId="2"/>
  </si>
  <si>
    <t>**shinsei_strtower02_KOUZOU_KEISAN</t>
  </si>
  <si>
    <t>cst_shinsei_strtower02_KOUZOU_KEISAN</t>
    <phoneticPr fontId="2"/>
  </si>
  <si>
    <t>**shinsei_strtower02_KOUZOU_KEISAN_TEXT</t>
  </si>
  <si>
    <t>cst_shinsei_strtower02_KOUZOU_KEISAN_TEXT</t>
    <phoneticPr fontId="2"/>
  </si>
  <si>
    <t>**shinsei_strtower02_MENSEKI</t>
  </si>
  <si>
    <t>cst_shinsei_strtower02_MENSEKI</t>
    <phoneticPr fontId="2"/>
  </si>
  <si>
    <t>cst_shinsei_strtower02_MENSEKI__dsp</t>
    <phoneticPr fontId="2"/>
  </si>
  <si>
    <t>**shinsei_strtower02_MAX_TAKASA</t>
  </si>
  <si>
    <t>cst_shinsei_strtower02_MAX_TAKASA</t>
    <phoneticPr fontId="2"/>
  </si>
  <si>
    <t>**shinsei_strtower02_MAX_NOKI_TAKASA</t>
  </si>
  <si>
    <t>cst_shinsei_strtower02_MAX_NOKI_TAKASA</t>
    <phoneticPr fontId="2"/>
  </si>
  <si>
    <t>**shinsei_strtower02_KAISU_TIJYOU</t>
  </si>
  <si>
    <t>cst_shinsei_strtower02_KAISU_TIJYOU</t>
    <phoneticPr fontId="2"/>
  </si>
  <si>
    <t>**shinsei_strtower02_KAISU_TIKA</t>
  </si>
  <si>
    <t>cst_shinsei_strtower02_KAISU_TIKA</t>
    <phoneticPr fontId="2"/>
  </si>
  <si>
    <t>**shinsei_strtower02_KAISU_TOUYA</t>
  </si>
  <si>
    <t>cst_shinsei_strtower02_KAISU_TOUYA</t>
    <phoneticPr fontId="2"/>
  </si>
  <si>
    <t>**shinsei_strtower02_BUILD_KUBUN</t>
  </si>
  <si>
    <t>cst_shinsei_strtower02_BUILD_KUBUN</t>
    <phoneticPr fontId="2"/>
  </si>
  <si>
    <t>**shinsei_strtower02_BUILD_KUBUN_TEXT</t>
  </si>
  <si>
    <t>cst_shinsei_strtower02_BUILD_KUBUN_TEXT</t>
    <phoneticPr fontId="2"/>
  </si>
  <si>
    <t>cst_shinsei_strtower02_HOU20_2_select</t>
    <phoneticPr fontId="2"/>
  </si>
  <si>
    <t>cst_shinsei_strtower02_HOU20_3_select</t>
    <phoneticPr fontId="2"/>
  </si>
  <si>
    <t>**shinsei_strtower02_MENJYO_TEXT</t>
  </si>
  <si>
    <t>cst_shinsei_strtower02_MENJYO</t>
    <phoneticPr fontId="2"/>
  </si>
  <si>
    <t>**shinsei_strtower02_PROGRAM_KIND</t>
  </si>
  <si>
    <t>cst_shinsei_strtower02_PROGRAM_KIND</t>
    <phoneticPr fontId="2"/>
  </si>
  <si>
    <t>1：認定プログラム, 0：その他</t>
    <rPh sb="2" eb="4">
      <t>ニンテイ</t>
    </rPh>
    <rPh sb="15" eb="16">
      <t>タ</t>
    </rPh>
    <phoneticPr fontId="2"/>
  </si>
  <si>
    <t>**shinsei_strtower02_REI80_2_KOKUJI_TEXT</t>
  </si>
  <si>
    <t>cst_shinsei_strtower02_REI80_2_KOKUJI</t>
    <phoneticPr fontId="2"/>
  </si>
  <si>
    <t>**shinsei_strtower02_PROGRAM_KIND__nintei__box</t>
  </si>
  <si>
    <t>cst_shinsei_strtower02_NINTEI</t>
    <phoneticPr fontId="2"/>
  </si>
  <si>
    <t>**shinsei_strtower02_PROGRAM_KIND__hyouka__box</t>
  </si>
  <si>
    <t>**shinsei_strtower02_PROGRAM_KIND__sonota__box</t>
  </si>
  <si>
    <t>プログラム01</t>
    <phoneticPr fontId="2"/>
  </si>
  <si>
    <t>**shinsei_strtower02_prgo01_NAME</t>
  </si>
  <si>
    <t>cst_shinsei_strtower02_prgo01_NAME</t>
    <phoneticPr fontId="2"/>
  </si>
  <si>
    <t>**shinsei_strtower02_prgo01_VER</t>
  </si>
  <si>
    <t>cst_shinsei_strtower02_prgo01_VER</t>
    <phoneticPr fontId="2"/>
  </si>
  <si>
    <t>cst_shinsei_strtower02_prgo01_NINTEI__umu</t>
    <phoneticPr fontId="2"/>
  </si>
  <si>
    <t>**shinsei_strtower02_prgo01_NINTEI_NO</t>
  </si>
  <si>
    <t>cst_shinsei_strtower02_prgo01_NINTEI_NO</t>
    <phoneticPr fontId="2"/>
  </si>
  <si>
    <t>**shinsei_strtower02_prgo01_NINTEI_DATE</t>
  </si>
  <si>
    <t>cst_shinsei_strtower02_prgo01_NINTEI_DATE_dsp</t>
    <phoneticPr fontId="2"/>
  </si>
  <si>
    <t>**shinsei_strtower02_prgo01_MAKER_NAME</t>
  </si>
  <si>
    <t>cst_shinsei_strtower02_prgo01_NAME_VER</t>
    <phoneticPr fontId="2"/>
  </si>
  <si>
    <t>cst_shinsei_strtower02_prgo01_NAME_VER__SP</t>
    <phoneticPr fontId="2"/>
  </si>
  <si>
    <t>cst_shinsei_strtower02_prgo01_MAKER__NINTEI_ari</t>
    <phoneticPr fontId="2"/>
  </si>
  <si>
    <t>cst_shinsei_strtower02_prgo01_NAME_VER__NINTEI_ari</t>
    <phoneticPr fontId="2"/>
  </si>
  <si>
    <t>cst_shinsei_strtower02_prgo01_MAKER__NINTEI_non</t>
    <phoneticPr fontId="2"/>
  </si>
  <si>
    <t>cst_shinsei_strtower02_prgo01_NAME_VER__NINTEI_non</t>
    <phoneticPr fontId="2"/>
  </si>
  <si>
    <t>cst_shinsei_strtower02_prgo01_PROG__nintei_ari</t>
    <phoneticPr fontId="2"/>
  </si>
  <si>
    <t>cst_shinsei_strtower02_prgo01_VER__nintei_ari</t>
    <phoneticPr fontId="2"/>
  </si>
  <si>
    <t>cst_shinsei_strtower02_prgo01_NINTEI__nintei_ari</t>
    <phoneticPr fontId="2"/>
  </si>
  <si>
    <t>cst_shinsei_strtower02_prgo01_MAKER__nintei_nasi</t>
    <phoneticPr fontId="2"/>
  </si>
  <si>
    <t>大臣認定では無いプログラムの名称</t>
    <phoneticPr fontId="2"/>
  </si>
  <si>
    <t>cst_shinsei_strtower02_prgo01_PROG__nintei_nasi</t>
    <phoneticPr fontId="2"/>
  </si>
  <si>
    <t>cst_shinsei_strtower02_prgo01_VER__nintei_nasi</t>
    <phoneticPr fontId="2"/>
  </si>
  <si>
    <t>**shinsei_strtower02_prgo02_NAME</t>
  </si>
  <si>
    <t>**shinsei_strtower02_prgo02_VER</t>
  </si>
  <si>
    <t>cst_shinsei_strtower02_prgo02_NINTEI__umu</t>
    <phoneticPr fontId="2"/>
  </si>
  <si>
    <t>**shinsei_strtower02_prgo02_NINTEI_NO</t>
  </si>
  <si>
    <t>**shinsei_strtower02_prgo02_NINTEI_DATE</t>
  </si>
  <si>
    <t>cst_shinsei_strtower02_prgo02_NINTEI_DATE_dsp</t>
    <phoneticPr fontId="2"/>
  </si>
  <si>
    <t>**shinsei_strtower02_prgo02_MAKER_NAME</t>
  </si>
  <si>
    <t>cst_shinsei_strtower02_prgo02_NAME_VER</t>
    <phoneticPr fontId="2"/>
  </si>
  <si>
    <t>cst_shinsei_strtower02_prgo02_NAME_VER__SP</t>
    <phoneticPr fontId="2"/>
  </si>
  <si>
    <t>cst_shinsei_strtower02_prgo02_MAKER__NINTEI_ari</t>
    <phoneticPr fontId="2"/>
  </si>
  <si>
    <t>cst_shinsei_strtower02_prgo02_NAME_VER__NINTEI_ari</t>
    <phoneticPr fontId="2"/>
  </si>
  <si>
    <t>cst_shinsei_strtower02_prgo02_MAKER__NINTEI_non</t>
    <phoneticPr fontId="2"/>
  </si>
  <si>
    <t>cst_shinsei_strtower02_prgo02_NAME_VER__NINTEI_non</t>
    <phoneticPr fontId="2"/>
  </si>
  <si>
    <t>**shinsei_strtower02_prgo03_NAME</t>
  </si>
  <si>
    <t>**shinsei_strtower02_prgo03_VER</t>
  </si>
  <si>
    <t>cst_shinsei_strtower02_prgo03_NINTEI__umu</t>
    <phoneticPr fontId="2"/>
  </si>
  <si>
    <t>**shinsei_strtower02_prgo03_NINTEI_NO</t>
  </si>
  <si>
    <t>**shinsei_strtower02_prgo03_NINTEI_DATE</t>
  </si>
  <si>
    <t>cst_shinsei_strtower02_prgo03_NINTEI_DATE_dsp</t>
    <phoneticPr fontId="2"/>
  </si>
  <si>
    <t>**shinsei_strtower02_prgo03_MAKER_NAME</t>
  </si>
  <si>
    <t>cst_shinsei_strtower02_prgo03_NAME_VER</t>
    <phoneticPr fontId="2"/>
  </si>
  <si>
    <t>cst_shinsei_strtower02_prgo03_NAME_VER__SP</t>
    <phoneticPr fontId="2"/>
  </si>
  <si>
    <t>cst_shinsei_strtower02_prgo03_MAKER__NINTEI_ari</t>
    <phoneticPr fontId="2"/>
  </si>
  <si>
    <t>cst_shinsei_strtower02_prgo03_NAME_VER__NINTEI_ari</t>
    <phoneticPr fontId="2"/>
  </si>
  <si>
    <t xml:space="preserve"> - メーカー(SP)</t>
    <phoneticPr fontId="2"/>
  </si>
  <si>
    <t>cst_shinsei_strtower02_prgo03_MAKER__NINTEI_non</t>
    <phoneticPr fontId="2"/>
  </si>
  <si>
    <t>cst_shinsei_strtower02_prgo03_NAME_VER__NINTEI_non</t>
    <phoneticPr fontId="2"/>
  </si>
  <si>
    <t>プログラム04</t>
    <phoneticPr fontId="2"/>
  </si>
  <si>
    <t>**shinsei_strtower02_prgo04_NAME</t>
  </si>
  <si>
    <t>text</t>
    <phoneticPr fontId="2"/>
  </si>
  <si>
    <t xml:space="preserve"> - バージョン</t>
    <phoneticPr fontId="2"/>
  </si>
  <si>
    <t>**shinsei_strtower02_prgo04_VER</t>
  </si>
  <si>
    <t>cst_shinsei_strtower02_prgo04_NINTEI__umu</t>
    <phoneticPr fontId="2"/>
  </si>
  <si>
    <t>**shinsei_strtower02_prgo04_NINTEI_NO</t>
  </si>
  <si>
    <t>**shinsei_strtower02_prgo04_NINTEI_DATE</t>
  </si>
  <si>
    <t>cst_shinsei_strtower02_prgo04_NINTEI_DATE_dsp</t>
    <phoneticPr fontId="2"/>
  </si>
  <si>
    <t>**shinsei_strtower02_prgo04_MAKER_NAME</t>
  </si>
  <si>
    <t>cst_shinsei_strtower02_prgo04_NAME_VER</t>
    <phoneticPr fontId="2"/>
  </si>
  <si>
    <t>cst_shinsei_strtower02_prgo04_NAME_VER__SP</t>
    <phoneticPr fontId="2"/>
  </si>
  <si>
    <t>cst_shinsei_strtower02_prgo04_MAKER__NINTEI_ari</t>
    <phoneticPr fontId="2"/>
  </si>
  <si>
    <t>cst_shinsei_strtower02_prgo04_NAME_VER__NINTEI_ari</t>
    <phoneticPr fontId="2"/>
  </si>
  <si>
    <t>cst_shinsei_strtower02_prgo04_MAKER__NINTEI_non</t>
    <phoneticPr fontId="2"/>
  </si>
  <si>
    <t>cst_shinsei_strtower02_prgo04_NAME_VER__NINTEI_non</t>
    <phoneticPr fontId="2"/>
  </si>
  <si>
    <t>**shinsei_strtower02_prgo05_NAME</t>
  </si>
  <si>
    <t>**shinsei_strtower02_prgo05_VER</t>
  </si>
  <si>
    <t>cst_shinsei_strtower02_prgo05_NINTEI__umu</t>
    <phoneticPr fontId="2"/>
  </si>
  <si>
    <t>**shinsei_strtower02_prgo05_NINTEI_NO</t>
  </si>
  <si>
    <t>**shinsei_strtower02_prgo05_NINTEI_DATE</t>
  </si>
  <si>
    <t>cst_shinsei_strtower02_prgo05_NINTEI_DATE_dsp</t>
    <phoneticPr fontId="2"/>
  </si>
  <si>
    <t xml:space="preserve"> - メーカー</t>
    <phoneticPr fontId="2"/>
  </si>
  <si>
    <t>**shinsei_strtower02_prgo05_MAKER_NAME</t>
  </si>
  <si>
    <t>cst_shinsei_strtower02_prgo05_NAME_VER</t>
    <phoneticPr fontId="2"/>
  </si>
  <si>
    <t>cst_shinsei_strtower02_prgo05_NAME_VER__SP</t>
    <phoneticPr fontId="2"/>
  </si>
  <si>
    <t>cst_shinsei_strtower02_prgo05_MAKER__NINTEI_ari</t>
    <phoneticPr fontId="2"/>
  </si>
  <si>
    <t>cst_shinsei_strtower02_prgo05_NAME_VER__NINTEI_ari</t>
    <phoneticPr fontId="2"/>
  </si>
  <si>
    <t>cst_shinsei_strtower02_prgo05_MAKER__NINTEI_non</t>
    <phoneticPr fontId="2"/>
  </si>
  <si>
    <t>cst_shinsei_strtower02_prgo05_NAME_VER__NINTEI_non</t>
    <phoneticPr fontId="2"/>
  </si>
  <si>
    <t>cst_shinsei_strtower02_PROG_NAME_VER__CHAR</t>
    <phoneticPr fontId="2"/>
  </si>
  <si>
    <t>cst_shinsei_strtower02_PROG_NAME_VER__CHAR__SP</t>
    <phoneticPr fontId="2"/>
  </si>
  <si>
    <t>cst_shinsei_strtower02_PROG_MAKER__NINTEI_ari_SP</t>
    <phoneticPr fontId="2"/>
  </si>
  <si>
    <t>cst_shinsei_strtower02_PROG_NAME_VER__NINTEI_ari_SP</t>
    <phoneticPr fontId="2"/>
  </si>
  <si>
    <t>cst_shinsei_strtower02_PROG_NINTEI_DATE_SP</t>
    <phoneticPr fontId="2"/>
  </si>
  <si>
    <t>cst_shinsei_strtower02_PROG_MAKER__NINTEI_no_SP</t>
    <phoneticPr fontId="2"/>
  </si>
  <si>
    <t>cst_shinsei_strtower02_PROG_NAME_VER__NINTEI_non_SP</t>
    <phoneticPr fontId="2"/>
  </si>
  <si>
    <t>**shinsei_strtower02_DISK_FLAG</t>
  </si>
  <si>
    <t>cst_shinsei_strtower02_DISK_FLAG</t>
    <phoneticPr fontId="2"/>
  </si>
  <si>
    <t>**shinsei_strtower02_CHARGE</t>
  </si>
  <si>
    <t>cst_shinsei_strtower02_CHARGE</t>
    <phoneticPr fontId="2"/>
  </si>
  <si>
    <t>cst_shinsei_strtower02_CHARGE__dsp</t>
    <phoneticPr fontId="2"/>
  </si>
  <si>
    <t>**shinsei_strtower02_CHARGE_WARIMASHI</t>
  </si>
  <si>
    <t>cst_shinsei_strtower02_CHARGE_WARIMASHI</t>
    <phoneticPr fontId="2"/>
  </si>
  <si>
    <t>**shinsei_strtower02_CHARGE_TOTAL</t>
  </si>
  <si>
    <t>cst_shinsei_strtower02_CHARGE_TOTAL</t>
    <phoneticPr fontId="2"/>
  </si>
  <si>
    <t>cst_shinsei_strtower02_CHARGE_SANTEI_MENSEKI</t>
    <phoneticPr fontId="2"/>
  </si>
  <si>
    <t>**shinsei_strtower02_CHARGE_KEISAN_NOTE</t>
  </si>
  <si>
    <t>cst_shinsei_strtower02_CHARGE_KEISAN_NOTE</t>
    <phoneticPr fontId="2"/>
  </si>
  <si>
    <t>cst_shinsei_strtower02_CHARGE_KEISAN_NOTE__alter</t>
    <phoneticPr fontId="2"/>
  </si>
  <si>
    <t>**shinsei_strtower02_KEISAN_X_ROUTE</t>
  </si>
  <si>
    <t>cst_shinsei_strtower02_KEISAN_X_ROUTE</t>
    <phoneticPr fontId="2"/>
  </si>
  <si>
    <t>**shinsei_strtower02_KEISAN_Y_ROUTE</t>
  </si>
  <si>
    <t>cst_shinsei_strtower02_KEISAN_Y_ROUTE</t>
    <phoneticPr fontId="2"/>
  </si>
  <si>
    <t>cst_shinsei_strtower02_XY_select</t>
    <phoneticPr fontId="2"/>
  </si>
  <si>
    <t>**shinsei_strtower02_PROGRAM_KIND_SONOTA</t>
  </si>
  <si>
    <t>cst_shinsei_strtower02_PROGRAM_KIND_SONOTA</t>
    <phoneticPr fontId="2"/>
  </si>
  <si>
    <t>棟別情報３</t>
    <rPh sb="0" eb="1">
      <t>トウ</t>
    </rPh>
    <rPh sb="1" eb="2">
      <t>ベツ</t>
    </rPh>
    <rPh sb="2" eb="4">
      <t>ジョウホウ</t>
    </rPh>
    <phoneticPr fontId="2"/>
  </si>
  <si>
    <t>**shinsei_strtower03_TOWER_NO</t>
  </si>
  <si>
    <t>cst_shinsei_strtower03_TOWER_NO</t>
    <phoneticPr fontId="2"/>
  </si>
  <si>
    <t>**shinsei_strtower03_STR_TOWER_NO</t>
  </si>
  <si>
    <t>cst_shinsei_strtower03_STR_TOWER_NO</t>
    <phoneticPr fontId="2"/>
  </si>
  <si>
    <t>cst_shinsei_strtower03__TOWER_NO_STR_TOWER_NO</t>
    <phoneticPr fontId="2"/>
  </si>
  <si>
    <t>cst_shinsei_strtower03__TOWER_NO_STR_TOWERS</t>
    <phoneticPr fontId="2"/>
  </si>
  <si>
    <t>**shinsei_strtower03_STR_TOWER_NAME</t>
  </si>
  <si>
    <t>cst_shinsei_strtower03_STR_TOWER_NAME</t>
    <phoneticPr fontId="2"/>
  </si>
  <si>
    <t>**shinsei_strtower03_JUDGE</t>
  </si>
  <si>
    <t>cst_shinsei_strtower03_JUDGE</t>
    <phoneticPr fontId="2"/>
  </si>
  <si>
    <t>**shinsei_strtower03_STR_TOWER_YOUTO_TEXT</t>
  </si>
  <si>
    <t>cst_shinsei_strtower03_STR_TOWER_YOUTO_TEXT</t>
    <phoneticPr fontId="2"/>
  </si>
  <si>
    <t>**shinsei_strtower03_KOUJI_TEXT</t>
  </si>
  <si>
    <t>cst_shinsei_strtower03_KOUJI_TEXT</t>
    <phoneticPr fontId="2"/>
  </si>
  <si>
    <t>**shinsei_strtower03_KOUZOU</t>
  </si>
  <si>
    <t>cst_shinsei_strtower03_KOUZOU</t>
    <phoneticPr fontId="2"/>
  </si>
  <si>
    <t>**shinsei_strtower03_KOUZOU_TEXT</t>
  </si>
  <si>
    <t>cst_shinsei_strtower03_KOUZOU_TEXT</t>
    <phoneticPr fontId="2"/>
  </si>
  <si>
    <t>**shinsei_strtower03_KOUZOU_KEISAN</t>
  </si>
  <si>
    <t>cst_shinsei_strtower03_KOUZOU_KEISAN</t>
    <phoneticPr fontId="2"/>
  </si>
  <si>
    <t>**shinsei_strtower03_KOUZOU_KEISAN_TEXT</t>
  </si>
  <si>
    <t>cst_shinsei_strtower03_KOUZOU_KEISAN_TEXT</t>
    <phoneticPr fontId="2"/>
  </si>
  <si>
    <t>**shinsei_strtower03_MENSEKI</t>
  </si>
  <si>
    <t>cst_shinsei_strtower03_MENSEKI</t>
    <phoneticPr fontId="2"/>
  </si>
  <si>
    <t>cst_shinsei_strtower03_MENSEKI__dsp</t>
    <phoneticPr fontId="2"/>
  </si>
  <si>
    <t>**shinsei_strtower03_MAX_TAKASA</t>
  </si>
  <si>
    <t>cst_shinsei_strtower03_MAX_TAKASA</t>
    <phoneticPr fontId="2"/>
  </si>
  <si>
    <t>**shinsei_strtower03_MAX_NOKI_TAKASA</t>
  </si>
  <si>
    <t>cst_shinsei_strtower03_MAX_NOKI_TAKASA</t>
    <phoneticPr fontId="2"/>
  </si>
  <si>
    <t>**shinsei_strtower03_KAISU_TIJYOU</t>
  </si>
  <si>
    <t>cst_shinsei_strtower03_KAISU_TIJYOU</t>
    <phoneticPr fontId="2"/>
  </si>
  <si>
    <t>**shinsei_strtower03_KAISU_TIKA</t>
  </si>
  <si>
    <t>cst_shinsei_strtower03_KAISU_TIKA</t>
    <phoneticPr fontId="2"/>
  </si>
  <si>
    <t>**shinsei_strtower03_KAISU_TOUYA</t>
  </si>
  <si>
    <t>cst_shinsei_strtower03_KAISU_TOUYA</t>
    <phoneticPr fontId="2"/>
  </si>
  <si>
    <t>**shinsei_strtower03_BUILD_KUBUN</t>
  </si>
  <si>
    <t>cst_shinsei_strtower03_BUILD_KUBUN</t>
    <phoneticPr fontId="2"/>
  </si>
  <si>
    <t>**shinsei_strtower03_BUILD_KUBUN_TEXT</t>
  </si>
  <si>
    <t>cst_shinsei_strtower03_BUILD_KUBUN_TEXT</t>
    <phoneticPr fontId="2"/>
  </si>
  <si>
    <t>cst_shinsei_strtower03_HOU20_2_select</t>
    <phoneticPr fontId="2"/>
  </si>
  <si>
    <t>cst_shinsei_strtower03_HOU20_3_select</t>
    <phoneticPr fontId="2"/>
  </si>
  <si>
    <t>**shinsei_strtower03_MENJYO_TEXT</t>
  </si>
  <si>
    <t>cst_shinsei_strtower03_MENJYO</t>
    <phoneticPr fontId="2"/>
  </si>
  <si>
    <t>**shinsei_strtower03_PROGRAM_KIND</t>
  </si>
  <si>
    <t>cst_shinsei_strtower03_PROGRAM_KIND</t>
    <phoneticPr fontId="2"/>
  </si>
  <si>
    <t>**shinsei_strtower03_REI80_2_KOKUJI_TEXT</t>
  </si>
  <si>
    <t>cst_shinsei_strtower03_REI80_2_KOKUJI</t>
    <phoneticPr fontId="2"/>
  </si>
  <si>
    <t>**shinsei_strtower03_PROGRAM_KIND__nintei__box</t>
  </si>
  <si>
    <t>cst_shinsei_strtower03_NINTEI</t>
    <phoneticPr fontId="2"/>
  </si>
  <si>
    <t>**shinsei_strtower03_PROGRAM_KIND__hyouka__box</t>
  </si>
  <si>
    <t>**shinsei_strtower03_PROGRAM_KIND__sonota__box</t>
  </si>
  <si>
    <t>**shinsei_strtower03_prgo01_NAME</t>
  </si>
  <si>
    <t>cst_shinsei_strtower03_prgo01_NAME</t>
    <phoneticPr fontId="2"/>
  </si>
  <si>
    <t>**shinsei_strtower03_prgo01_VER</t>
  </si>
  <si>
    <t>cst_shinsei_strtower03_prgo01_VER</t>
    <phoneticPr fontId="2"/>
  </si>
  <si>
    <t>cst_shinsei_strtower03_prgo01_NINTEI__umu</t>
    <phoneticPr fontId="2"/>
  </si>
  <si>
    <t>**shinsei_strtower03_prgo01_NINTEI_NO</t>
  </si>
  <si>
    <t>cst_shinsei_strtower03_prgo01_NINTEI_NO</t>
    <phoneticPr fontId="2"/>
  </si>
  <si>
    <t>**shinsei_strtower03_prgo01_NINTEI_DATE</t>
  </si>
  <si>
    <t>cst_shinsei_strtower03_prgo01_NINTEI_DATE</t>
    <phoneticPr fontId="2"/>
  </si>
  <si>
    <t>**shinsei_strtower03_prgo01_MAKER_NAME</t>
  </si>
  <si>
    <t>cst_shinsei_strtower03_prgo01_NAME_VER</t>
    <phoneticPr fontId="2"/>
  </si>
  <si>
    <t>cst_shinsei_strtower03_prgo01_NAME_VER__SP</t>
    <phoneticPr fontId="2"/>
  </si>
  <si>
    <t>cst_shinsei_strtower03_prgo01_MAKER__NINTEI_ari</t>
    <phoneticPr fontId="2"/>
  </si>
  <si>
    <t>cst_shinsei_strtower03_prgo01_NAME_VER__NINTEI_ari</t>
    <phoneticPr fontId="2"/>
  </si>
  <si>
    <t>cst_shinsei_strtower03_prgo01_MAKER__NINTEI_non</t>
    <phoneticPr fontId="2"/>
  </si>
  <si>
    <t>cst_shinsei_strtower03_prgo01_NAME_VER__NINTEI_non</t>
    <phoneticPr fontId="2"/>
  </si>
  <si>
    <t>cst_shinsei_strtower03_prgo01_PROG__nintei_ari</t>
    <phoneticPr fontId="2"/>
  </si>
  <si>
    <t>cst_shinsei_strtower03_prgo01_VER__nintei_ari</t>
    <phoneticPr fontId="2"/>
  </si>
  <si>
    <t>cst_shinsei_strtower03_prgo01_NINTEI__nintei_ari</t>
    <phoneticPr fontId="2"/>
  </si>
  <si>
    <t>cst_shinsei_strtower03_prgo01_MAKER__nintei_nasi</t>
    <phoneticPr fontId="2"/>
  </si>
  <si>
    <t>cst_shinsei_strtower03_prgo01_PROG__nintei_nasi</t>
    <phoneticPr fontId="2"/>
  </si>
  <si>
    <t>cst_shinsei_strtower03_prgo01_VER__nintei_nasi</t>
    <phoneticPr fontId="2"/>
  </si>
  <si>
    <t>**shinsei_strtower03_prgo02_NAME</t>
  </si>
  <si>
    <t>**shinsei_strtower03_prgo02_VER</t>
  </si>
  <si>
    <t>cst_shinsei_strtower03_prgo02_NINTEI__umu</t>
    <phoneticPr fontId="2"/>
  </si>
  <si>
    <t>**shinsei_strtower03_prgo02_NINTEI_NO</t>
  </si>
  <si>
    <t>text</t>
    <phoneticPr fontId="2"/>
  </si>
  <si>
    <t>**shinsei_strtower03_prgo02_NINTEI_DATE</t>
  </si>
  <si>
    <t>cst_shinsei_strtower03_prgo02_NINTEI_DATE</t>
    <phoneticPr fontId="2"/>
  </si>
  <si>
    <t>**shinsei_strtower03_prgo02_MAKER_NAME</t>
  </si>
  <si>
    <t>cst_shinsei_strtower03_prgo02_NAME_VER</t>
    <phoneticPr fontId="2"/>
  </si>
  <si>
    <t>cst_shinsei_strtower03_prgo02_NAME_VER__SP</t>
    <phoneticPr fontId="2"/>
  </si>
  <si>
    <t>cst_shinsei_strtower03_prgo02_MAKER__NINTEI_ari</t>
    <phoneticPr fontId="2"/>
  </si>
  <si>
    <t>cst_shinsei_strtower03_prgo02_NAME_VER__NINTEI_ari</t>
    <phoneticPr fontId="2"/>
  </si>
  <si>
    <t>cst_shinsei_strtower03_prgo02_MAKER__NINTEI_non</t>
    <phoneticPr fontId="2"/>
  </si>
  <si>
    <t>cst_shinsei_strtower03_prgo02_NAME_VER__NINTEI_non</t>
    <phoneticPr fontId="2"/>
  </si>
  <si>
    <t>**shinsei_strtower03_prgo03_NAME</t>
  </si>
  <si>
    <t>**shinsei_strtower03_prgo03_VER</t>
  </si>
  <si>
    <t>cst_shinsei_strtower03_prgo03_NINTEI__umu</t>
    <phoneticPr fontId="2"/>
  </si>
  <si>
    <t>**shinsei_strtower03_prgo03_NINTEI_NO</t>
  </si>
  <si>
    <t>**shinsei_strtower03_prgo03_NINTEI_DATE</t>
  </si>
  <si>
    <t>cst_shinsei_strtower03_prgo03_NINTEI_DATE_dsp</t>
    <phoneticPr fontId="2"/>
  </si>
  <si>
    <t>**shinsei_strtower03_prgo03_MAKER_NAME</t>
  </si>
  <si>
    <t>cst_shinsei_strtower03_prgo03_NAME_VER</t>
    <phoneticPr fontId="2"/>
  </si>
  <si>
    <t>cst_shinsei_strtower03_prgo03_NAME_VER__SP</t>
    <phoneticPr fontId="2"/>
  </si>
  <si>
    <t>cst_shinsei_strtower03_prgo03_MAKER__NINTEI_ari</t>
    <phoneticPr fontId="2"/>
  </si>
  <si>
    <t>cst_shinsei_strtower03_prgo03_NAME_VER__NINTEI_ari</t>
    <phoneticPr fontId="2"/>
  </si>
  <si>
    <t>cst_shinsei_strtower03_prgo03_MAKER__NINTEI_non</t>
    <phoneticPr fontId="2"/>
  </si>
  <si>
    <t>cst_shinsei_strtower03_prgo03_NAME_VER__NINTEI_non</t>
    <phoneticPr fontId="2"/>
  </si>
  <si>
    <t>**shinsei_strtower03_prgo04_NAME</t>
  </si>
  <si>
    <t>**shinsei_strtower03_prgo04_VER</t>
  </si>
  <si>
    <t>cst_shinsei_strtower03_prgo04_NINTEI__umu</t>
    <phoneticPr fontId="2"/>
  </si>
  <si>
    <t>**shinsei_strtower03_prgo04_NINTEI_NO</t>
  </si>
  <si>
    <t>**shinsei_strtower03_prgo04_NINTEI_DATE</t>
  </si>
  <si>
    <t>cst_shinsei_strtower03_prgo04_NINTEI_DATE_dsp</t>
    <phoneticPr fontId="2"/>
  </si>
  <si>
    <t>**shinsei_strtower03_prgo04_MAKER_NAME</t>
  </si>
  <si>
    <t>cst_shinsei_strtower03_prgo04_NAME_VER</t>
    <phoneticPr fontId="2"/>
  </si>
  <si>
    <t>cst_shinsei_strtower03_prgo04_NAME_VER__SP</t>
    <phoneticPr fontId="2"/>
  </si>
  <si>
    <t>cst_shinsei_strtower03_prgo04_MAKER__NINTEI_ari</t>
    <phoneticPr fontId="2"/>
  </si>
  <si>
    <t>cst_shinsei_strtower03_prgo04_NAME_VER__NINTEI_ari</t>
    <phoneticPr fontId="2"/>
  </si>
  <si>
    <t>cst_shinsei_strtower03_prgo04_MAKER__NINTEI_non</t>
    <phoneticPr fontId="2"/>
  </si>
  <si>
    <t>cst_shinsei_strtower03_prgo04_NAME_VER__NINTEI_non</t>
    <phoneticPr fontId="2"/>
  </si>
  <si>
    <t>**shinsei_strtower03_prgo05_NAME</t>
  </si>
  <si>
    <t>**shinsei_strtower03_prgo05_VER</t>
  </si>
  <si>
    <t>cst_shinsei_strtower03_prgo05_NINTEI__umu</t>
    <phoneticPr fontId="2"/>
  </si>
  <si>
    <t>**shinsei_strtower03_prgo05_NINTEI_NO</t>
  </si>
  <si>
    <t>**shinsei_strtower03_prgo05_NINTEI_DATE</t>
  </si>
  <si>
    <t>cst_shinsei_strtower03_prgo05_NINTEI_DATE_dsp</t>
    <phoneticPr fontId="2"/>
  </si>
  <si>
    <t>**shinsei_strtower03_prgo05_MAKER_NAME</t>
  </si>
  <si>
    <t>cst_shinsei_strtower03_prgo05_NAME_VER</t>
    <phoneticPr fontId="2"/>
  </si>
  <si>
    <t>cst_shinsei_strtower03_prgo05_NAME_VER__SP</t>
    <phoneticPr fontId="2"/>
  </si>
  <si>
    <t>cst_shinsei_strtower03_prgo05_MAKER__NINTEI_ari</t>
    <phoneticPr fontId="2"/>
  </si>
  <si>
    <t>cst_shinsei_strtower03_prgo05_NAME_VER__NINTEI_ari</t>
    <phoneticPr fontId="2"/>
  </si>
  <si>
    <t>cst_shinsei_strtower03_prgo05_MAKER__NINTEI_non</t>
    <phoneticPr fontId="2"/>
  </si>
  <si>
    <t>cst_shinsei_strtower03_prgo05_NAME_VER__NINTEI_non</t>
    <phoneticPr fontId="2"/>
  </si>
  <si>
    <t>cst_shinsei_strtower03_PROG_NAME_VER__CHAR</t>
    <phoneticPr fontId="2"/>
  </si>
  <si>
    <t>cst_shinsei_strtower03_PROG_NAME_VER__CHAR__SP</t>
    <phoneticPr fontId="2"/>
  </si>
  <si>
    <t>cst_shinsei_strtower03_PROG_MAKER__NINTEI_ari_SP</t>
    <phoneticPr fontId="2"/>
  </si>
  <si>
    <t>cst_shinsei_strtower03_PROG_NAME_VER__NINTEI_ari_SP</t>
    <phoneticPr fontId="2"/>
  </si>
  <si>
    <t>cst_shinsei_strtower03_PROG_NINTEI_DATE_SP</t>
    <phoneticPr fontId="2"/>
  </si>
  <si>
    <t>cst_shinsei_strtower03_PROG_MAKER__NINTEI_no_SP</t>
    <phoneticPr fontId="2"/>
  </si>
  <si>
    <t>cst_shinsei_strtower03_PROG_NAME_VER__NINTEI_non_SP</t>
    <phoneticPr fontId="2"/>
  </si>
  <si>
    <t>**shinsei_strtower03_DISK_FLAG</t>
  </si>
  <si>
    <t>cst_shinsei_strtower03_DISK_FLAG</t>
    <phoneticPr fontId="2"/>
  </si>
  <si>
    <t>**shinsei_strtower03_CHARGE</t>
  </si>
  <si>
    <t>cst_shinsei_strtower03_CHARGE</t>
    <phoneticPr fontId="2"/>
  </si>
  <si>
    <t>cst_shinsei_strtower03_CHARGE__dsp</t>
    <phoneticPr fontId="2"/>
  </si>
  <si>
    <t>**shinsei_strtower03_CHARGE_WARIMASHI</t>
  </si>
  <si>
    <t>cst_shinsei_strtower03_CHARGE_WARIMASHI</t>
    <phoneticPr fontId="2"/>
  </si>
  <si>
    <t>**shinsei_strtower03_CHARGE_TOTAL</t>
  </si>
  <si>
    <t>cst_shinsei_strtower03_CHARGE_TOTAL</t>
    <phoneticPr fontId="2"/>
  </si>
  <si>
    <t>cst_shinsei_strtower03_CHARGE_SANTEI_MENSEKI</t>
    <phoneticPr fontId="2"/>
  </si>
  <si>
    <t>cst_shinsei_strtower12_prgo04_MAKER__NINTEI_ari</t>
    <phoneticPr fontId="2"/>
  </si>
  <si>
    <t>cst_shinsei_strtower12_prgo04_NAME_VER__NINTEI_ari</t>
    <phoneticPr fontId="2"/>
  </si>
  <si>
    <t xml:space="preserve"> - メーカー(SP)</t>
    <phoneticPr fontId="2"/>
  </si>
  <si>
    <t>cst_shinsei_strtower12_prgo04_MAKER__NINTEI_non</t>
    <phoneticPr fontId="2"/>
  </si>
  <si>
    <t>cst_shinsei_strtower12_prgo04_NAME_VER__NINTEI_non</t>
    <phoneticPr fontId="2"/>
  </si>
  <si>
    <t>プログラム05</t>
    <phoneticPr fontId="2"/>
  </si>
  <si>
    <t>**shinsei_strtower12_prgo05_NAME</t>
  </si>
  <si>
    <t xml:space="preserve"> - バージョン</t>
    <phoneticPr fontId="2"/>
  </si>
  <si>
    <t>**shinsei_strtower12_prgo05_VER</t>
  </si>
  <si>
    <t>cst_shinsei_strtower12_prgo05_NINTEI__umu</t>
    <phoneticPr fontId="2"/>
  </si>
  <si>
    <t>**shinsei_strtower12_prgo05_NINTEI_NO</t>
  </si>
  <si>
    <t>text</t>
    <phoneticPr fontId="2"/>
  </si>
  <si>
    <t>**shinsei_strtower12_prgo05_NINTEI_DATE</t>
  </si>
  <si>
    <t>cst_shinsei_strtower12_prgo05_NINTEI_DATE_dsp</t>
    <phoneticPr fontId="2"/>
  </si>
  <si>
    <t>**shinsei_strtower12_prgo05_MAKER_NAME</t>
  </si>
  <si>
    <t>cst_shinsei_strtower12_prgo05_NAME_VER</t>
    <phoneticPr fontId="2"/>
  </si>
  <si>
    <t>cst_shinsei_strtower12_prgo05_NAME_VER__SP</t>
    <phoneticPr fontId="2"/>
  </si>
  <si>
    <t>cst_shinsei_strtower21_KEISAN_Y_ROUTE</t>
    <phoneticPr fontId="2"/>
  </si>
  <si>
    <t>cst_shinsei_strtower21_XY_select</t>
    <phoneticPr fontId="2"/>
  </si>
  <si>
    <t>**shinsei_strtower21_PROGRAM_KIND_SONOTA</t>
  </si>
  <si>
    <t>cst_shinsei_strtower21_PROGRAM_KIND_SONOTA</t>
    <phoneticPr fontId="2"/>
  </si>
  <si>
    <t>**shinsei_strtower22_TOWER_NO</t>
  </si>
  <si>
    <t>cst_shinsei_strtower22_TOWER_NO</t>
    <phoneticPr fontId="2"/>
  </si>
  <si>
    <t>**shinsei_strtower22_STR_TOWER_NO</t>
  </si>
  <si>
    <t>cst_shinsei_strtower22_STR_TOWER_NO</t>
    <phoneticPr fontId="2"/>
  </si>
  <si>
    <t>cst_shinsei_strtower22__TOWER_NO_STR_TOWER_NO</t>
    <phoneticPr fontId="2"/>
  </si>
  <si>
    <t>cst_shinsei_strtower22__TOWER_NO_STR_TOWERS</t>
    <phoneticPr fontId="2"/>
  </si>
  <si>
    <t>**shinsei_strtower22_STR_TOWER_NAME</t>
  </si>
  <si>
    <t>cst_shinsei_strtower22_STR_TOWER_NAME</t>
    <phoneticPr fontId="2"/>
  </si>
  <si>
    <t>**shinsei_strtower22_JUDGE</t>
  </si>
  <si>
    <t>cst_shinsei_strtower22_JUDGE</t>
    <phoneticPr fontId="2"/>
  </si>
  <si>
    <t>**shinsei_strtower22_STR_TOWER_YOUTO_TEXT</t>
  </si>
  <si>
    <t>cst_shinsei_strtower22_STR_TOWER_YOUTO_TEXT</t>
    <phoneticPr fontId="2"/>
  </si>
  <si>
    <t>**shinsei_strtower22_KOUJI_TEXT</t>
  </si>
  <si>
    <t>cst_shinsei_strtower22_KOUJI_TEXT</t>
    <phoneticPr fontId="2"/>
  </si>
  <si>
    <t>**shinsei_strtower22_KOUZOU</t>
  </si>
  <si>
    <t>cst_shinsei_strtower22_KOUZOU</t>
    <phoneticPr fontId="2"/>
  </si>
  <si>
    <t>**shinsei_strtower22_KOUZOU_TEXT</t>
  </si>
  <si>
    <t>cst_shinsei_strtower22_KOUZOU_TEXT</t>
    <phoneticPr fontId="2"/>
  </si>
  <si>
    <t>cst_shinsei_strtower12_CHARGE_KEISAN_NOTE</t>
    <phoneticPr fontId="2"/>
  </si>
  <si>
    <t>cst_shinsei_strtower12_CHARGE_KEISAN_NOTE__alter</t>
    <phoneticPr fontId="2"/>
  </si>
  <si>
    <t>**shinsei_strtower12_KEISAN_X_ROUTE</t>
  </si>
  <si>
    <t>cst_shinsei_strtower12_KEISAN_X_ROUTE</t>
    <phoneticPr fontId="2"/>
  </si>
  <si>
    <t>**shinsei_strtower12_KEISAN_Y_ROUTE</t>
  </si>
  <si>
    <t>cst_shinsei_strtower12_KEISAN_Y_ROUTE</t>
    <phoneticPr fontId="2"/>
  </si>
  <si>
    <t>cst_shinsei_strtower12_XY_select</t>
    <phoneticPr fontId="2"/>
  </si>
  <si>
    <t>**shinsei_strtower12_PROGRAM_KIND_SONOTA</t>
  </si>
  <si>
    <t>cst_shinsei_strtower12_PROGRAM_KIND_SONOTA</t>
    <phoneticPr fontId="2"/>
  </si>
  <si>
    <t>**shinsei_strtower13_TOWER_NO</t>
  </si>
  <si>
    <t>cst_shinsei_strtower13_TOWER_NO</t>
    <phoneticPr fontId="2"/>
  </si>
  <si>
    <t>**shinsei_strtower13_STR_TOWER_NO</t>
  </si>
  <si>
    <t>cst_shinsei_strtower13_STR_TOWER_NO</t>
    <phoneticPr fontId="2"/>
  </si>
  <si>
    <t>cst_shinsei_strtower13__TOWER_NO_STR_TOWER_NO</t>
    <phoneticPr fontId="2"/>
  </si>
  <si>
    <t>cst_shinsei_strtower13__TOWER_NO_STR_TOWERS</t>
    <phoneticPr fontId="2"/>
  </si>
  <si>
    <t>棟別情報の構造棟名称</t>
    <phoneticPr fontId="2"/>
  </si>
  <si>
    <t>**shinsei_strtower13_STR_TOWER_NAME</t>
  </si>
  <si>
    <t>cst_shinsei_strtower13_STR_TOWER_NAME</t>
    <phoneticPr fontId="2"/>
  </si>
  <si>
    <t>構造判定（判定が必要なもの）</t>
    <phoneticPr fontId="2"/>
  </si>
  <si>
    <t>**shinsei_strtower13_JUDGE</t>
  </si>
  <si>
    <t>cst_shinsei_strtower13_JUDGE</t>
    <phoneticPr fontId="2"/>
  </si>
  <si>
    <t>**shinsei_strtower13_STR_TOWER_YOUTO_TEXT</t>
  </si>
  <si>
    <t>cst_shinsei_strtower13_STR_TOWER_YOUTO_TEXT</t>
    <phoneticPr fontId="2"/>
  </si>
  <si>
    <t>**shinsei_strtower13_KOUJI_TEXT</t>
  </si>
  <si>
    <t>cst_shinsei_strtower13_KOUJI_TEXT</t>
    <phoneticPr fontId="2"/>
  </si>
  <si>
    <t>**shinsei_strtower13_KOUZOU</t>
  </si>
  <si>
    <t>cst_shinsei_strtower13_KOUZOU</t>
    <phoneticPr fontId="2"/>
  </si>
  <si>
    <t>**shinsei_strtower13_KOUZOU_TEXT</t>
  </si>
  <si>
    <t>cst_shinsei_strtower13_KOUZOU_TEXT</t>
    <phoneticPr fontId="2"/>
  </si>
  <si>
    <t>**shinsei_strtower13_KOUZOU_KEISAN</t>
  </si>
  <si>
    <t>cst_shinsei_strtower13_KOUZOU_KEISAN</t>
    <phoneticPr fontId="2"/>
  </si>
  <si>
    <t>**shinsei_strtower13_KOUZOU_KEISAN_TEXT</t>
  </si>
  <si>
    <t>cst_shinsei_strtower13_KOUZOU_KEISAN_TEXT</t>
    <phoneticPr fontId="2"/>
  </si>
  <si>
    <t>**shinsei_strtower13_MENSEKI</t>
  </si>
  <si>
    <t>cst_shinsei_strtower13_MENSEKI</t>
    <phoneticPr fontId="2"/>
  </si>
  <si>
    <t>cst_shinsei_strtower13_MENSEKI__dsp</t>
    <phoneticPr fontId="2"/>
  </si>
  <si>
    <t>**shinsei_strtower13_MAX_TAKASA</t>
  </si>
  <si>
    <t>cst_shinsei_strtower13_MAX_TAKASA</t>
    <phoneticPr fontId="2"/>
  </si>
  <si>
    <t>**shinsei_strtower13_MAX_NOKI_TAKASA</t>
  </si>
  <si>
    <t>cst_shinsei_strtower13_MAX_NOKI_TAKASA</t>
    <phoneticPr fontId="2"/>
  </si>
  <si>
    <t>**shinsei_strtower13_KAISU_TIJYOU</t>
  </si>
  <si>
    <t>cst_shinsei_strtower13_KAISU_TIJYOU</t>
    <phoneticPr fontId="2"/>
  </si>
  <si>
    <t>**shinsei_strtower13_KAISU_TIKA</t>
  </si>
  <si>
    <t>cst_shinsei_strtower13_KAISU_TIKA</t>
    <phoneticPr fontId="2"/>
  </si>
  <si>
    <t>**shinsei_strtower13_KAISU_TOUYA</t>
  </si>
  <si>
    <t>cst_shinsei_strtower13_KAISU_TOUYA</t>
    <phoneticPr fontId="2"/>
  </si>
  <si>
    <t>**shinsei_strtower13_BUILD_KUBUN</t>
  </si>
  <si>
    <t>cst_shinsei_strtower13_BUILD_KUBUN</t>
    <phoneticPr fontId="2"/>
  </si>
  <si>
    <t>**shinsei_strtower13_BUILD_KUBUN_TEXT</t>
  </si>
  <si>
    <t>cst_shinsei_strtower13_BUILD_KUBUN_TEXT</t>
    <phoneticPr fontId="2"/>
  </si>
  <si>
    <t>cst_shinsei_strtower13_HOU20_2_select</t>
    <phoneticPr fontId="2"/>
  </si>
  <si>
    <t>cst_shinsei_strtower13_HOU20_3_select</t>
    <phoneticPr fontId="2"/>
  </si>
  <si>
    <t>**shinsei_strtower13_MENJYO_TEXT</t>
  </si>
  <si>
    <t>cst_shinsei_strtower13_MENJYO</t>
    <phoneticPr fontId="2"/>
  </si>
  <si>
    <t>text</t>
    <phoneticPr fontId="2"/>
  </si>
  <si>
    <t>**shinsei_strtower13_PROGRAM_KIND</t>
  </si>
  <si>
    <t>cst_shinsei_strtower13_PROGRAM_KIND</t>
    <phoneticPr fontId="2"/>
  </si>
  <si>
    <t>**shinsei_strtower13_REI80_2_KOKUJI_TEXT</t>
  </si>
  <si>
    <t>cst_shinsei_strtower13_REI80_2_KOKUJI</t>
    <phoneticPr fontId="2"/>
  </si>
  <si>
    <t>**shinsei_strtower13_PROGRAM_KIND__nintei__box</t>
  </si>
  <si>
    <t>cst_shinsei_strtower13_NINTEI</t>
    <phoneticPr fontId="2"/>
  </si>
  <si>
    <t>**shinsei_strtower13_PROGRAM_KIND__hyouka__box</t>
  </si>
  <si>
    <t>**shinsei_strtower13_PROGRAM_KIND__sonota__box</t>
  </si>
  <si>
    <t>プログラム01</t>
    <phoneticPr fontId="2"/>
  </si>
  <si>
    <t>**shinsei_strtower13_prgo01_NAME</t>
  </si>
  <si>
    <t>text</t>
    <phoneticPr fontId="2"/>
  </si>
  <si>
    <t xml:space="preserve"> - バージョン</t>
    <phoneticPr fontId="2"/>
  </si>
  <si>
    <t>**shinsei_strtower13_prgo01_VER</t>
  </si>
  <si>
    <t>cst_shinsei_strtower13_prgo01_NINTEI__umu</t>
    <phoneticPr fontId="2"/>
  </si>
  <si>
    <t>**shinsei_strtower13_prgo01_NINTEI_NO</t>
  </si>
  <si>
    <t>cst_shinsei_strtower13_prgo01_NINTEI_NO</t>
    <phoneticPr fontId="2"/>
  </si>
  <si>
    <t>**shinsei_strtower13_prgo01_NINTEI_DATE</t>
  </si>
  <si>
    <t>cst_shinsei_strtower13_prgo01_NINTEI_DATE</t>
    <phoneticPr fontId="2"/>
  </si>
  <si>
    <t>**shinsei_strtower13_prgo01_MAKER_NAME</t>
  </si>
  <si>
    <t>cst_shinsei_strtower13_prgo01_NAME_VER</t>
    <phoneticPr fontId="2"/>
  </si>
  <si>
    <t>cst_shinsei_strtower13_prgo01_NAME_VER__SP</t>
    <phoneticPr fontId="2"/>
  </si>
  <si>
    <t>cst_shinsei_strtower13_prgo01_MAKER__NINTEI_ari</t>
    <phoneticPr fontId="2"/>
  </si>
  <si>
    <t>cst_shinsei_strtower13_prgo01_NAME_VER__NINTEI_ari</t>
    <phoneticPr fontId="2"/>
  </si>
  <si>
    <t>cst_shinsei_strtower13_prgo01_MAKER__NINTEI_non</t>
    <phoneticPr fontId="2"/>
  </si>
  <si>
    <t>cst_shinsei_strtower13_prgo01_NAME_VER__NINTEI_non</t>
    <phoneticPr fontId="2"/>
  </si>
  <si>
    <t>**shinsei_strtower13_prgo02_NAME</t>
  </si>
  <si>
    <t>**shinsei_strtower13_prgo02_VER</t>
  </si>
  <si>
    <t>cst_shinsei_strtower13_prgo02_NINTEI__umu</t>
    <phoneticPr fontId="2"/>
  </si>
  <si>
    <t>**shinsei_strtower13_prgo02_NINTEI_NO</t>
  </si>
  <si>
    <t>**shinsei_strtower13_prgo02_NINTEI_DATE</t>
  </si>
  <si>
    <t>cst_shinsei_strtower13_prgo02_NINTEI_DATE</t>
    <phoneticPr fontId="2"/>
  </si>
  <si>
    <t>**shinsei_strtower13_prgo02_MAKER_NAME</t>
  </si>
  <si>
    <t>cst_shinsei_strtower13_prgo02_NAME_VER</t>
    <phoneticPr fontId="2"/>
  </si>
  <si>
    <t>cst_shinsei_strtower13_prgo02_NAME_VER__SP</t>
    <phoneticPr fontId="2"/>
  </si>
  <si>
    <t xml:space="preserve"> - メーカー(SP)</t>
    <phoneticPr fontId="2"/>
  </si>
  <si>
    <t>cst_shinsei_strtower13_prgo02_MAKER__NINTEI_ari</t>
    <phoneticPr fontId="2"/>
  </si>
  <si>
    <t>cst_shinsei_strtower13_prgo02_NAME_VER__NINTEI_ari</t>
    <phoneticPr fontId="2"/>
  </si>
  <si>
    <t>cst_shinsei_strtower13_prgo02_MAKER__NINTEI_non</t>
    <phoneticPr fontId="2"/>
  </si>
  <si>
    <t>cst_shinsei_strtower13_prgo02_NAME_VER__NINTEI_non</t>
    <phoneticPr fontId="2"/>
  </si>
  <si>
    <t>**shinsei_strtower13_prgo03_NAME</t>
  </si>
  <si>
    <t>**shinsei_strtower13_prgo03_VER</t>
  </si>
  <si>
    <t>cst_shinsei_strtower13_prgo03_NINTEI__umu</t>
    <phoneticPr fontId="2"/>
  </si>
  <si>
    <t>**shinsei_strtower13_prgo03_NINTEI_NO</t>
  </si>
  <si>
    <t>**shinsei_strtower13_prgo03_NINTEI_DATE</t>
  </si>
  <si>
    <t>cst_shinsei_strtower13_prgo03_NINTEI_DATE_dsp</t>
    <phoneticPr fontId="2"/>
  </si>
  <si>
    <t>**shinsei_strtower13_prgo03_MAKER_NAME</t>
  </si>
  <si>
    <t>cst_shinsei_strtower13_prgo03_NAME_VER</t>
    <phoneticPr fontId="2"/>
  </si>
  <si>
    <t>cst_shinsei_strtower13_prgo03_NAME_VER__SP</t>
    <phoneticPr fontId="2"/>
  </si>
  <si>
    <t>cst_shinsei_strtower13_prgo03_MAKER__NINTEI_ari</t>
    <phoneticPr fontId="2"/>
  </si>
  <si>
    <t>cst_shinsei_strtower13_prgo03_NAME_VER__NINTEI_ari</t>
    <phoneticPr fontId="2"/>
  </si>
  <si>
    <t>cst_shinsei_strtower13_prgo03_MAKER__NINTEI_non</t>
    <phoneticPr fontId="2"/>
  </si>
  <si>
    <t>cst_shinsei_strtower13_prgo03_NAME_VER__NINTEI_non</t>
    <phoneticPr fontId="2"/>
  </si>
  <si>
    <t>プログラム04</t>
    <phoneticPr fontId="2"/>
  </si>
  <si>
    <t>**shinsei_strtower13_prgo04_NAME</t>
  </si>
  <si>
    <t xml:space="preserve"> - バージョン</t>
    <phoneticPr fontId="2"/>
  </si>
  <si>
    <t>**shinsei_strtower13_prgo04_VER</t>
  </si>
  <si>
    <t>cst_shinsei_strtower13_prgo04_NINTEI__umu</t>
    <phoneticPr fontId="2"/>
  </si>
  <si>
    <t>**shinsei_strtower13_prgo04_NINTEI_NO</t>
  </si>
  <si>
    <t>**shinsei_strtower13_prgo04_NINTEI_DATE</t>
  </si>
  <si>
    <t>cst_shinsei_strtower13_prgo04_NINTEI_DATE_dsp</t>
    <phoneticPr fontId="2"/>
  </si>
  <si>
    <t>**shinsei_strtower13_prgo04_MAKER_NAME</t>
  </si>
  <si>
    <t>cst_shinsei_strtower13_prgo04_NAME_VER</t>
    <phoneticPr fontId="2"/>
  </si>
  <si>
    <t>cst_shinsei_strtower13_prgo04_NAME_VER__SP</t>
    <phoneticPr fontId="2"/>
  </si>
  <si>
    <t>cst_shinsei_strtower13_prgo04_MAKER__NINTEI_ari</t>
    <phoneticPr fontId="2"/>
  </si>
  <si>
    <t>cst_shinsei_strtower13_prgo04_NAME_VER__NINTEI_ari</t>
    <phoneticPr fontId="2"/>
  </si>
  <si>
    <t>cst_shinsei_strtower13_prgo04_MAKER__NINTEI_non</t>
    <phoneticPr fontId="2"/>
  </si>
  <si>
    <t>cst_shinsei_strtower13_prgo04_NAME_VER__NINTEI_non</t>
    <phoneticPr fontId="2"/>
  </si>
  <si>
    <t>**shinsei_strtower13_prgo05_NAME</t>
  </si>
  <si>
    <t>**shinsei_strtower13_prgo05_VER</t>
  </si>
  <si>
    <t>cst_shinsei_strtower13_prgo05_NINTEI__umu</t>
    <phoneticPr fontId="2"/>
  </si>
  <si>
    <t>**shinsei_strtower13_prgo05_NINTEI_NO</t>
  </si>
  <si>
    <t>**shinsei_strtower13_prgo05_NINTEI_DATE</t>
  </si>
  <si>
    <t>cst_shinsei_strtower13_prgo05_NINTEI_DATE_dsp</t>
    <phoneticPr fontId="2"/>
  </si>
  <si>
    <t>**shinsei_strtower13_prgo05_MAKER_NAME</t>
  </si>
  <si>
    <t>cst_shinsei_strtower13_prgo05_NAME_VER</t>
    <phoneticPr fontId="2"/>
  </si>
  <si>
    <t>cst_shinsei_strtower13_prgo05_NAME_VER__SP</t>
    <phoneticPr fontId="2"/>
  </si>
  <si>
    <t xml:space="preserve"> - メーカー(SP)</t>
    <phoneticPr fontId="2"/>
  </si>
  <si>
    <t>cst_shinsei_strtower13_prgo05_MAKER__NINTEI_ari</t>
    <phoneticPr fontId="2"/>
  </si>
  <si>
    <t>cst_shinsei_strtower13_prgo05_NAME_VER__NINTEI_ari</t>
    <phoneticPr fontId="2"/>
  </si>
  <si>
    <t>cst_shinsei_strtower13_prgo05_MAKER__NINTEI_non</t>
    <phoneticPr fontId="2"/>
  </si>
  <si>
    <t>cst_shinsei_strtower13_prgo05_NAME_VER__NINTEI_non</t>
    <phoneticPr fontId="2"/>
  </si>
  <si>
    <t>プログラム</t>
    <phoneticPr fontId="2"/>
  </si>
  <si>
    <t>cst_shinsei_strtower13_PROG_NAME_VER__CHAR</t>
    <phoneticPr fontId="2"/>
  </si>
  <si>
    <t>cst_shinsei_strtower13_PROG_NAME_VER__CHAR__SP</t>
    <phoneticPr fontId="2"/>
  </si>
  <si>
    <t>cst_shinsei_strtower13_PROG_MAKER__NINTEI_ari_SP</t>
    <phoneticPr fontId="2"/>
  </si>
  <si>
    <t>cst_shinsei_strtower13_PROG_NAME_VER__NINTEI_ari_SP</t>
    <phoneticPr fontId="2"/>
  </si>
  <si>
    <t>cst_shinsei_strtower13_PROG_NINTEI_DATE_SP</t>
    <phoneticPr fontId="2"/>
  </si>
  <si>
    <t>cst_shinsei_strtower13_PROG_MAKER__NINTEI_no_SP</t>
    <phoneticPr fontId="2"/>
  </si>
  <si>
    <t>cst_shinsei_strtower13_PROG_NAME_VER__NINTEI_non_SP</t>
    <phoneticPr fontId="2"/>
  </si>
  <si>
    <t>**shinsei_strtower13_DISK_FLAG</t>
  </si>
  <si>
    <t>cst_shinsei_strtower13_DISK_FLAG</t>
    <phoneticPr fontId="2"/>
  </si>
  <si>
    <t>**shinsei_strtower13_CHARGE</t>
  </si>
  <si>
    <t>cst_shinsei_strtower13_CHARGE</t>
    <phoneticPr fontId="2"/>
  </si>
  <si>
    <t>cst_shinsei_strtower13_CHARGE__dsp</t>
    <phoneticPr fontId="2"/>
  </si>
  <si>
    <t>**shinsei_strtower13_CHARGE_WARIMASHI</t>
  </si>
  <si>
    <t>cst_shinsei_strtower13_CHARGE_WARIMASHI</t>
    <phoneticPr fontId="2"/>
  </si>
  <si>
    <t>**shinsei_strtower13_CHARGE_TOTAL</t>
  </si>
  <si>
    <t>cst_shinsei_strtower13_CHARGE_TOTAL</t>
    <phoneticPr fontId="2"/>
  </si>
  <si>
    <t>**shinsei_strtower13_CHARGE_KEISAN_NOTE</t>
  </si>
  <si>
    <t>cst_shinsei_strtower13_CHARGE_KEISAN_NOTE</t>
    <phoneticPr fontId="2"/>
  </si>
  <si>
    <t>cst_shinsei_strtower13_CHARGE_KEISAN_NOTE__alter</t>
    <phoneticPr fontId="2"/>
  </si>
  <si>
    <t>**shinsei_strtower13_KEISAN_X_ROUTE</t>
  </si>
  <si>
    <t>cst_shinsei_strtower13_KEISAN_X_ROUTE</t>
    <phoneticPr fontId="2"/>
  </si>
  <si>
    <t>**shinsei_strtower13_KEISAN_Y_ROUTE</t>
  </si>
  <si>
    <t>cst_shinsei_strtower13_KEISAN_Y_ROUTE</t>
    <phoneticPr fontId="2"/>
  </si>
  <si>
    <t>cst_shinsei_strtower13_XY_select</t>
    <phoneticPr fontId="2"/>
  </si>
  <si>
    <t>**shinsei_strtower13_PROGRAM_KIND_SONOTA</t>
  </si>
  <si>
    <t>cst_shinsei_strtower13_PROGRAM_KIND_SONOTA</t>
    <phoneticPr fontId="2"/>
  </si>
  <si>
    <t>**shinsei_strtower14_TOWER_NO</t>
  </si>
  <si>
    <t>cst_shinsei_strtower14_TOWER_NO</t>
    <phoneticPr fontId="2"/>
  </si>
  <si>
    <t>**shinsei_strtower14_STR_TOWER_NO</t>
  </si>
  <si>
    <t>cst_shinsei_strtower14_STR_TOWER_NO</t>
    <phoneticPr fontId="2"/>
  </si>
  <si>
    <t>cst_shinsei_strtower14__TOWER_NO_STR_TOWER_NO</t>
    <phoneticPr fontId="2"/>
  </si>
  <si>
    <t>cst_shinsei_strtower14__TOWER_NO_STR_TOWERS</t>
    <phoneticPr fontId="2"/>
  </si>
  <si>
    <t>**shinsei_strtower14_STR_TOWER_NAME</t>
  </si>
  <si>
    <t>cst_shinsei_strtower14_STR_TOWER_NAME</t>
    <phoneticPr fontId="2"/>
  </si>
  <si>
    <t>**shinsei_strtower14_JUDGE</t>
  </si>
  <si>
    <t>cst_shinsei_strtower14_JUDGE</t>
    <phoneticPr fontId="2"/>
  </si>
  <si>
    <t>**shinsei_strtower14_STR_TOWER_YOUTO_TEXT</t>
  </si>
  <si>
    <t>cst_shinsei_strtower14_STR_TOWER_YOUTO_TEXT</t>
    <phoneticPr fontId="2"/>
  </si>
  <si>
    <t>**shinsei_strtower14_KOUJI_TEXT</t>
  </si>
  <si>
    <t>cst_shinsei_strtower14_KOUJI_TEXT</t>
    <phoneticPr fontId="2"/>
  </si>
  <si>
    <t>**shinsei_strtower14_KOUZOU</t>
  </si>
  <si>
    <t>cst_shinsei_strtower14_KOUZOU</t>
    <phoneticPr fontId="2"/>
  </si>
  <si>
    <t>**shinsei_strtower14_KOUZOU_TEXT</t>
  </si>
  <si>
    <t>cst_shinsei_strtower14_KOUZOU_TEXT</t>
    <phoneticPr fontId="2"/>
  </si>
  <si>
    <t>**shinsei_strtower14_KOUZOU_KEISAN</t>
  </si>
  <si>
    <t>cst_shinsei_strtower14_KOUZOU_KEISAN</t>
    <phoneticPr fontId="2"/>
  </si>
  <si>
    <t>**shinsei_strtower14_KOUZOU_KEISAN_TEXT</t>
  </si>
  <si>
    <t>cst_shinsei_strtower14_KOUZOU_KEISAN_TEXT</t>
    <phoneticPr fontId="2"/>
  </si>
  <si>
    <t>**shinsei_strtower14_MENSEKI</t>
  </si>
  <si>
    <t>cst_shinsei_strtower14_MENSEKI</t>
    <phoneticPr fontId="2"/>
  </si>
  <si>
    <t>cst_shinsei_strtower14_MENSEKI__dsp</t>
    <phoneticPr fontId="2"/>
  </si>
  <si>
    <t>**shinsei_strtower14_MAX_TAKASA</t>
  </si>
  <si>
    <t>cst_shinsei_strtower14_MAX_TAKASA</t>
    <phoneticPr fontId="2"/>
  </si>
  <si>
    <t>**shinsei_strtower14_MAX_NOKI_TAKASA</t>
  </si>
  <si>
    <t>cst_shinsei_strtower14_MAX_NOKI_TAKASA</t>
    <phoneticPr fontId="2"/>
  </si>
  <si>
    <t>**shinsei_strtower14_KAISU_TIJYOU</t>
  </si>
  <si>
    <t>cst_shinsei_strtower14_KAISU_TIJYOU</t>
    <phoneticPr fontId="2"/>
  </si>
  <si>
    <t>**shinsei_strtower14_KAISU_TIKA</t>
  </si>
  <si>
    <t>cst_shinsei_strtower14_KAISU_TIKA</t>
    <phoneticPr fontId="2"/>
  </si>
  <si>
    <t>**shinsei_strtower14_KAISU_TOUYA</t>
  </si>
  <si>
    <t>cst_shinsei_strtower14_KAISU_TOUYA</t>
    <phoneticPr fontId="2"/>
  </si>
  <si>
    <t>**shinsei_strtower14_BUILD_KUBUN</t>
  </si>
  <si>
    <t>cst_shinsei_strtower14_BUILD_KUBUN</t>
    <phoneticPr fontId="2"/>
  </si>
  <si>
    <t>**shinsei_strtower14_BUILD_KUBUN_TEXT</t>
  </si>
  <si>
    <t>cst_shinsei_strtower14_BUILD_KUBUN_TEXT</t>
    <phoneticPr fontId="2"/>
  </si>
  <si>
    <t>cst_shinsei_strtower14_HOU20_2_select</t>
    <phoneticPr fontId="2"/>
  </si>
  <si>
    <t>cst_shinsei_strtower14_HOU20_3_select</t>
    <phoneticPr fontId="2"/>
  </si>
  <si>
    <t>**shinsei_strtower14_MENJYO_TEXT</t>
  </si>
  <si>
    <t>cst_shinsei_strtower14_MENJYO</t>
    <phoneticPr fontId="2"/>
  </si>
  <si>
    <t>**shinsei_strtower14_PROGRAM_KIND</t>
  </si>
  <si>
    <t>cst_shinsei_strtower14_PROGRAM_KIND</t>
    <phoneticPr fontId="2"/>
  </si>
  <si>
    <t>**shinsei_strtower14_REI80_2_KOKUJI_TEXT</t>
  </si>
  <si>
    <t>cst_shinsei_strtower14_REI80_2_KOKUJI</t>
    <phoneticPr fontId="2"/>
  </si>
  <si>
    <t>**shinsei_strtower14_PROGRAM_KIND__nintei__box</t>
  </si>
  <si>
    <t>cst_shinsei_strtower14_NINTEI</t>
    <phoneticPr fontId="2"/>
  </si>
  <si>
    <t>**shinsei_strtower14_PROGRAM_KIND__hyouka__box</t>
  </si>
  <si>
    <t>**shinsei_strtower14_PROGRAM_KIND__sonota__box</t>
  </si>
  <si>
    <t>**shinsei_strtower14_prgo01_NAME</t>
  </si>
  <si>
    <t>**shinsei_strtower14_prgo01_VER</t>
  </si>
  <si>
    <t>cst_shinsei_strtower14_prgo01_NINTEI__umu</t>
    <phoneticPr fontId="2"/>
  </si>
  <si>
    <t>**shinsei_strtower14_prgo01_NINTEI_NO</t>
  </si>
  <si>
    <t>cst_shinsei_strtower14_prgo01_NINTEI_NO</t>
    <phoneticPr fontId="2"/>
  </si>
  <si>
    <t>**shinsei_strtower14_prgo01_NINTEI_DATE</t>
  </si>
  <si>
    <t>cst_shinsei_strtower14_prgo01_NINTEI_DATE_dsp</t>
    <phoneticPr fontId="2"/>
  </si>
  <si>
    <t>**shinsei_strtower14_prgo01_MAKER_NAME</t>
  </si>
  <si>
    <t>cst_shinsei_strtower14_prgo01_NAME_VER</t>
    <phoneticPr fontId="2"/>
  </si>
  <si>
    <t>cst_shinsei_strtower14_prgo01_NAME_VER__SP</t>
    <phoneticPr fontId="2"/>
  </si>
  <si>
    <t>cst_shinsei_strtower14_prgo01_MAKER__NINTEI_ari</t>
    <phoneticPr fontId="2"/>
  </si>
  <si>
    <t>cst_shinsei_strtower14_prgo01_NAME_VER__NINTEI_ari</t>
    <phoneticPr fontId="2"/>
  </si>
  <si>
    <t>cst_shinsei_strtower14_prgo01_MAKER__NINTEI_non</t>
    <phoneticPr fontId="2"/>
  </si>
  <si>
    <t>cst_shinsei_strtower14_prgo01_NAME_VER__NINTEI_non</t>
    <phoneticPr fontId="2"/>
  </si>
  <si>
    <t>**shinsei_strtower14_prgo02_NAME</t>
  </si>
  <si>
    <t>**shinsei_strtower14_prgo02_VER</t>
  </si>
  <si>
    <t>cst_shinsei_strtower14_prgo02_NINTEI__umu</t>
    <phoneticPr fontId="2"/>
  </si>
  <si>
    <t>**shinsei_strtower14_prgo02_NINTEI_NO</t>
  </si>
  <si>
    <t>**shinsei_strtower14_prgo02_NINTEI_DATE</t>
  </si>
  <si>
    <t>cst_shinsei_strtower14_prgo02_NINTEI_DATE_dsp</t>
    <phoneticPr fontId="2"/>
  </si>
  <si>
    <t>**shinsei_strtower14_prgo02_MAKER_NAME</t>
  </si>
  <si>
    <t>cst_shinsei_strtower14_prgo02_NAME_VER</t>
    <phoneticPr fontId="2"/>
  </si>
  <si>
    <t>cst_shinsei_strtower14_prgo02_NAME_VER__SP</t>
    <phoneticPr fontId="2"/>
  </si>
  <si>
    <t xml:space="preserve"> - メーカー(SP)</t>
    <phoneticPr fontId="2"/>
  </si>
  <si>
    <t>cst_shinsei_strtower14_prgo02_MAKER__NINTEI_ari</t>
    <phoneticPr fontId="2"/>
  </si>
  <si>
    <t>cst_shinsei_strtower14_prgo02_NAME_VER__NINTEI_ari</t>
    <phoneticPr fontId="2"/>
  </si>
  <si>
    <t>cst_shinsei_strtower14_prgo02_MAKER__NINTEI_non</t>
    <phoneticPr fontId="2"/>
  </si>
  <si>
    <t>cst_shinsei_strtower14_prgo02_NAME_VER__NINTEI_non</t>
    <phoneticPr fontId="2"/>
  </si>
  <si>
    <t>**shinsei_strtower14_prgo03_NAME</t>
  </si>
  <si>
    <t>**shinsei_strtower14_prgo03_VER</t>
  </si>
  <si>
    <t>cst_shinsei_strtower14_prgo03_NINTEI__umu</t>
    <phoneticPr fontId="2"/>
  </si>
  <si>
    <t>**shinsei_strtower14_prgo03_NINTEI_NO</t>
  </si>
  <si>
    <t>**shinsei_strtower14_prgo03_NINTEI_DATE</t>
  </si>
  <si>
    <t>cst_shinsei_strtower14_prgo03_NINTEI_DATE_dsp</t>
    <phoneticPr fontId="2"/>
  </si>
  <si>
    <t>**shinsei_strtower14_prgo03_MAKER_NAME</t>
  </si>
  <si>
    <t>cst_shinsei_strtower14_prgo03_NAME_VER</t>
    <phoneticPr fontId="2"/>
  </si>
  <si>
    <t>cst_shinsei_strtower14_prgo03_NAME_VER__SP</t>
    <phoneticPr fontId="2"/>
  </si>
  <si>
    <t>cst_shinsei_strtower14_prgo03_MAKER__NINTEI_ari</t>
    <phoneticPr fontId="2"/>
  </si>
  <si>
    <t>cst_shinsei_strtower14_prgo03_NAME_VER__NINTEI_ari</t>
    <phoneticPr fontId="2"/>
  </si>
  <si>
    <t>cst_shinsei_strtower14_prgo03_MAKER__NINTEI_non</t>
    <phoneticPr fontId="2"/>
  </si>
  <si>
    <t>cst_shinsei_strtower14_prgo03_NAME_VER__NINTEI_non</t>
    <phoneticPr fontId="2"/>
  </si>
  <si>
    <t>**shinsei_strtower14_prgo04_NAME</t>
  </si>
  <si>
    <t>**shinsei_strtower14_prgo04_VER</t>
  </si>
  <si>
    <t>cst_shinsei_strtower14_prgo04_NINTEI__umu</t>
    <phoneticPr fontId="2"/>
  </si>
  <si>
    <t>**shinsei_strtower14_prgo04_NINTEI_NO</t>
  </si>
  <si>
    <t>**shinsei_strtower14_prgo04_NINTEI_DATE</t>
  </si>
  <si>
    <t>cst_shinsei_strtower14_prgo04_NINTEI_DATE_dsp</t>
    <phoneticPr fontId="2"/>
  </si>
  <si>
    <t>**shinsei_strtower14_prgo04_MAKER_NAME</t>
  </si>
  <si>
    <t>cst_shinsei_strtower14_prgo04_NAME_VER</t>
    <phoneticPr fontId="2"/>
  </si>
  <si>
    <t>cst_shinsei_strtower14_prgo04_NAME_VER__SP</t>
    <phoneticPr fontId="2"/>
  </si>
  <si>
    <t>cst_shinsei_strtower14_prgo04_MAKER__NINTEI_ari</t>
    <phoneticPr fontId="2"/>
  </si>
  <si>
    <t>cst_shinsei_strtower14_prgo04_NAME_VER__NINTEI_ari</t>
    <phoneticPr fontId="2"/>
  </si>
  <si>
    <t>cst_shinsei_strtower14_prgo04_MAKER__NINTEI_non</t>
    <phoneticPr fontId="2"/>
  </si>
  <si>
    <t>cst_shinsei_strtower14_prgo04_NAME_VER__NINTEI_non</t>
    <phoneticPr fontId="2"/>
  </si>
  <si>
    <t>**shinsei_strtower14_prgo05_NAME</t>
  </si>
  <si>
    <t>**shinsei_strtower14_prgo05_VER</t>
  </si>
  <si>
    <t>cst_shinsei_strtower14_prgo05_NINTEI__umu</t>
    <phoneticPr fontId="2"/>
  </si>
  <si>
    <t>**shinsei_strtower14_prgo05_NINTEI_NO</t>
  </si>
  <si>
    <t>**shinsei_strtower14_prgo05_NINTEI_DATE</t>
  </si>
  <si>
    <t>cst_shinsei_strtower14_prgo05_NINTEI_DATE_dsp</t>
    <phoneticPr fontId="2"/>
  </si>
  <si>
    <t>**shinsei_strtower14_prgo05_MAKER_NAME</t>
  </si>
  <si>
    <t>cst_shinsei_strtower14_prgo05_NAME_VER</t>
    <phoneticPr fontId="2"/>
  </si>
  <si>
    <t>cst_shinsei_strtower14_prgo05_NAME_VER__SP</t>
    <phoneticPr fontId="2"/>
  </si>
  <si>
    <t xml:space="preserve"> - メーカー(SP)</t>
    <phoneticPr fontId="2"/>
  </si>
  <si>
    <t>cst_shinsei_strtower14_prgo05_MAKER__NINTEI_ari</t>
    <phoneticPr fontId="2"/>
  </si>
  <si>
    <t>cst_shinsei_strtower14_prgo05_NAME_VER__NINTEI_ari</t>
    <phoneticPr fontId="2"/>
  </si>
  <si>
    <t>cst_shinsei_strtower14_prgo05_MAKER__NINTEI_non</t>
    <phoneticPr fontId="2"/>
  </si>
  <si>
    <t>cst_shinsei_strtower14_prgo05_NAME_VER__NINTEI_non</t>
    <phoneticPr fontId="2"/>
  </si>
  <si>
    <t>cst_shinsei_strtower14_PROG_NAME_VER__CHAR</t>
    <phoneticPr fontId="2"/>
  </si>
  <si>
    <t>cst_shinsei_strtower14_PROG_NAME_VER__CHAR__SP</t>
    <phoneticPr fontId="2"/>
  </si>
  <si>
    <t>cst_shinsei_strtower14_PROG_MAKER__NINTEI_ari_SP</t>
    <phoneticPr fontId="2"/>
  </si>
  <si>
    <t>cst_shinsei_strtower14_PROG_NAME_VER__NINTEI_ari_SP</t>
    <phoneticPr fontId="2"/>
  </si>
  <si>
    <t>cst_shinsei_strtower14_PROG_NINTEI_DATE_SP</t>
    <phoneticPr fontId="2"/>
  </si>
  <si>
    <t>cst_shinsei_strtower14_PROG_MAKER__NINTEI_no_SP</t>
    <phoneticPr fontId="2"/>
  </si>
  <si>
    <t>cst_shinsei_strtower14_PROG_NAME_VER__NINTEI_non_SP</t>
    <phoneticPr fontId="2"/>
  </si>
  <si>
    <t>**shinsei_strtower14_DISK_FLAG</t>
  </si>
  <si>
    <t>cst_shinsei_strtower14_DISK_FLAG</t>
    <phoneticPr fontId="2"/>
  </si>
  <si>
    <t>**shinsei_strtower14_CHARGE</t>
  </si>
  <si>
    <t>cst_shinsei_strtower14_CHARGE</t>
    <phoneticPr fontId="2"/>
  </si>
  <si>
    <t>cst_shinsei_strtower14_CHARGE__dsp</t>
    <phoneticPr fontId="2"/>
  </si>
  <si>
    <t>**shinsei_strtower14_CHARGE_WARIMASHI</t>
  </si>
  <si>
    <t>cst_shinsei_strtower14_CHARGE_WARIMASHI</t>
    <phoneticPr fontId="2"/>
  </si>
  <si>
    <t>**shinsei_strtower14_CHARGE_TOTAL</t>
  </si>
  <si>
    <t>cst_shinsei_strtower14_CHARGE_TOTAL</t>
    <phoneticPr fontId="2"/>
  </si>
  <si>
    <t>**shinsei_strtower14_CHARGE_KEISAN_NOTE</t>
  </si>
  <si>
    <t>cst_shinsei_strtower14_CHARGE_KEISAN_NOTE</t>
    <phoneticPr fontId="2"/>
  </si>
  <si>
    <t>cst_shinsei_strtower14_CHARGE_KEISAN_NOTE__alter</t>
    <phoneticPr fontId="2"/>
  </si>
  <si>
    <t>**shinsei_strtower14_KEISAN_X_ROUTE</t>
  </si>
  <si>
    <t>cst_shinsei_strtower14_KEISAN_X_ROUTE</t>
    <phoneticPr fontId="2"/>
  </si>
  <si>
    <t>**shinsei_strtower14_KEISAN_Y_ROUTE</t>
  </si>
  <si>
    <t>cst_shinsei_strtower14_KEISAN_Y_ROUTE</t>
    <phoneticPr fontId="2"/>
  </si>
  <si>
    <t>cst_shinsei_strtower14_XY_select</t>
    <phoneticPr fontId="2"/>
  </si>
  <si>
    <t>**shinsei_strtower14_PROGRAM_KIND_SONOTA</t>
  </si>
  <si>
    <t>cst_shinsei_strtower14_PROGRAM_KIND_SONOTA</t>
    <phoneticPr fontId="2"/>
  </si>
  <si>
    <t>**shinsei_strtower15_TOWER_NO</t>
  </si>
  <si>
    <t>cst_shinsei_strtower15_TOWER_NO</t>
    <phoneticPr fontId="2"/>
  </si>
  <si>
    <t>**shinsei_strtower15_STR_TOWER_NO</t>
  </si>
  <si>
    <t>cst_shinsei_strtower15_STR_TOWER_NO</t>
    <phoneticPr fontId="2"/>
  </si>
  <si>
    <t>text</t>
    <phoneticPr fontId="2"/>
  </si>
  <si>
    <t>cst_shinsei_strtower15__TOWER_NO_STR_TOWER_NO</t>
    <phoneticPr fontId="2"/>
  </si>
  <si>
    <t>cst_shinsei_strtower15__TOWER_NO_STR_TOWERS</t>
    <phoneticPr fontId="2"/>
  </si>
  <si>
    <t>**shinsei_strtower15_STR_TOWER_NAME</t>
  </si>
  <si>
    <t>cst_shinsei_strtower15_STR_TOWER_NAME</t>
    <phoneticPr fontId="2"/>
  </si>
  <si>
    <t>**shinsei_strtower15_JUDGE</t>
  </si>
  <si>
    <t>cst_shinsei_strtower15_JUDGE</t>
    <phoneticPr fontId="2"/>
  </si>
  <si>
    <t>**shinsei_strtower15_STR_TOWER_YOUTO_TEXT</t>
  </si>
  <si>
    <t>cst_shinsei_strtower15_STR_TOWER_YOUTO_TEXT</t>
    <phoneticPr fontId="2"/>
  </si>
  <si>
    <t>**shinsei_strtower15_KOUJI_TEXT</t>
  </si>
  <si>
    <t>**shinsei_strtower06_KOUZOU_TEXT</t>
  </si>
  <si>
    <t>cst_shinsei_strtower06_KOUZOU_TEXT</t>
    <phoneticPr fontId="2"/>
  </si>
  <si>
    <t>**shinsei_strtower06_KOUZOU_KEISAN</t>
  </si>
  <si>
    <t>cst_shinsei_strtower06_KOUZOU_KEISAN</t>
    <phoneticPr fontId="2"/>
  </si>
  <si>
    <t>**shinsei_strtower06_KOUZOU_KEISAN_TEXT</t>
  </si>
  <si>
    <t>cst_shinsei_strtower06_KOUZOU_KEISAN_TEXT</t>
    <phoneticPr fontId="2"/>
  </si>
  <si>
    <t>延床面積</t>
    <phoneticPr fontId="2"/>
  </si>
  <si>
    <t>**shinsei_strtower06_MENSEKI</t>
  </si>
  <si>
    <t>cst_shinsei_strtower06_MENSEKI</t>
    <phoneticPr fontId="2"/>
  </si>
  <si>
    <t>cst_shinsei_strtower06_MENSEKI__dsp</t>
    <phoneticPr fontId="2"/>
  </si>
  <si>
    <t>**shinsei_strtower06_MAX_TAKASA</t>
  </si>
  <si>
    <t>cst_shinsei_strtower06_MAX_TAKASA</t>
    <phoneticPr fontId="2"/>
  </si>
  <si>
    <t>**shinsei_strtower06_MAX_NOKI_TAKASA</t>
  </si>
  <si>
    <t>cst_shinsei_strtower06_MAX_NOKI_TAKASA</t>
    <phoneticPr fontId="2"/>
  </si>
  <si>
    <t>**shinsei_strtower06_KAISU_TIJYOU</t>
  </si>
  <si>
    <t>cst_shinsei_strtower06_KAISU_TIJYOU</t>
    <phoneticPr fontId="2"/>
  </si>
  <si>
    <t xml:space="preserve">#,##0_ </t>
    <phoneticPr fontId="2"/>
  </si>
  <si>
    <t>**shinsei_strtower06_KAISU_TIKA</t>
  </si>
  <si>
    <t>cst_shinsei_strtower06_KAISU_TIKA</t>
    <phoneticPr fontId="2"/>
  </si>
  <si>
    <t>**shinsei_strtower06_KAISU_TOUYA</t>
  </si>
  <si>
    <t>cst_shinsei_strtower06_KAISU_TOUYA</t>
    <phoneticPr fontId="2"/>
  </si>
  <si>
    <t>**shinsei_strtower06_BUILD_KUBUN</t>
  </si>
  <si>
    <t>cst_shinsei_strtower06_BUILD_KUBUN</t>
    <phoneticPr fontId="2"/>
  </si>
  <si>
    <t>**shinsei_strtower06_BUILD_KUBUN_TEXT</t>
  </si>
  <si>
    <t>cst_shinsei_strtower06_BUILD_KUBUN_TEXT</t>
    <phoneticPr fontId="2"/>
  </si>
  <si>
    <t>cst_shinsei_strtower06_HOU20_2_select</t>
    <phoneticPr fontId="2"/>
  </si>
  <si>
    <t>cst_shinsei_strtower06_HOU20_3_select</t>
    <phoneticPr fontId="2"/>
  </si>
  <si>
    <t>構造計算免除の規定</t>
    <phoneticPr fontId="2"/>
  </si>
  <si>
    <t>**shinsei_strtower06_MENJYO_TEXT</t>
  </si>
  <si>
    <t>cst_shinsei_strtower06_MENJYO</t>
    <phoneticPr fontId="2"/>
  </si>
  <si>
    <t>**shinsei_strtower06_PROGRAM_KIND</t>
  </si>
  <si>
    <t>cst_shinsei_strtower06_PROGRAM_KIND</t>
    <phoneticPr fontId="2"/>
  </si>
  <si>
    <t>**shinsei_strtower06_REI80_2_KOKUJI_TEXT</t>
  </si>
  <si>
    <t>cst_shinsei_strtower06_REI80_2_KOKUJI</t>
    <phoneticPr fontId="2"/>
  </si>
  <si>
    <t>**shinsei_strtower06_PROGRAM_KIND__nintei__box</t>
  </si>
  <si>
    <t>cst_shinsei_strtower06_NINTEI</t>
    <phoneticPr fontId="2"/>
  </si>
  <si>
    <t>**shinsei_strtower06_PROGRAM_KIND__hyouka__box</t>
  </si>
  <si>
    <t>**shinsei_strtower06_PROGRAM_KIND__sonota__box</t>
  </si>
  <si>
    <t>**shinsei_strtower06_prgo01_NAME</t>
  </si>
  <si>
    <t>cst_shinsei_strtower06_prgo01_NAME</t>
    <phoneticPr fontId="2"/>
  </si>
  <si>
    <t>**shinsei_strtower06_prgo01_VER</t>
  </si>
  <si>
    <t>cst_shinsei_strtower06_prgo01_VER</t>
    <phoneticPr fontId="2"/>
  </si>
  <si>
    <t>cst_shinsei_strtower06_prgo01_NINTEI__umu</t>
    <phoneticPr fontId="2"/>
  </si>
  <si>
    <t>**shinsei_strtower06_prgo01_NINTEI_NO</t>
  </si>
  <si>
    <t>cst_shinsei_strtower06_prgo01_NINTEI_NO</t>
    <phoneticPr fontId="2"/>
  </si>
  <si>
    <t>**shinsei_strtower06_prgo01_NINTEI_DATE</t>
  </si>
  <si>
    <t>cst_shinsei_strtower06_prgo01_NINTEI_DATE</t>
    <phoneticPr fontId="2"/>
  </si>
  <si>
    <t>**shinsei_strtower06_prgo01_MAKER_NAME</t>
  </si>
  <si>
    <t>cst_shinsei_strtower06_prgo01_NAME_VER</t>
    <phoneticPr fontId="2"/>
  </si>
  <si>
    <t>cst_shinsei_strtower06_prgo01_NAME_VER__SP</t>
    <phoneticPr fontId="2"/>
  </si>
  <si>
    <t>cst_shinsei_strtower06_prgo01_MAKER__NINTEI_ari</t>
    <phoneticPr fontId="2"/>
  </si>
  <si>
    <t>cst_shinsei_strtower06_prgo01_NAME_VER__NINTEI_ari</t>
    <phoneticPr fontId="2"/>
  </si>
  <si>
    <t xml:space="preserve"> - メーカー(SP)</t>
    <phoneticPr fontId="2"/>
  </si>
  <si>
    <t>cst_shinsei_strtower06_prgo01_MAKER__NINTEI_non</t>
    <phoneticPr fontId="2"/>
  </si>
  <si>
    <t>cst_shinsei_strtower06_prgo01_NAME_VER__NINTEI_non</t>
    <phoneticPr fontId="2"/>
  </si>
  <si>
    <t>プログラム02</t>
    <phoneticPr fontId="2"/>
  </si>
  <si>
    <t>**shinsei_strtower06_prgo02_NAME</t>
  </si>
  <si>
    <t xml:space="preserve"> - バージョン</t>
    <phoneticPr fontId="2"/>
  </si>
  <si>
    <t>**shinsei_strtower06_prgo02_VER</t>
  </si>
  <si>
    <t>cst_shinsei_strtower06_prgo02_NINTEI__umu</t>
    <phoneticPr fontId="2"/>
  </si>
  <si>
    <t>**shinsei_strtower06_prgo02_NINTEI_NO</t>
  </si>
  <si>
    <t>**shinsei_strtower06_prgo02_NINTEI_DATE</t>
  </si>
  <si>
    <t>cst_shinsei_strtower06_prgo02_NINTEI_DATE</t>
    <phoneticPr fontId="2"/>
  </si>
  <si>
    <t>**shinsei_strtower06_prgo02_MAKER_NAME</t>
  </si>
  <si>
    <t>cst_shinsei_strtower06_prgo02_NAME_VER</t>
    <phoneticPr fontId="2"/>
  </si>
  <si>
    <t>cst_shinsei_strtower06_prgo02_NAME_VER__SP</t>
    <phoneticPr fontId="2"/>
  </si>
  <si>
    <t>cst_shinsei_strtower06_prgo02_MAKER__NINTEI_ari</t>
    <phoneticPr fontId="2"/>
  </si>
  <si>
    <t>cst_shinsei_strtower06_prgo02_NAME_VER__NINTEI_ari</t>
    <phoneticPr fontId="2"/>
  </si>
  <si>
    <t xml:space="preserve"> - メーカー(SP)</t>
    <phoneticPr fontId="2"/>
  </si>
  <si>
    <t>cst_shinsei_strtower06_prgo02_MAKER__NINTEI_non</t>
    <phoneticPr fontId="2"/>
  </si>
  <si>
    <t>cst_shinsei_strtower06_prgo02_NAME_VER__NINTEI_non</t>
    <phoneticPr fontId="2"/>
  </si>
  <si>
    <t>プログラム03</t>
    <phoneticPr fontId="2"/>
  </si>
  <si>
    <t>**shinsei_strtower06_prgo03_NAME</t>
  </si>
  <si>
    <t xml:space="preserve"> - バージョン</t>
    <phoneticPr fontId="2"/>
  </si>
  <si>
    <t>**shinsei_strtower06_prgo03_VER</t>
  </si>
  <si>
    <t>cst_shinsei_strtower06_prgo03_NINTEI__umu</t>
    <phoneticPr fontId="2"/>
  </si>
  <si>
    <t>**shinsei_strtower06_prgo03_NINTEI_NO</t>
  </si>
  <si>
    <t>**shinsei_strtower06_prgo03_NINTEI_DATE</t>
  </si>
  <si>
    <t>cst_shinsei_strtower06_prgo03_NINTEI_DATE_dsp</t>
    <phoneticPr fontId="2"/>
  </si>
  <si>
    <t>**shinsei_strtower06_prgo03_MAKER_NAME</t>
  </si>
  <si>
    <t>cst_shinsei_strtower06_prgo03_NAME_VER</t>
    <phoneticPr fontId="2"/>
  </si>
  <si>
    <t>cst_shinsei_strtower06_prgo03_NAME_VER__SP</t>
    <phoneticPr fontId="2"/>
  </si>
  <si>
    <t>cst_shinsei_strtower06_prgo03_MAKER__NINTEI_ari</t>
    <phoneticPr fontId="2"/>
  </si>
  <si>
    <t>cst_shinsei_strtower06_prgo03_NAME_VER__NINTEI_ari</t>
    <phoneticPr fontId="2"/>
  </si>
  <si>
    <t>cst_shinsei_strtower06_prgo03_MAKER__NINTEI_non</t>
    <phoneticPr fontId="2"/>
  </si>
  <si>
    <t>cst_shinsei_strtower06_prgo03_NAME_VER__NINTEI_non</t>
    <phoneticPr fontId="2"/>
  </si>
  <si>
    <t>**shinsei_strtower06_prgo04_NAME</t>
  </si>
  <si>
    <t>**shinsei_strtower06_prgo04_VER</t>
  </si>
  <si>
    <t>cst_shinsei_strtower06_prgo04_NINTEI__umu</t>
    <phoneticPr fontId="2"/>
  </si>
  <si>
    <t>**shinsei_strtower06_prgo04_NINTEI_NO</t>
  </si>
  <si>
    <t>**shinsei_strtower06_prgo04_NINTEI_DATE</t>
  </si>
  <si>
    <t>cst_shinsei_strtower06_prgo04_NINTEI_DATE_dsp</t>
    <phoneticPr fontId="2"/>
  </si>
  <si>
    <t xml:space="preserve"> - メーカー</t>
    <phoneticPr fontId="2"/>
  </si>
  <si>
    <t>**shinsei_strtower06_prgo04_MAKER_NAME</t>
  </si>
  <si>
    <t>cst_shinsei_strtower06_prgo04_NAME_VER</t>
    <phoneticPr fontId="2"/>
  </si>
  <si>
    <t>cst_shinsei_strtower06_prgo04_NAME_VER__SP</t>
    <phoneticPr fontId="2"/>
  </si>
  <si>
    <t>cst_shinsei_strtower06_prgo04_MAKER__NINTEI_ari</t>
    <phoneticPr fontId="2"/>
  </si>
  <si>
    <t>cst_shinsei_strtower06_prgo04_NAME_VER__NINTEI_ari</t>
    <phoneticPr fontId="2"/>
  </si>
  <si>
    <t>cst_shinsei_strtower06_prgo04_MAKER__NINTEI_non</t>
    <phoneticPr fontId="2"/>
  </si>
  <si>
    <t>cst_shinsei_strtower06_prgo04_NAME_VER__NINTEI_non</t>
    <phoneticPr fontId="2"/>
  </si>
  <si>
    <t>プログラム05</t>
    <phoneticPr fontId="2"/>
  </si>
  <si>
    <t>**shinsei_strtower06_prgo05_NAME</t>
  </si>
  <si>
    <t>**shinsei_strtower06_prgo05_VER</t>
  </si>
  <si>
    <t>cst_shinsei_strtower06_prgo05_NINTEI__umu</t>
    <phoneticPr fontId="2"/>
  </si>
  <si>
    <t>**shinsei_strtower06_prgo05_NINTEI_NO</t>
  </si>
  <si>
    <t>**shinsei_strtower06_prgo05_NINTEI_DATE</t>
  </si>
  <si>
    <t>cst_shinsei_strtower06_prgo05_NINTEI_DATE_dsp</t>
    <phoneticPr fontId="2"/>
  </si>
  <si>
    <t>**shinsei_strtower06_prgo05_MAKER_NAME</t>
  </si>
  <si>
    <t>cst_shinsei_strtower06_prgo05_NAME_VER</t>
    <phoneticPr fontId="2"/>
  </si>
  <si>
    <t>cst_shinsei_strtower06_prgo05_NAME_VER__SP</t>
    <phoneticPr fontId="2"/>
  </si>
  <si>
    <t>cst_shinsei_strtower06_prgo05_MAKER__NINTEI_ari</t>
    <phoneticPr fontId="2"/>
  </si>
  <si>
    <t>cst_shinsei_strtower06_prgo05_NAME_VER__NINTEI_ari</t>
    <phoneticPr fontId="2"/>
  </si>
  <si>
    <t>cst_shinsei_strtower06_prgo05_MAKER__NINTEI_non</t>
    <phoneticPr fontId="2"/>
  </si>
  <si>
    <t>cst_shinsei_strtower06_prgo05_NAME_VER__NINTEI_non</t>
    <phoneticPr fontId="2"/>
  </si>
  <si>
    <t>cst_shinsei_strtower06_PROG_NAME_VER__CHAR</t>
    <phoneticPr fontId="2"/>
  </si>
  <si>
    <t>cst_shinsei_strtower06_PROG_NAME_VER__CHAR__SP</t>
    <phoneticPr fontId="2"/>
  </si>
  <si>
    <t>cst_shinsei_strtower06_PROG_MAKER__NINTEI_ari_SP</t>
    <phoneticPr fontId="2"/>
  </si>
  <si>
    <t>cst_shinsei_strtower06_PROG_NAME_VER__NINTEI_ari_SP</t>
    <phoneticPr fontId="2"/>
  </si>
  <si>
    <t>cst_shinsei_strtower06_PROG_NINTEI_DATE_SP</t>
    <phoneticPr fontId="2"/>
  </si>
  <si>
    <t>cst_shinsei_strtower06_PROG_MAKER__NINTEI_no_SP</t>
    <phoneticPr fontId="2"/>
  </si>
  <si>
    <t>cst_shinsei_strtower06_PROG_NAME_VER__NINTEI_non_SP</t>
    <phoneticPr fontId="2"/>
  </si>
  <si>
    <t>**shinsei_strtower06_DISK_FLAG</t>
  </si>
  <si>
    <t>cst_shinsei_strtower06_DISK_FLAG</t>
    <phoneticPr fontId="2"/>
  </si>
  <si>
    <t>**shinsei_strtower06_CHARGE</t>
  </si>
  <si>
    <t>cst_shinsei_strtower06_CHARGE</t>
    <phoneticPr fontId="2"/>
  </si>
  <si>
    <t>cst_shinsei_strtower06_CHARGE__dsp</t>
    <phoneticPr fontId="2"/>
  </si>
  <si>
    <t>**shinsei_strtower06_CHARGE_WARIMASHI</t>
  </si>
  <si>
    <t>cst_shinsei_strtower06_CHARGE_WARIMASHI</t>
    <phoneticPr fontId="2"/>
  </si>
  <si>
    <t>**shinsei_strtower06_CHARGE_TOTAL</t>
  </si>
  <si>
    <t>cst_shinsei_strtower06_CHARGE_TOTAL</t>
    <phoneticPr fontId="2"/>
  </si>
  <si>
    <t>**shinsei_strtower06_CHARGE_KEISAN_NOTE</t>
  </si>
  <si>
    <t>cst_shinsei_strtower06_CHARGE_KEISAN_NOTE</t>
    <phoneticPr fontId="2"/>
  </si>
  <si>
    <t>cst_shinsei_strtower06_CHARGE_KEISAN_NOTE__alter</t>
    <phoneticPr fontId="2"/>
  </si>
  <si>
    <t>**shinsei_strtower06_KEISAN_X_ROUTE</t>
  </si>
  <si>
    <t>cst_shinsei_strtower06_KEISAN_X_ROUTE</t>
    <phoneticPr fontId="2"/>
  </si>
  <si>
    <t>**shinsei_strtower06_KEISAN_Y_ROUTE</t>
  </si>
  <si>
    <t>cst_shinsei_strtower06_KEISAN_Y_ROUTE</t>
    <phoneticPr fontId="2"/>
  </si>
  <si>
    <t>cst_shinsei_strtower06_XY_select</t>
    <phoneticPr fontId="2"/>
  </si>
  <si>
    <t>**shinsei_strtower06_PROGRAM_KIND_SONOTA</t>
  </si>
  <si>
    <t>cst_shinsei_strtower06_PROGRAM_KIND_SONOTA</t>
    <phoneticPr fontId="2"/>
  </si>
  <si>
    <t>棟別情報7</t>
    <rPh sb="0" eb="1">
      <t>トウ</t>
    </rPh>
    <rPh sb="1" eb="2">
      <t>ベツ</t>
    </rPh>
    <rPh sb="2" eb="4">
      <t>ジョウホウ</t>
    </rPh>
    <phoneticPr fontId="2"/>
  </si>
  <si>
    <t>**shinsei_strtower07_TOWER_NO</t>
  </si>
  <si>
    <t>cst_shinsei_strtower07_TOWER_NO</t>
    <phoneticPr fontId="2"/>
  </si>
  <si>
    <t>**shinsei_strtower07_STR_TOWER_NO</t>
  </si>
  <si>
    <t>cst_shinsei_strtower07_STR_TOWER_NO</t>
    <phoneticPr fontId="2"/>
  </si>
  <si>
    <t>cst_shinsei_strtower07__TOWER_NO_STR_TOWER_NO</t>
    <phoneticPr fontId="2"/>
  </si>
  <si>
    <t>cst_shinsei_strtower07__TOWER_NO_STR_TOWERS</t>
    <phoneticPr fontId="2"/>
  </si>
  <si>
    <t>**shinsei_strtower07_STR_TOWER_NAME</t>
  </si>
  <si>
    <t>cst_shinsei_strtower07_STR_TOWER_NAME</t>
    <phoneticPr fontId="2"/>
  </si>
  <si>
    <t>**shinsei_strtower07_JUDGE</t>
  </si>
  <si>
    <t>cst_shinsei_strtower07_JUDGE</t>
    <phoneticPr fontId="2"/>
  </si>
  <si>
    <t>1：有, 0：無</t>
    <phoneticPr fontId="2"/>
  </si>
  <si>
    <t>**shinsei_strtower07_STR_TOWER_YOUTO_TEXT</t>
  </si>
  <si>
    <t>cst_shinsei_strtower07_STR_TOWER_YOUTO_TEXT</t>
    <phoneticPr fontId="2"/>
  </si>
  <si>
    <t>**shinsei_strtower07_KOUJI_TEXT</t>
  </si>
  <si>
    <t>cst_shinsei_strtower07_KOUJI_TEXT</t>
    <phoneticPr fontId="2"/>
  </si>
  <si>
    <t>text</t>
    <phoneticPr fontId="2"/>
  </si>
  <si>
    <t>構造</t>
    <phoneticPr fontId="2"/>
  </si>
  <si>
    <t>**shinsei_strtower07_KOUZOU</t>
  </si>
  <si>
    <t>cst_shinsei_strtower07_KOUZOU</t>
    <phoneticPr fontId="2"/>
  </si>
  <si>
    <t>**shinsei_strtower07_KOUZOU_TEXT</t>
  </si>
  <si>
    <t>cst_shinsei_strtower07_KOUZOU_TEXT</t>
    <phoneticPr fontId="2"/>
  </si>
  <si>
    <t>**shinsei_strtower07_KOUZOU_KEISAN</t>
  </si>
  <si>
    <t>cst_shinsei_strtower07_KOUZOU_KEISAN</t>
    <phoneticPr fontId="2"/>
  </si>
  <si>
    <t>**shinsei_strtower07_KOUZOU_KEISAN_TEXT</t>
  </si>
  <si>
    <t>cst_shinsei_strtower07_KOUZOU_KEISAN_TEXT</t>
    <phoneticPr fontId="2"/>
  </si>
  <si>
    <t>延床面積</t>
    <phoneticPr fontId="2"/>
  </si>
  <si>
    <t>**shinsei_strtower07_MENSEKI</t>
  </si>
  <si>
    <t>cst_shinsei_strtower07_MENSEKI</t>
    <phoneticPr fontId="2"/>
  </si>
  <si>
    <t>cst_shinsei_strtower07_MENSEKI__dsp</t>
    <phoneticPr fontId="2"/>
  </si>
  <si>
    <t>**shinsei_strtower07_MAX_TAKASA</t>
  </si>
  <si>
    <t>cst_shinsei_strtower07_MAX_TAKASA</t>
    <phoneticPr fontId="2"/>
  </si>
  <si>
    <t>**shinsei_strtower07_MAX_NOKI_TAKASA</t>
  </si>
  <si>
    <t>cst_shinsei_strtower07_MAX_NOKI_TAKASA</t>
    <phoneticPr fontId="2"/>
  </si>
  <si>
    <t>**shinsei_strtower07_KAISU_TIJYOU</t>
  </si>
  <si>
    <t>cst_shinsei_strtower07_KAISU_TIJYOU</t>
    <phoneticPr fontId="2"/>
  </si>
  <si>
    <t xml:space="preserve">#,##0_ </t>
    <phoneticPr fontId="2"/>
  </si>
  <si>
    <t>**shinsei_strtower07_KAISU_TIKA</t>
  </si>
  <si>
    <t>cst_shinsei_strtower07_KAISU_TIKA</t>
    <phoneticPr fontId="2"/>
  </si>
  <si>
    <t>**shinsei_strtower07_KAISU_TOUYA</t>
  </si>
  <si>
    <t>cst_shinsei_strtower07_KAISU_TOUYA</t>
    <phoneticPr fontId="2"/>
  </si>
  <si>
    <t>**shinsei_strtower07_BUILD_KUBUN</t>
  </si>
  <si>
    <t>cst_shinsei_strtower07_BUILD_KUBUN</t>
    <phoneticPr fontId="2"/>
  </si>
  <si>
    <t>**shinsei_strtower07_BUILD_KUBUN_TEXT</t>
  </si>
  <si>
    <t>cst_shinsei_strtower07_BUILD_KUBUN_TEXT</t>
    <phoneticPr fontId="2"/>
  </si>
  <si>
    <t>text</t>
    <phoneticPr fontId="2"/>
  </si>
  <si>
    <t>cst_shinsei_strtower07_HOU20_2_select</t>
    <phoneticPr fontId="2"/>
  </si>
  <si>
    <t>cst_shinsei_strtower07_HOU20_3_select</t>
    <phoneticPr fontId="2"/>
  </si>
  <si>
    <t>構造計算免除の規定</t>
    <phoneticPr fontId="2"/>
  </si>
  <si>
    <t>**shinsei_strtower07_MENJYO_TEXT</t>
  </si>
  <si>
    <t>cst_shinsei_strtower07_MENJYO</t>
    <phoneticPr fontId="2"/>
  </si>
  <si>
    <t>**shinsei_strtower07_PROGRAM_KIND</t>
  </si>
  <si>
    <t>cst_shinsei_strtower07_PROGRAM_KIND</t>
    <phoneticPr fontId="2"/>
  </si>
  <si>
    <t>**shinsei_strtower07_REI80_2_KOKUJI_TEXT</t>
  </si>
  <si>
    <t>cst_shinsei_strtower07_REI80_2_KOKUJI</t>
    <phoneticPr fontId="2"/>
  </si>
  <si>
    <t>**shinsei_strtower07_PROGRAM_KIND__nintei__box</t>
  </si>
  <si>
    <t>cst_shinsei_strtower07_NINTEI</t>
    <phoneticPr fontId="2"/>
  </si>
  <si>
    <t>**shinsei_strtower07_PROGRAM_KIND__hyouka__box</t>
  </si>
  <si>
    <t>**shinsei_strtower07_PROGRAM_KIND__sonota__box</t>
  </si>
  <si>
    <t>**shinsei_strtower07_prgo01_NAME</t>
  </si>
  <si>
    <t>cst_shinsei_strtower07_prgo01_NAME</t>
    <phoneticPr fontId="2"/>
  </si>
  <si>
    <t>**shinsei_strtower07_prgo01_VER</t>
  </si>
  <si>
    <t>cst_shinsei_strtower07_prgo01_VER</t>
    <phoneticPr fontId="2"/>
  </si>
  <si>
    <t>cst_shinsei_strtower07_prgo01_NINTEI__umu</t>
    <phoneticPr fontId="2"/>
  </si>
  <si>
    <t>**shinsei_strtower07_prgo01_NINTEI_NO</t>
  </si>
  <si>
    <t>cst_shinsei_strtower07_prgo01_NINTEI_NO</t>
    <phoneticPr fontId="2"/>
  </si>
  <si>
    <t>**shinsei_strtower07_prgo01_NINTEI_DATE</t>
  </si>
  <si>
    <t>cst_shinsei_strtower07_prgo01_NINTEI_DATE</t>
    <phoneticPr fontId="2"/>
  </si>
  <si>
    <t>**shinsei_strtower07_prgo01_MAKER_NAME</t>
  </si>
  <si>
    <t>cst_shinsei_strtower07_prgo01_NAME_VER</t>
    <phoneticPr fontId="2"/>
  </si>
  <si>
    <t>cst_shinsei_strtower07_prgo01_NAME_VER__SP</t>
    <phoneticPr fontId="2"/>
  </si>
  <si>
    <t>cst_shinsei_strtower07_prgo01_MAKER__NINTEI_ari</t>
    <phoneticPr fontId="2"/>
  </si>
  <si>
    <t>cst_shinsei_strtower07_prgo01_NAME_VER__NINTEI_ari</t>
    <phoneticPr fontId="2"/>
  </si>
  <si>
    <t>cst_shinsei_strtower07_prgo01_MAKER__NINTEI_non</t>
    <phoneticPr fontId="2"/>
  </si>
  <si>
    <t>cst_shinsei_strtower07_prgo01_NAME_VER__NINTEI_non</t>
    <phoneticPr fontId="2"/>
  </si>
  <si>
    <t>プログラム02</t>
    <phoneticPr fontId="2"/>
  </si>
  <si>
    <t>**shinsei_strtower07_prgo02_NAME</t>
  </si>
  <si>
    <t>**shinsei_strtower07_prgo02_VER</t>
  </si>
  <si>
    <t>cst_shinsei_strtower07_prgo02_NINTEI__umu</t>
    <phoneticPr fontId="2"/>
  </si>
  <si>
    <t>**shinsei_strtower07_prgo02_NINTEI_NO</t>
  </si>
  <si>
    <t>**shinsei_strtower07_prgo02_NINTEI_DATE</t>
  </si>
  <si>
    <t>cst_shinsei_strtower07_prgo02_NINTEI_DATE</t>
    <phoneticPr fontId="2"/>
  </si>
  <si>
    <t>**shinsei_strtower07_prgo02_MAKER_NAME</t>
  </si>
  <si>
    <t>cst_shinsei_strtower07_prgo02_NAME_VER</t>
    <phoneticPr fontId="2"/>
  </si>
  <si>
    <t>cst_shinsei_strtower07_prgo02_NAME_VER__SP</t>
    <phoneticPr fontId="2"/>
  </si>
  <si>
    <t>cst_shinsei_strtower07_prgo02_MAKER__NINTEI_ari</t>
    <phoneticPr fontId="2"/>
  </si>
  <si>
    <t>cst_shinsei_strtower07_prgo02_NAME_VER__NINTEI_ari</t>
    <phoneticPr fontId="2"/>
  </si>
  <si>
    <t>cst_shinsei_strtower07_prgo02_MAKER__NINTEI_non</t>
    <phoneticPr fontId="2"/>
  </si>
  <si>
    <t>cst_shinsei_strtower07_prgo02_NAME_VER__NINTEI_non</t>
    <phoneticPr fontId="2"/>
  </si>
  <si>
    <t>プログラム03</t>
    <phoneticPr fontId="2"/>
  </si>
  <si>
    <t>**shinsei_strtower07_prgo03_NAME</t>
  </si>
  <si>
    <t xml:space="preserve"> - バージョン</t>
    <phoneticPr fontId="2"/>
  </si>
  <si>
    <t>**shinsei_strtower07_prgo03_VER</t>
  </si>
  <si>
    <t>cst_shinsei_strtower07_prgo03_NINTEI__umu</t>
    <phoneticPr fontId="2"/>
  </si>
  <si>
    <t>**shinsei_strtower07_prgo03_NINTEI_NO</t>
  </si>
  <si>
    <t>**shinsei_strtower07_prgo03_NINTEI_DATE</t>
  </si>
  <si>
    <t>cst_shinsei_strtower07_prgo03_NINTEI_DATE_dsp</t>
    <phoneticPr fontId="2"/>
  </si>
  <si>
    <t>**shinsei_strtower07_prgo03_MAKER_NAME</t>
  </si>
  <si>
    <t>cst_shinsei_strtower07_prgo03_NAME_VER</t>
    <phoneticPr fontId="2"/>
  </si>
  <si>
    <t>cst_shinsei_strtower07_prgo03_NAME_VER__SP</t>
    <phoneticPr fontId="2"/>
  </si>
  <si>
    <t>cst_shinsei_strtower07_prgo03_MAKER__NINTEI_ari</t>
    <phoneticPr fontId="2"/>
  </si>
  <si>
    <t>cst_shinsei_strtower07_prgo03_NAME_VER__NINTEI_ari</t>
    <phoneticPr fontId="2"/>
  </si>
  <si>
    <t xml:space="preserve"> - メーカー(SP)</t>
    <phoneticPr fontId="2"/>
  </si>
  <si>
    <t>cst_shinsei_strtower07_prgo03_MAKER__NINTEI_non</t>
    <phoneticPr fontId="2"/>
  </si>
  <si>
    <t>cst_shinsei_strtower07_prgo03_NAME_VER__NINTEI_non</t>
    <phoneticPr fontId="2"/>
  </si>
  <si>
    <t>プログラム04</t>
    <phoneticPr fontId="2"/>
  </si>
  <si>
    <t>**shinsei_strtower07_prgo04_NAME</t>
  </si>
  <si>
    <t>text</t>
    <phoneticPr fontId="2"/>
  </si>
  <si>
    <t xml:space="preserve"> - バージョン</t>
    <phoneticPr fontId="2"/>
  </si>
  <si>
    <t>**shinsei_strtower07_prgo04_VER</t>
  </si>
  <si>
    <t>cst_shinsei_strtower07_prgo04_NINTEI__umu</t>
    <phoneticPr fontId="2"/>
  </si>
  <si>
    <t>**shinsei_strtower07_prgo04_NINTEI_NO</t>
  </si>
  <si>
    <t>**shinsei_strtower07_prgo04_NINTEI_DATE</t>
  </si>
  <si>
    <t>cst_shinsei_strtower07_prgo04_NINTEI_DATE_dsp</t>
    <phoneticPr fontId="2"/>
  </si>
  <si>
    <t xml:space="preserve"> - メーカー</t>
    <phoneticPr fontId="2"/>
  </si>
  <si>
    <t>**shinsei_strtower07_prgo04_MAKER_NAME</t>
  </si>
  <si>
    <t>cst_shinsei_strtower07_prgo04_NAME_VER</t>
    <phoneticPr fontId="2"/>
  </si>
  <si>
    <t>cst_shinsei_strtower07_prgo04_NAME_VER__SP</t>
    <phoneticPr fontId="2"/>
  </si>
  <si>
    <t>cst_shinsei_strtower07_prgo04_MAKER__NINTEI_ari</t>
    <phoneticPr fontId="2"/>
  </si>
  <si>
    <t>cst_shinsei_strtower07_prgo04_NAME_VER__NINTEI_ari</t>
    <phoneticPr fontId="2"/>
  </si>
  <si>
    <t>cst_shinsei_strtower07_prgo04_MAKER__NINTEI_non</t>
    <phoneticPr fontId="2"/>
  </si>
  <si>
    <t>cst_shinsei_strtower07_prgo04_NAME_VER__NINTEI_non</t>
    <phoneticPr fontId="2"/>
  </si>
  <si>
    <t>**shinsei_strtower07_prgo05_NAME</t>
  </si>
  <si>
    <t>**shinsei_strtower07_prgo05_VER</t>
  </si>
  <si>
    <t>cst_shinsei_strtower07_prgo05_NINTEI__umu</t>
    <phoneticPr fontId="2"/>
  </si>
  <si>
    <t>**shinsei_strtower07_prgo05_NINTEI_NO</t>
  </si>
  <si>
    <t>**shinsei_strtower07_prgo05_NINTEI_DATE</t>
  </si>
  <si>
    <t>cst_shinsei_strtower07_prgo05_NINTEI_DATE_dsp</t>
    <phoneticPr fontId="2"/>
  </si>
  <si>
    <t>**shinsei_strtower07_prgo05_MAKER_NAME</t>
  </si>
  <si>
    <t>cst_shinsei_strtower07_prgo05_NAME_VER</t>
    <phoneticPr fontId="2"/>
  </si>
  <si>
    <t>cst_shinsei_strtower07_prgo05_NAME_VER__SP</t>
    <phoneticPr fontId="2"/>
  </si>
  <si>
    <t>cst_shinsei_strtower07_prgo05_MAKER__NINTEI_ari</t>
    <phoneticPr fontId="2"/>
  </si>
  <si>
    <t>cst_shinsei_strtower07_prgo05_NAME_VER__NINTEI_ari</t>
    <phoneticPr fontId="2"/>
  </si>
  <si>
    <t>cst_shinsei_strtower07_prgo05_MAKER__NINTEI_non</t>
    <phoneticPr fontId="2"/>
  </si>
  <si>
    <t>cst_shinsei_strtower07_prgo05_NAME_VER__NINTEI_non</t>
    <phoneticPr fontId="2"/>
  </si>
  <si>
    <t>cst_shinsei_strtower07_PROG_NAME_VER__CHAR</t>
    <phoneticPr fontId="2"/>
  </si>
  <si>
    <t>cst_shinsei_strtower07_PROG_NAME_VER__CHAR__SP</t>
    <phoneticPr fontId="2"/>
  </si>
  <si>
    <t>cst_shinsei_strtower07_PROG_MAKER__NINTEI_ari_SP</t>
    <phoneticPr fontId="2"/>
  </si>
  <si>
    <t>cst_shinsei_strtower07_PROG_NAME_VER__NINTEI_ari_SP</t>
    <phoneticPr fontId="2"/>
  </si>
  <si>
    <t>cst_shinsei_strtower07_PROG_NINTEI_DATE_SP</t>
    <phoneticPr fontId="2"/>
  </si>
  <si>
    <t>cst_shinsei_strtower07_PROG_MAKER__NINTEI_no_SP</t>
    <phoneticPr fontId="2"/>
  </si>
  <si>
    <t>cst_shinsei_strtower07_PROG_NAME_VER__NINTEI_non_SP</t>
    <phoneticPr fontId="2"/>
  </si>
  <si>
    <t>**shinsei_strtower07_DISK_FLAG</t>
  </si>
  <si>
    <t>cst_shinsei_strtower07_DISK_FLAG</t>
    <phoneticPr fontId="2"/>
  </si>
  <si>
    <t>**shinsei_strtower07_CHARGE</t>
  </si>
  <si>
    <t>cst_shinsei_strtower07_CHARGE</t>
    <phoneticPr fontId="2"/>
  </si>
  <si>
    <t>cst_shinsei_strtower07_CHARGE__dsp</t>
    <phoneticPr fontId="2"/>
  </si>
  <si>
    <t>**shinsei_strtower07_CHARGE_WARIMASHI</t>
  </si>
  <si>
    <t>cst_shinsei_strtower07_CHARGE_WARIMASHI</t>
    <phoneticPr fontId="2"/>
  </si>
  <si>
    <t>**shinsei_strtower07_CHARGE_TOTAL</t>
  </si>
  <si>
    <t>cst_shinsei_strtower07_CHARGE_TOTAL</t>
    <phoneticPr fontId="2"/>
  </si>
  <si>
    <t>**shinsei_strtower07_CHARGE_KEISAN_NOTE</t>
  </si>
  <si>
    <t>cst_shinsei_strtower07_CHARGE_KEISAN_NOTE</t>
    <phoneticPr fontId="2"/>
  </si>
  <si>
    <t>cst_shinsei_strtower07_CHARGE_KEISAN_NOTE__alter</t>
    <phoneticPr fontId="2"/>
  </si>
  <si>
    <t>**shinsei_strtower07_KEISAN_X_ROUTE</t>
  </si>
  <si>
    <t>cst_shinsei_strtower07_KEISAN_X_ROUTE</t>
    <phoneticPr fontId="2"/>
  </si>
  <si>
    <t>**shinsei_strtower07_KEISAN_Y_ROUTE</t>
  </si>
  <si>
    <t>cst_shinsei_strtower07_KEISAN_Y_ROUTE</t>
    <phoneticPr fontId="2"/>
  </si>
  <si>
    <t>cst_shinsei_strtower07_XY_select</t>
    <phoneticPr fontId="2"/>
  </si>
  <si>
    <t>**shinsei_strtower07_PROGRAM_KIND_SONOTA</t>
  </si>
  <si>
    <t>cst_shinsei_strtower07_PROGRAM_KIND_SONOTA</t>
    <phoneticPr fontId="2"/>
  </si>
  <si>
    <t>棟別情報8</t>
    <rPh sb="0" eb="1">
      <t>トウ</t>
    </rPh>
    <rPh sb="1" eb="2">
      <t>ベツ</t>
    </rPh>
    <rPh sb="2" eb="4">
      <t>ジョウホウ</t>
    </rPh>
    <phoneticPr fontId="2"/>
  </si>
  <si>
    <t>**shinsei_strtower08_TOWER_NO</t>
  </si>
  <si>
    <t>cst_shinsei_strtower08_TOWER_NO</t>
    <phoneticPr fontId="2"/>
  </si>
  <si>
    <t>**shinsei_strtower08_STR_TOWER_NO</t>
  </si>
  <si>
    <t>cst_shinsei_strtower08_STR_TOWER_NO</t>
    <phoneticPr fontId="2"/>
  </si>
  <si>
    <t>cst_shinsei_strtower08__TOWER_NO_STR_TOWER_NO</t>
    <phoneticPr fontId="2"/>
  </si>
  <si>
    <t>cst_shinsei_strtower08__TOWER_NO_STR_TOWERS</t>
    <phoneticPr fontId="2"/>
  </si>
  <si>
    <t>**shinsei_strtower08_STR_TOWER_NAME</t>
  </si>
  <si>
    <t>cst_shinsei_strtower08_STR_TOWER_NAME</t>
    <phoneticPr fontId="2"/>
  </si>
  <si>
    <t>**shinsei_strtower08_JUDGE</t>
  </si>
  <si>
    <t>cst_shinsei_strtower08_JUDGE</t>
    <phoneticPr fontId="2"/>
  </si>
  <si>
    <t>1：有, 0：無</t>
    <phoneticPr fontId="2"/>
  </si>
  <si>
    <t>**shinsei_strtower08_STR_TOWER_YOUTO_TEXT</t>
  </si>
  <si>
    <t>cst_shinsei_strtower08_STR_TOWER_YOUTO_TEXT</t>
    <phoneticPr fontId="2"/>
  </si>
  <si>
    <t>**shinsei_strtower08_KOUJI_TEXT</t>
  </si>
  <si>
    <t>cst_shinsei_strtower08_KOUJI_TEXT</t>
    <phoneticPr fontId="2"/>
  </si>
  <si>
    <t>構造</t>
    <phoneticPr fontId="2"/>
  </si>
  <si>
    <t>**shinsei_strtower08_KOUZOU</t>
  </si>
  <si>
    <t>cst_shinsei_strtower08_KOUZOU</t>
    <phoneticPr fontId="2"/>
  </si>
  <si>
    <t>**shinsei_strtower08_KOUZOU_TEXT</t>
  </si>
  <si>
    <t>cst_shinsei_strtower08_KOUZOU_TEXT</t>
    <phoneticPr fontId="2"/>
  </si>
  <si>
    <t>**shinsei_strtower08_KOUZOU_KEISAN</t>
  </si>
  <si>
    <t>cst_shinsei_strtower08_KOUZOU_KEISAN</t>
    <phoneticPr fontId="2"/>
  </si>
  <si>
    <t>**shinsei_strtower08_KOUZOU_KEISAN_TEXT</t>
  </si>
  <si>
    <t>cst_shinsei_strtower08_KOUZOU_KEISAN_TEXT</t>
    <phoneticPr fontId="2"/>
  </si>
  <si>
    <t>**shinsei_strtower08_MENSEKI</t>
  </si>
  <si>
    <t>cst_shinsei_strtower08_MENSEKI</t>
    <phoneticPr fontId="2"/>
  </si>
  <si>
    <t>cst_shinsei_strtower08_MENSEKI__dsp</t>
    <phoneticPr fontId="2"/>
  </si>
  <si>
    <t>**shinsei_strtower08_MAX_TAKASA</t>
  </si>
  <si>
    <t>cst_shinsei_strtower08_MAX_TAKASA</t>
    <phoneticPr fontId="2"/>
  </si>
  <si>
    <t>**shinsei_strtower08_MAX_NOKI_TAKASA</t>
  </si>
  <si>
    <t>cst_shinsei_strtower08_MAX_NOKI_TAKASA</t>
    <phoneticPr fontId="2"/>
  </si>
  <si>
    <t>**shinsei_strtower08_KAISU_TIJYOU</t>
  </si>
  <si>
    <t>cst_shinsei_strtower08_KAISU_TIJYOU</t>
    <phoneticPr fontId="2"/>
  </si>
  <si>
    <t>**shinsei_strtower08_KAISU_TIKA</t>
  </si>
  <si>
    <t>cst_shinsei_strtower17_MENJYO</t>
    <phoneticPr fontId="2"/>
  </si>
  <si>
    <t>**shinsei_strtower17_PROGRAM_KIND</t>
  </si>
  <si>
    <t>cst_shinsei_strtower17_PROGRAM_KIND</t>
    <phoneticPr fontId="2"/>
  </si>
  <si>
    <t>**shinsei_strtower17_REI80_2_KOKUJI_TEXT</t>
  </si>
  <si>
    <t>cst_shinsei_strtower17_REI80_2_KOKUJI</t>
    <phoneticPr fontId="2"/>
  </si>
  <si>
    <t>**shinsei_strtower17_PROGRAM_KIND__nintei__box</t>
  </si>
  <si>
    <t>cst_shinsei_strtower17_NINTEI</t>
    <phoneticPr fontId="2"/>
  </si>
  <si>
    <t>**shinsei_strtower17_PROGRAM_KIND__hyouka__box</t>
  </si>
  <si>
    <t>**shinsei_strtower17_PROGRAM_KIND__sonota__box</t>
  </si>
  <si>
    <t>**shinsei_strtower17_prgo01_NAME</t>
  </si>
  <si>
    <t>**shinsei_strtower17_prgo01_VER</t>
  </si>
  <si>
    <t>cst_shinsei_strtower17_prgo01_NINTEI__umu</t>
    <phoneticPr fontId="2"/>
  </si>
  <si>
    <t>**shinsei_strtower17_prgo01_NINTEI_NO</t>
  </si>
  <si>
    <t>cst_shinsei_strtower17_prgo01_NINTEI_NO</t>
    <phoneticPr fontId="2"/>
  </si>
  <si>
    <t>**shinsei_strtower17_prgo01_NINTEI_DATE</t>
  </si>
  <si>
    <t>**shinsei_strtower26_prgo03_MAKER_NAME</t>
  </si>
  <si>
    <t>cst_shinsei_strtower26_prgo03_NAME_VER</t>
    <phoneticPr fontId="2"/>
  </si>
  <si>
    <t>cst_shinsei_strtower26_prgo03_NAME_VER__SP</t>
    <phoneticPr fontId="2"/>
  </si>
  <si>
    <t>cst_shinsei_strtower26_prgo03_MAKER__NINTEI_ari</t>
    <phoneticPr fontId="2"/>
  </si>
  <si>
    <t>cst_shinsei_strtower26_prgo03_NAME_VER__NINTEI_ari</t>
    <phoneticPr fontId="2"/>
  </si>
  <si>
    <t>cst_shinsei_strtower26_prgo03_MAKER__NINTEI_non</t>
    <phoneticPr fontId="2"/>
  </si>
  <si>
    <t>cst_shinsei_strtower26_prgo03_NAME_VER__NINTEI_non</t>
    <phoneticPr fontId="2"/>
  </si>
  <si>
    <t>**shinsei_strtower26_prgo04_NAME</t>
  </si>
  <si>
    <t>**shinsei_strtower26_prgo04_VER</t>
  </si>
  <si>
    <t>cst_shinsei_strtower26_prgo04_NINTEI__umu</t>
    <phoneticPr fontId="2"/>
  </si>
  <si>
    <t>**shinsei_strtower26_prgo04_NINTEI_NO</t>
  </si>
  <si>
    <t>**shinsei_strtower26_prgo04_NINTEI_DATE</t>
  </si>
  <si>
    <t>cst_shinsei_strtower26_prgo04_NINTEI_DATE_dsp</t>
    <phoneticPr fontId="2"/>
  </si>
  <si>
    <t>**shinsei_strtower26_prgo04_MAKER_NAME</t>
  </si>
  <si>
    <t>cst_shinsei_strtower26_prgo04_NAME_VER</t>
    <phoneticPr fontId="2"/>
  </si>
  <si>
    <t>cst_shinsei_strtower26_prgo04_NAME_VER__SP</t>
    <phoneticPr fontId="2"/>
  </si>
  <si>
    <t>cst_shinsei_strtower26_prgo04_MAKER__NINTEI_ari</t>
    <phoneticPr fontId="2"/>
  </si>
  <si>
    <t>cst_shinsei_strtower26_prgo04_NAME_VER__NINTEI_ari</t>
    <phoneticPr fontId="2"/>
  </si>
  <si>
    <t>cst_shinsei_strtower17_prgo02_NAME_VER__NINTEI_ari</t>
    <phoneticPr fontId="2"/>
  </si>
  <si>
    <t>cst_shinsei_strtower17_prgo02_MAKER__NINTEI_non</t>
    <phoneticPr fontId="2"/>
  </si>
  <si>
    <t>cst_shinsei_strtower17_prgo02_NAME_VER__NINTEI_non</t>
    <phoneticPr fontId="2"/>
  </si>
  <si>
    <t>**shinsei_strtower17_prgo03_NAME</t>
  </si>
  <si>
    <t>**shinsei_strtower17_prgo03_VER</t>
  </si>
  <si>
    <t>cst_shinsei_strtower17_prgo03_NINTEI__umu</t>
    <phoneticPr fontId="2"/>
  </si>
  <si>
    <t>**shinsei_strtower17_prgo03_NINTEI_NO</t>
  </si>
  <si>
    <t>**shinsei_strtower17_prgo03_NINTEI_DATE</t>
  </si>
  <si>
    <t>cst_shinsei_strtower17_prgo03_NINTEI_DATE_dsp</t>
    <phoneticPr fontId="2"/>
  </si>
  <si>
    <t>**shinsei_strtower17_prgo03_MAKER_NAME</t>
  </si>
  <si>
    <t>cst_shinsei_strtower17_prgo03_NAME_VER</t>
    <phoneticPr fontId="2"/>
  </si>
  <si>
    <t>cst_shinsei_strtower17_prgo03_NAME_VER__SP</t>
    <phoneticPr fontId="2"/>
  </si>
  <si>
    <t>cst_shinsei_strtower17_prgo03_MAKER__NINTEI_ari</t>
    <phoneticPr fontId="2"/>
  </si>
  <si>
    <t>cst_shinsei_strtower17_prgo03_NAME_VER__NINTEI_ari</t>
    <phoneticPr fontId="2"/>
  </si>
  <si>
    <t>cst_shinsei_strtower17_prgo03_MAKER__NINTEI_non</t>
    <phoneticPr fontId="2"/>
  </si>
  <si>
    <t>cst_shinsei_strtower17_prgo03_NAME_VER__NINTEI_non</t>
    <phoneticPr fontId="2"/>
  </si>
  <si>
    <t>**shinsei_strtower17_prgo04_NAME</t>
  </si>
  <si>
    <t>**shinsei_strtower17_prgo04_VER</t>
  </si>
  <si>
    <t>cst_shinsei_strtower17_prgo04_NINTEI__umu</t>
    <phoneticPr fontId="2"/>
  </si>
  <si>
    <t>**shinsei_strtower17_prgo04_NINTEI_NO</t>
  </si>
  <si>
    <t>**shinsei_strtower17_prgo04_NINTEI_DATE</t>
  </si>
  <si>
    <t>cst_shinsei_strtower17_prgo04_NINTEI_DATE_dsp</t>
    <phoneticPr fontId="2"/>
  </si>
  <si>
    <t>**shinsei_strtower17_prgo04_MAKER_NAME</t>
  </si>
  <si>
    <t>cst_shinsei_strtower17_prgo04_NAME_VER</t>
    <phoneticPr fontId="2"/>
  </si>
  <si>
    <t>cst_shinsei_strtower17_prgo04_NAME_VER__SP</t>
    <phoneticPr fontId="2"/>
  </si>
  <si>
    <t>cst_shinsei_strtower17_prgo04_MAKER__NINTEI_ari</t>
    <phoneticPr fontId="2"/>
  </si>
  <si>
    <t>cst_shinsei_strtower17_prgo04_NAME_VER__NINTEI_ari</t>
    <phoneticPr fontId="2"/>
  </si>
  <si>
    <t>cst_shinsei_strtower17_prgo04_MAKER__NINTEI_non</t>
    <phoneticPr fontId="2"/>
  </si>
  <si>
    <t>cst_shinsei_strtower17_prgo04_NAME_VER__NINTEI_non</t>
    <phoneticPr fontId="2"/>
  </si>
  <si>
    <t>**shinsei_strtower17_prgo05_NAME</t>
  </si>
  <si>
    <t>**shinsei_strtower17_prgo05_VER</t>
  </si>
  <si>
    <t>cst_shinsei_strtower17_prgo05_NINTEI__umu</t>
    <phoneticPr fontId="2"/>
  </si>
  <si>
    <t>**shinsei_strtower17_prgo05_NINTEI_NO</t>
  </si>
  <si>
    <t>**shinsei_strtower17_prgo05_NINTEI_DATE</t>
  </si>
  <si>
    <t>cst_shinsei_strtower17_prgo05_NINTEI_DATE_dsp</t>
    <phoneticPr fontId="2"/>
  </si>
  <si>
    <t>**shinsei_strtower17_prgo05_MAKER_NAME</t>
  </si>
  <si>
    <t>cst_shinsei_strtower17_prgo05_NAME_VER</t>
    <phoneticPr fontId="2"/>
  </si>
  <si>
    <t>cst_shinsei_strtower17_prgo05_NAME_VER__SP</t>
    <phoneticPr fontId="2"/>
  </si>
  <si>
    <t>cst_shinsei_strtower17_prgo05_MAKER__NINTEI_ari</t>
    <phoneticPr fontId="2"/>
  </si>
  <si>
    <t>cst_shinsei_strtower17_prgo05_NAME_VER__NINTEI_ari</t>
    <phoneticPr fontId="2"/>
  </si>
  <si>
    <t>cst_shinsei_strtower17_prgo05_MAKER__NINTEI_non</t>
    <phoneticPr fontId="2"/>
  </si>
  <si>
    <t>cst_shinsei_strtower17_prgo05_NAME_VER__NINTEI_non</t>
    <phoneticPr fontId="2"/>
  </si>
  <si>
    <t>cst_shinsei_strtower17_PROG_NAME_VER__CHAR</t>
    <phoneticPr fontId="2"/>
  </si>
  <si>
    <t>cst_shinsei_strtower17_PROG_NAME_VER__CHAR__SP</t>
    <phoneticPr fontId="2"/>
  </si>
  <si>
    <t>cst_shinsei_strtower17_PROG_MAKER__NINTEI_ari_SP</t>
    <phoneticPr fontId="2"/>
  </si>
  <si>
    <t>cst_shinsei_strtower17_PROG_NAME_VER__NINTEI_ari_SP</t>
    <phoneticPr fontId="2"/>
  </si>
  <si>
    <t>cst_shinsei_strtower17_PROG_NINTEI_DATE_SP</t>
    <phoneticPr fontId="2"/>
  </si>
  <si>
    <t>cst_shinsei_strtower17_PROG_MAKER__NINTEI_no_SP</t>
    <phoneticPr fontId="2"/>
  </si>
  <si>
    <t>cst_shinsei_strtower17_PROG_NAME_VER__NINTEI_non_SP</t>
    <phoneticPr fontId="2"/>
  </si>
  <si>
    <t>**shinsei_strtower17_DISK_FLAG</t>
  </si>
  <si>
    <t>cst_shinsei_strtower17_DISK_FLAG</t>
    <phoneticPr fontId="2"/>
  </si>
  <si>
    <t>**shinsei_strtower17_CHARGE</t>
  </si>
  <si>
    <t>cst_shinsei_strtower17_CHARGE</t>
    <phoneticPr fontId="2"/>
  </si>
  <si>
    <t>cst_shinsei_strtower17_CHARGE__dsp</t>
    <phoneticPr fontId="2"/>
  </si>
  <si>
    <t>**shinsei_strtower17_CHARGE_WARIMASHI</t>
  </si>
  <si>
    <t>cst_shinsei_strtower17_CHARGE_WARIMASHI</t>
    <phoneticPr fontId="2"/>
  </si>
  <si>
    <t>**shinsei_strtower17_CHARGE_TOTAL</t>
  </si>
  <si>
    <t>cst_shinsei_strtower17_CHARGE_TOTAL</t>
    <phoneticPr fontId="2"/>
  </si>
  <si>
    <t>**shinsei_strtower17_CHARGE_KEISAN_NOTE</t>
  </si>
  <si>
    <t>cst_shinsei_strtower17_CHARGE_KEISAN_NOTE</t>
    <phoneticPr fontId="2"/>
  </si>
  <si>
    <t>cst_shinsei_strtower17_CHARGE_KEISAN_NOTE__alter</t>
    <phoneticPr fontId="2"/>
  </si>
  <si>
    <t>**shinsei_strtower17_KEISAN_X_ROUTE</t>
  </si>
  <si>
    <t>cst_shinsei_strtower17_KEISAN_X_ROUTE</t>
    <phoneticPr fontId="2"/>
  </si>
  <si>
    <t>**shinsei_strtower17_KEISAN_Y_ROUTE</t>
  </si>
  <si>
    <t>cst_shinsei_strtower17_KEISAN_Y_ROUTE</t>
    <phoneticPr fontId="2"/>
  </si>
  <si>
    <t>cst_shinsei_strtower17_XY_select</t>
    <phoneticPr fontId="2"/>
  </si>
  <si>
    <t>**shinsei_strtower17_PROGRAM_KIND_SONOTA</t>
  </si>
  <si>
    <t>cst_shinsei_strtower17_PROGRAM_KIND_SONOTA</t>
    <phoneticPr fontId="2"/>
  </si>
  <si>
    <t>**shinsei_strtower18_TOWER_NO</t>
  </si>
  <si>
    <t>cst_shinsei_strtower18_TOWER_NO</t>
    <phoneticPr fontId="2"/>
  </si>
  <si>
    <t>**shinsei_strtower18_STR_TOWER_NO</t>
  </si>
  <si>
    <t>cst_shinsei_strtower18_STR_TOWER_NO</t>
    <phoneticPr fontId="2"/>
  </si>
  <si>
    <t>cst_shinsei_strtower18__TOWER_NO_STR_TOWER_NO</t>
    <phoneticPr fontId="2"/>
  </si>
  <si>
    <t>cst_shinsei_strtower18__TOWER_NO_STR_TOWERS</t>
    <phoneticPr fontId="2"/>
  </si>
  <si>
    <t>**shinsei_strtower18_STR_TOWER_NAME</t>
  </si>
  <si>
    <t>cst_shinsei_strtower18_STR_TOWER_NAME</t>
    <phoneticPr fontId="2"/>
  </si>
  <si>
    <t>**shinsei_strtower18_JUDGE</t>
  </si>
  <si>
    <t>cst_shinsei_strtower18_JUDGE</t>
    <phoneticPr fontId="2"/>
  </si>
  <si>
    <t>**shinsei_strtower18_STR_TOWER_YOUTO_TEXT</t>
  </si>
  <si>
    <t>cst_shinsei_strtower18_STR_TOWER_YOUTO_TEXT</t>
    <phoneticPr fontId="2"/>
  </si>
  <si>
    <t>**shinsei_strtower18_KOUJI_TEXT</t>
  </si>
  <si>
    <t>cst_shinsei_strtower18_KOUJI_TEXT</t>
    <phoneticPr fontId="2"/>
  </si>
  <si>
    <t>**shinsei_strtower18_KOUZOU</t>
  </si>
  <si>
    <t>cst_shinsei_strtower18_KOUZOU</t>
    <phoneticPr fontId="2"/>
  </si>
  <si>
    <t>**shinsei_strtower18_KOUZOU_TEXT</t>
  </si>
  <si>
    <t>cst_shinsei_strtower18_KOUZOU_TEXT</t>
    <phoneticPr fontId="2"/>
  </si>
  <si>
    <t>**shinsei_strtower18_KOUZOU_KEISAN</t>
  </si>
  <si>
    <t>cst_shinsei_strtower18_KOUZOU_KEISAN</t>
    <phoneticPr fontId="2"/>
  </si>
  <si>
    <t>**shinsei_strtower18_KOUZOU_KEISAN_TEXT</t>
  </si>
  <si>
    <t>cst_shinsei_strtower18_KOUZOU_KEISAN_TEXT</t>
    <phoneticPr fontId="2"/>
  </si>
  <si>
    <t>**shinsei_strtower18_MENSEKI</t>
  </si>
  <si>
    <t>cst_shinsei_strtower18_MENSEKI</t>
    <phoneticPr fontId="2"/>
  </si>
  <si>
    <t>cst_shinsei_strtower18_MENSEKI__dsp</t>
    <phoneticPr fontId="2"/>
  </si>
  <si>
    <t>**shinsei_strtower18_MAX_TAKASA</t>
  </si>
  <si>
    <t>cst_shinsei_strtower18_MAX_TAKASA</t>
    <phoneticPr fontId="2"/>
  </si>
  <si>
    <t>**shinsei_strtower18_MAX_NOKI_TAKASA</t>
  </si>
  <si>
    <t>cst_shinsei_strtower18_MAX_NOKI_TAKASA</t>
    <phoneticPr fontId="2"/>
  </si>
  <si>
    <t>**shinsei_strtower18_KAISU_TIJYOU</t>
  </si>
  <si>
    <t>cst_shinsei_strtower18_KAISU_TIJYOU</t>
    <phoneticPr fontId="2"/>
  </si>
  <si>
    <t>**shinsei_strtower18_KAISU_TIKA</t>
  </si>
  <si>
    <t>cst_shinsei_strtower18_KAISU_TIKA</t>
    <phoneticPr fontId="2"/>
  </si>
  <si>
    <t>**shinsei_strtower18_KAISU_TOUYA</t>
  </si>
  <si>
    <t>cst_shinsei_strtower18_KAISU_TOUYA</t>
    <phoneticPr fontId="2"/>
  </si>
  <si>
    <t>**shinsei_strtower18_BUILD_KUBUN</t>
  </si>
  <si>
    <t>cst_shinsei_strtower18_BUILD_KUBUN</t>
    <phoneticPr fontId="2"/>
  </si>
  <si>
    <t>**shinsei_strtower18_BUILD_KUBUN_TEXT</t>
  </si>
  <si>
    <t>cst_shinsei_strtower18_BUILD_KUBUN_TEXT</t>
    <phoneticPr fontId="2"/>
  </si>
  <si>
    <t>cst_shinsei_strtower18_HOU20_2_select</t>
    <phoneticPr fontId="2"/>
  </si>
  <si>
    <t>cst_shinsei_strtower18_HOU20_3_select</t>
    <phoneticPr fontId="2"/>
  </si>
  <si>
    <t>**shinsei_strtower18_MENJYO_TEXT</t>
  </si>
  <si>
    <t>cst_shinsei_strtower18_MENJYO</t>
    <phoneticPr fontId="2"/>
  </si>
  <si>
    <t>**shinsei_strtower18_PROGRAM_KIND</t>
  </si>
  <si>
    <t>cst_shinsei_strtower18_PROGRAM_KIND</t>
    <phoneticPr fontId="2"/>
  </si>
  <si>
    <t>**shinsei_strtower18_REI80_2_KOKUJI_TEXT</t>
  </si>
  <si>
    <t>cst_shinsei_strtower18_REI80_2_KOKUJI</t>
    <phoneticPr fontId="2"/>
  </si>
  <si>
    <t>**shinsei_strtower18_PROGRAM_KIND__nintei__box</t>
  </si>
  <si>
    <t>cst_shinsei_strtower18_NINTEI</t>
    <phoneticPr fontId="2"/>
  </si>
  <si>
    <t>**shinsei_strtower18_PROGRAM_KIND__hyouka__box</t>
  </si>
  <si>
    <t>**shinsei_strtower18_PROGRAM_KIND__sonota__box</t>
  </si>
  <si>
    <t>**shinsei_strtower18_prgo01_NAME</t>
  </si>
  <si>
    <t>**shinsei_strtower18_prgo01_VER</t>
  </si>
  <si>
    <t>cst_shinsei_strtower18_prgo01_NINTEI__umu</t>
    <phoneticPr fontId="2"/>
  </si>
  <si>
    <t>**shinsei_strtower18_prgo01_NINTEI_NO</t>
  </si>
  <si>
    <t>cst_shinsei_strtower18_prgo01_NINTEI_NO</t>
    <phoneticPr fontId="2"/>
  </si>
  <si>
    <t>**shinsei_strtower18_prgo01_NINTEI_DATE</t>
  </si>
  <si>
    <t>cst_shinsei_strtower18_prgo01_NINTEI_DATE_dsp</t>
    <phoneticPr fontId="2"/>
  </si>
  <si>
    <t>**shinsei_strtower18_prgo01_MAKER_NAME</t>
  </si>
  <si>
    <t>cst_shinsei_strtower18_prgo01_NAME_VER</t>
    <phoneticPr fontId="2"/>
  </si>
  <si>
    <t>cst_shinsei_strtower18_prgo01_NAME_VER__SP</t>
    <phoneticPr fontId="2"/>
  </si>
  <si>
    <t>cst_shinsei_strtower18_prgo01_MAKER__NINTEI_ari</t>
    <phoneticPr fontId="2"/>
  </si>
  <si>
    <t>cst_shinsei_strtower18_prgo01_NAME_VER__NINTEI_ari</t>
    <phoneticPr fontId="2"/>
  </si>
  <si>
    <t>cst_shinsei_strtower18_prgo01_MAKER__NINTEI_non</t>
    <phoneticPr fontId="2"/>
  </si>
  <si>
    <t>cst_shinsei_strtower18_prgo01_NAME_VER__NINTEI_non</t>
    <phoneticPr fontId="2"/>
  </si>
  <si>
    <t>**shinsei_strtower18_prgo02_NAME</t>
  </si>
  <si>
    <t>**shinsei_strtower18_prgo02_VER</t>
  </si>
  <si>
    <t>cst_shinsei_strtower18_prgo02_NINTEI__umu</t>
    <phoneticPr fontId="2"/>
  </si>
  <si>
    <t>**shinsei_strtower18_prgo02_NINTEI_NO</t>
  </si>
  <si>
    <t>cst_shinsei_strtower18_prgo02_NINTEI_NO</t>
    <phoneticPr fontId="2"/>
  </si>
  <si>
    <t>**shinsei_strtower18_prgo02_NINTEI_DATE</t>
  </si>
  <si>
    <t>cst_shinsei_strtower18_prgo02_NINTEI_DATE_dsp</t>
    <phoneticPr fontId="2"/>
  </si>
  <si>
    <t>**shinsei_strtower18_prgo02_MAKER_NAME</t>
  </si>
  <si>
    <t>cst_shinsei_strtower18_prgo02_NAME_VER</t>
    <phoneticPr fontId="2"/>
  </si>
  <si>
    <t>cst_shinsei_strtower18_prgo02_NAME_VER__SP</t>
    <phoneticPr fontId="2"/>
  </si>
  <si>
    <t>cst_shinsei_strtower18_prgo02_MAKER__NINTEI_ari</t>
    <phoneticPr fontId="2"/>
  </si>
  <si>
    <t>cst_shinsei_strtower18_prgo02_NAME_VER__NINTEI_ari</t>
    <phoneticPr fontId="2"/>
  </si>
  <si>
    <t>cst_shinsei_strtower18_prgo02_MAKER__NINTEI_non</t>
    <phoneticPr fontId="2"/>
  </si>
  <si>
    <t>cst_shinsei_strtower18_prgo02_NAME_VER__NINTEI_non</t>
    <phoneticPr fontId="2"/>
  </si>
  <si>
    <t>**shinsei_strtower18_prgo03_NAME</t>
  </si>
  <si>
    <t>**shinsei_strtower18_prgo03_VER</t>
  </si>
  <si>
    <t>cst_shinsei_strtower18_prgo03_NINTEI__umu</t>
    <phoneticPr fontId="2"/>
  </si>
  <si>
    <t>**shinsei_strtower18_prgo03_NINTEI_NO</t>
  </si>
  <si>
    <t>**shinsei_strtower18_prgo03_NINTEI_DATE</t>
  </si>
  <si>
    <t>cst_shinsei_strtower18_prgo03_NINTEI_DATE_dsp</t>
    <phoneticPr fontId="2"/>
  </si>
  <si>
    <t>**shinsei_strtower18_prgo03_MAKER_NAME</t>
  </si>
  <si>
    <t>cst_shinsei_strtower18_prgo03_NAME_VER</t>
    <phoneticPr fontId="2"/>
  </si>
  <si>
    <t>cst_shinsei_strtower18_prgo03_NAME_VER__SP</t>
    <phoneticPr fontId="2"/>
  </si>
  <si>
    <t>cst_shinsei_strtower18_prgo03_MAKER__NINTEI_ari</t>
    <phoneticPr fontId="2"/>
  </si>
  <si>
    <t>cst_shinsei_strtower18_prgo03_NAME_VER__NINTEI_ari</t>
    <phoneticPr fontId="2"/>
  </si>
  <si>
    <t>cst_shinsei_strtower18_prgo03_MAKER__NINTEI_non</t>
    <phoneticPr fontId="2"/>
  </si>
  <si>
    <t>cst_shinsei_strtower18_prgo03_NAME_VER__NINTEI_non</t>
    <phoneticPr fontId="2"/>
  </si>
  <si>
    <t>**shinsei_strtower18_prgo04_NAME</t>
  </si>
  <si>
    <t>**shinsei_strtower18_prgo04_VER</t>
  </si>
  <si>
    <t>cst_shinsei_strtower18_prgo04_NINTEI__umu</t>
    <phoneticPr fontId="2"/>
  </si>
  <si>
    <t>**shinsei_strtower18_prgo04_NINTEI_NO</t>
  </si>
  <si>
    <t>**shinsei_strtower18_prgo04_NINTEI_DATE</t>
  </si>
  <si>
    <t>cst_shinsei_strtower18_prgo04_NINTEI_DATE_dsp</t>
    <phoneticPr fontId="2"/>
  </si>
  <si>
    <t>**shinsei_strtower18_prgo04_MAKER_NAME</t>
  </si>
  <si>
    <t>cst_shinsei_strtower18_prgo04_NAME_VER</t>
    <phoneticPr fontId="2"/>
  </si>
  <si>
    <t>cst_shinsei_strtower18_prgo04_NAME_VER__SP</t>
    <phoneticPr fontId="2"/>
  </si>
  <si>
    <t>cst_shinsei_strtower18_prgo04_MAKER__NINTEI_ari</t>
    <phoneticPr fontId="2"/>
  </si>
  <si>
    <t>cst_shinsei_strtower18_prgo04_NAME_VER__NINTEI_ari</t>
    <phoneticPr fontId="2"/>
  </si>
  <si>
    <t>cst_shinsei_strtower18_prgo04_MAKER__NINTEI_non</t>
    <phoneticPr fontId="2"/>
  </si>
  <si>
    <t>cst_shinsei_strtower18_prgo04_NAME_VER__NINTEI_non</t>
    <phoneticPr fontId="2"/>
  </si>
  <si>
    <t>**shinsei_strtower18_prgo05_NAME</t>
  </si>
  <si>
    <t>**shinsei_strtower18_prgo05_VER</t>
  </si>
  <si>
    <t>cst_shinsei_strtower18_prgo05_NINTEI__umu</t>
    <phoneticPr fontId="2"/>
  </si>
  <si>
    <t>**shinsei_strtower18_prgo05_NINTEI_NO</t>
  </si>
  <si>
    <t>**shinsei_strtower18_prgo05_NINTEI_DATE</t>
  </si>
  <si>
    <t>cst_shinsei_strtower18_prgo05_NINTEI_DATE_dsp</t>
    <phoneticPr fontId="2"/>
  </si>
  <si>
    <t>**shinsei_strtower18_prgo05_MAKER_NAME</t>
  </si>
  <si>
    <t>cst_shinsei_strtower18_prgo05_NAME_VER</t>
    <phoneticPr fontId="2"/>
  </si>
  <si>
    <t>cst_shinsei_strtower18_prgo05_NAME_VER__SP</t>
    <phoneticPr fontId="2"/>
  </si>
  <si>
    <t>cst_shinsei_strtower18_prgo05_MAKER__NINTEI_ari</t>
    <phoneticPr fontId="2"/>
  </si>
  <si>
    <t>cst_shinsei_strtower18_prgo05_NAME_VER__NINTEI_ari</t>
    <phoneticPr fontId="2"/>
  </si>
  <si>
    <t>cst_shinsei_strtower18_prgo05_MAKER__NINTEI_non</t>
    <phoneticPr fontId="2"/>
  </si>
  <si>
    <t>cst_shinsei_strtower18_prgo05_NAME_VER__NINTEI_non</t>
    <phoneticPr fontId="2"/>
  </si>
  <si>
    <t>cst_shinsei_strtower18_PROG_NAME_VER__CHAR</t>
    <phoneticPr fontId="2"/>
  </si>
  <si>
    <t>cst_shinsei_strtower18_PROG_NAME_VER__CHAR__SP</t>
    <phoneticPr fontId="2"/>
  </si>
  <si>
    <t>cst_shinsei_strtower18_PROG_MAKER__NINTEI_ari_SP</t>
    <phoneticPr fontId="2"/>
  </si>
  <si>
    <t>cst_shinsei_strtower18_PROG_NAME_VER__NINTEI_ari_SP</t>
    <phoneticPr fontId="2"/>
  </si>
  <si>
    <t>cst_shinsei_strtower18_PROG_NINTEI_DATE_SP</t>
    <phoneticPr fontId="2"/>
  </si>
  <si>
    <t>cst_shinsei_strtower18_PROG_MAKER__NINTEI_no_SP</t>
    <phoneticPr fontId="2"/>
  </si>
  <si>
    <t>cst_shinsei_strtower18_PROG_NAME_VER__NINTEI_non_SP</t>
    <phoneticPr fontId="2"/>
  </si>
  <si>
    <t>**shinsei_strtower18_DISK_FLAG</t>
  </si>
  <si>
    <t>cst_shinsei_strtower18_DISK_FLAG</t>
    <phoneticPr fontId="2"/>
  </si>
  <si>
    <t>**shinsei_strtower18_CHARGE</t>
  </si>
  <si>
    <t>cst_shinsei_strtower18_CHARGE</t>
    <phoneticPr fontId="2"/>
  </si>
  <si>
    <t>cst_shinsei_strtower18_CHARGE__dsp</t>
    <phoneticPr fontId="2"/>
  </si>
  <si>
    <t>**shinsei_strtower18_CHARGE_WARIMASHI</t>
  </si>
  <si>
    <t>cst_shinsei_strtower18_CHARGE_WARIMASHI</t>
    <phoneticPr fontId="2"/>
  </si>
  <si>
    <t>**shinsei_strtower18_CHARGE_TOTAL</t>
  </si>
  <si>
    <t>cst_shinsei_strtower18_CHARGE_TOTAL</t>
    <phoneticPr fontId="2"/>
  </si>
  <si>
    <t>**shinsei_strtower18_CHARGE_KEISAN_NOTE</t>
  </si>
  <si>
    <t>cst_shinsei_strtower18_CHARGE_KEISAN_NOTE</t>
    <phoneticPr fontId="2"/>
  </si>
  <si>
    <t>cst_shinsei_strtower18_CHARGE_KEISAN_NOTE__alter</t>
    <phoneticPr fontId="2"/>
  </si>
  <si>
    <t>**shinsei_strtower18_KEISAN_X_ROUTE</t>
  </si>
  <si>
    <t>cst_shinsei_strtower18_KEISAN_X_ROUTE</t>
    <phoneticPr fontId="2"/>
  </si>
  <si>
    <t>**shinsei_strtower18_KEISAN_Y_ROUTE</t>
  </si>
  <si>
    <t>cst_shinsei_strtower18_KEISAN_Y_ROUTE</t>
    <phoneticPr fontId="2"/>
  </si>
  <si>
    <t>cst_shinsei_strtower18_XY_select</t>
    <phoneticPr fontId="2"/>
  </si>
  <si>
    <t>**shinsei_strtower18_PROGRAM_KIND_SONOTA</t>
  </si>
  <si>
    <t>cst_shinsei_strtower18_PROGRAM_KIND_SONOTA</t>
    <phoneticPr fontId="2"/>
  </si>
  <si>
    <t>**shinsei_strtower19_TOWER_NO</t>
  </si>
  <si>
    <t>cst_shinsei_strtower19_TOWER_NO</t>
    <phoneticPr fontId="2"/>
  </si>
  <si>
    <t>**shinsei_strtower19_STR_TOWER_NO</t>
  </si>
  <si>
    <t>cst_shinsei_strtower19_STR_TOWER_NO</t>
    <phoneticPr fontId="2"/>
  </si>
  <si>
    <t>cst_shinsei_strtower19__TOWER_NO_STR_TOWER_NO</t>
    <phoneticPr fontId="2"/>
  </si>
  <si>
    <t>cst_shinsei_strtower19__TOWER_NO_STR_TOWERS</t>
    <phoneticPr fontId="2"/>
  </si>
  <si>
    <t>**shinsei_strtower19_STR_TOWER_NAME</t>
  </si>
  <si>
    <t>cst_shinsei_strtower19_STR_TOWER_NAME</t>
    <phoneticPr fontId="2"/>
  </si>
  <si>
    <t>**shinsei_strtower19_JUDGE</t>
  </si>
  <si>
    <t>cst_shinsei_strtower19_JUDGE</t>
    <phoneticPr fontId="2"/>
  </si>
  <si>
    <t>**shinsei_strtower19_STR_TOWER_YOUTO_TEXT</t>
  </si>
  <si>
    <t>cst_shinsei_strtower19_STR_TOWER_YOUTO_TEXT</t>
    <phoneticPr fontId="2"/>
  </si>
  <si>
    <t>**shinsei_strtower19_KOUJI_TEXT</t>
  </si>
  <si>
    <t>cst_shinsei_strtower19_KOUJI_TEXT</t>
    <phoneticPr fontId="2"/>
  </si>
  <si>
    <t>**shinsei_strtower19_KOUZOU</t>
  </si>
  <si>
    <t>cst_shinsei_strtower19_KOUZOU</t>
    <phoneticPr fontId="2"/>
  </si>
  <si>
    <t>**shinsei_strtower19_KOUZOU_TEXT</t>
  </si>
  <si>
    <t>cst_shinsei_strtower19_KOUZOU_TEXT</t>
    <phoneticPr fontId="2"/>
  </si>
  <si>
    <t>**shinsei_strtower19_KOUZOU_KEISAN</t>
  </si>
  <si>
    <t>cst_shinsei_strtower19_KOUZOU_KEISAN</t>
    <phoneticPr fontId="2"/>
  </si>
  <si>
    <t>**shinsei_strtower19_KOUZOU_KEISAN_TEXT</t>
  </si>
  <si>
    <t>cst_shinsei_strtower19_KOUZOU_KEISAN_TEXT</t>
    <phoneticPr fontId="2"/>
  </si>
  <si>
    <t>**shinsei_strtower19_MENSEKI</t>
  </si>
  <si>
    <t>cst_shinsei_strtower19_MENSEKI</t>
    <phoneticPr fontId="2"/>
  </si>
  <si>
    <t>cst_shinsei_strtower19_MENSEKI__dsp</t>
    <phoneticPr fontId="2"/>
  </si>
  <si>
    <t>**shinsei_strtower19_MAX_TAKASA</t>
  </si>
  <si>
    <t>cst_shinsei_strtower19_MAX_TAKASA</t>
    <phoneticPr fontId="2"/>
  </si>
  <si>
    <t>**shinsei_strtower19_MAX_NOKI_TAKASA</t>
  </si>
  <si>
    <t>cst_shinsei_strtower19_MAX_NOKI_TAKASA</t>
    <phoneticPr fontId="2"/>
  </si>
  <si>
    <t>**shinsei_strtower19_KAISU_TIJYOU</t>
  </si>
  <si>
    <t>cst_shinsei_strtower19_KAISU_TIJYOU</t>
    <phoneticPr fontId="2"/>
  </si>
  <si>
    <t>**shinsei_strtower19_KAISU_TIKA</t>
  </si>
  <si>
    <t>cst_shinsei_strtower19_KAISU_TIKA</t>
    <phoneticPr fontId="2"/>
  </si>
  <si>
    <t>**shinsei_strtower19_KAISU_TOUYA</t>
  </si>
  <si>
    <t>cst_shinsei_strtower19_KAISU_TOUYA</t>
    <phoneticPr fontId="2"/>
  </si>
  <si>
    <t>**shinsei_strtower19_BUILD_KUBUN</t>
  </si>
  <si>
    <t>cst_shinsei_strtower19_BUILD_KUBUN</t>
    <phoneticPr fontId="2"/>
  </si>
  <si>
    <t>**shinsei_strtower19_BUILD_KUBUN_TEXT</t>
  </si>
  <si>
    <t>cst_shinsei_strtower19_BUILD_KUBUN_TEXT</t>
    <phoneticPr fontId="2"/>
  </si>
  <si>
    <t>cst_shinsei_strtower19_HOU20_2_select</t>
    <phoneticPr fontId="2"/>
  </si>
  <si>
    <t>cst_shinsei_strtower19_HOU20_3_select</t>
    <phoneticPr fontId="2"/>
  </si>
  <si>
    <t>**shinsei_strtower19_MENJYO_TEXT</t>
  </si>
  <si>
    <t>cst_shinsei_strtower19_MENJYO</t>
    <phoneticPr fontId="2"/>
  </si>
  <si>
    <t>**shinsei_strtower19_PROGRAM_KIND</t>
  </si>
  <si>
    <t>cst_shinsei_strtower19_PROGRAM_KIND</t>
    <phoneticPr fontId="2"/>
  </si>
  <si>
    <t>**shinsei_strtower19_REI80_2_KOKUJI_TEXT</t>
  </si>
  <si>
    <t>cst_shinsei_strtower19_REI80_2_KOKUJI</t>
    <phoneticPr fontId="2"/>
  </si>
  <si>
    <t>**shinsei_strtower19_PROGRAM_KIND__nintei__box</t>
  </si>
  <si>
    <t>cst_shinsei_strtower19_NINTEI</t>
    <phoneticPr fontId="2"/>
  </si>
  <si>
    <t>**shinsei_strtower19_PROGRAM_KIND__hyouka__box</t>
  </si>
  <si>
    <t>**shinsei_strtower19_PROGRAM_KIND__sonota__box</t>
  </si>
  <si>
    <t>**shinsei_strtower19_prgo01_NAME</t>
  </si>
  <si>
    <t>**shinsei_strtower19_prgo01_VER</t>
  </si>
  <si>
    <t>cst_shinsei_strtower19_prgo01_NINTEI__umu</t>
    <phoneticPr fontId="2"/>
  </si>
  <si>
    <t>**shinsei_strtower19_prgo01_NINTEI_NO</t>
  </si>
  <si>
    <t>cst_shinsei_strtower19_prgo01_NINTEI_NO</t>
    <phoneticPr fontId="2"/>
  </si>
  <si>
    <t>**shinsei_strtower19_prgo01_NINTEI_DATE</t>
  </si>
  <si>
    <t>cst_shinsei_strtower19_prgo01_NINTEI_DATE_dsp</t>
    <phoneticPr fontId="2"/>
  </si>
  <si>
    <t>**shinsei_strtower19_prgo01_MAKER_NAME</t>
  </si>
  <si>
    <t>cst_shinsei_strtower19_prgo01_NAME_VER</t>
    <phoneticPr fontId="2"/>
  </si>
  <si>
    <t>cst_shinsei_strtower19_prgo01_NAME_VER__SP</t>
    <phoneticPr fontId="2"/>
  </si>
  <si>
    <t>cst_shinsei_strtower19_prgo01_MAKER__NINTEI_ari</t>
    <phoneticPr fontId="2"/>
  </si>
  <si>
    <t>cst_shinsei_strtower19_prgo01_NAME_VER__NINTEI_ari</t>
    <phoneticPr fontId="2"/>
  </si>
  <si>
    <t>cst_shinsei_strtower19_prgo01_MAKER__NINTEI_non</t>
    <phoneticPr fontId="2"/>
  </si>
  <si>
    <t>cst_shinsei_strtower19_prgo01_NAME_VER__NINTEI_non</t>
    <phoneticPr fontId="2"/>
  </si>
  <si>
    <t>**shinsei_strtower19_prgo02_NAME</t>
  </si>
  <si>
    <t>**shinsei_strtower19_prgo02_VER</t>
  </si>
  <si>
    <t>cst_shinsei_strtower19_prgo02_NINTEI__umu</t>
    <phoneticPr fontId="2"/>
  </si>
  <si>
    <t>**shinsei_strtower19_prgo02_NINTEI_NO</t>
  </si>
  <si>
    <t>cst_shinsei_strtower19_prgo02_NINTEI_NO</t>
    <phoneticPr fontId="2"/>
  </si>
  <si>
    <t>**shinsei_strtower19_prgo02_NINTEI_DATE</t>
  </si>
  <si>
    <t>cst_shinsei_strtower19_prgo02_NINTEI_DATE_dsp</t>
    <phoneticPr fontId="2"/>
  </si>
  <si>
    <t>**shinsei_strtower19_prgo02_MAKER_NAME</t>
  </si>
  <si>
    <t>cst_shinsei_strtower19_prgo02_NAME_VER</t>
    <phoneticPr fontId="2"/>
  </si>
  <si>
    <t>cst_shinsei_strtower19_prgo02_NAME_VER__SP</t>
    <phoneticPr fontId="2"/>
  </si>
  <si>
    <t>cst_shinsei_strtower19_prgo02_MAKER__NINTEI_ari</t>
    <phoneticPr fontId="2"/>
  </si>
  <si>
    <t>cst_shinsei_strtower19_prgo02_NAME_VER__NINTEI_ari</t>
    <phoneticPr fontId="2"/>
  </si>
  <si>
    <t>cst_shinsei_strtower19_prgo02_MAKER__NINTEI_non</t>
    <phoneticPr fontId="2"/>
  </si>
  <si>
    <t>cst_shinsei_strtower19_prgo02_NAME_VER__NINTEI_non</t>
    <phoneticPr fontId="2"/>
  </si>
  <si>
    <t>**shinsei_strtower19_prgo03_NAME</t>
  </si>
  <si>
    <t>**shinsei_strtower19_prgo03_VER</t>
  </si>
  <si>
    <t>cst_shinsei_strtower19_prgo03_NINTEI__umu</t>
    <phoneticPr fontId="2"/>
  </si>
  <si>
    <t>**shinsei_strtower19_prgo03_NINTEI_NO</t>
  </si>
  <si>
    <t>**shinsei_strtower19_prgo03_NINTEI_DATE</t>
  </si>
  <si>
    <t>cst_shinsei_strtower19_prgo03_NINTEI_DATE_dsp</t>
    <phoneticPr fontId="2"/>
  </si>
  <si>
    <t>**shinsei_strtower19_prgo03_MAKER_NAME</t>
  </si>
  <si>
    <t>cst_shinsei_strtower19_prgo03_NAME_VER</t>
    <phoneticPr fontId="2"/>
  </si>
  <si>
    <t>cst_shinsei_strtower19_prgo03_NAME_VER__SP</t>
    <phoneticPr fontId="2"/>
  </si>
  <si>
    <t>cst_shinsei_strtower19_prgo03_MAKER__NINTEI_ari</t>
    <phoneticPr fontId="2"/>
  </si>
  <si>
    <t>cst_shinsei_strtower19_prgo03_NAME_VER__NINTEI_ari</t>
    <phoneticPr fontId="2"/>
  </si>
  <si>
    <t>cst_shinsei_strtower19_prgo03_MAKER__NINTEI_non</t>
    <phoneticPr fontId="2"/>
  </si>
  <si>
    <t>cst_shinsei_strtower19_prgo03_NAME_VER__NINTEI_non</t>
    <phoneticPr fontId="2"/>
  </si>
  <si>
    <t>**shinsei_strtower19_prgo04_NAME</t>
  </si>
  <si>
    <t>**shinsei_strtower19_prgo04_VER</t>
  </si>
  <si>
    <t>cst_shinsei_strtower19_prgo04_NINTEI__umu</t>
    <phoneticPr fontId="2"/>
  </si>
  <si>
    <t>**shinsei_strtower19_prgo04_NINTEI_NO</t>
  </si>
  <si>
    <t>**shinsei_strtower19_prgo04_NINTEI_DATE</t>
  </si>
  <si>
    <t>cst_shinsei_strtower19_prgo04_NINTEI_DATE_dsp</t>
    <phoneticPr fontId="2"/>
  </si>
  <si>
    <t>**shinsei_strtower19_prgo04_MAKER_NAME</t>
  </si>
  <si>
    <t>cst_shinsei_strtower19_prgo04_NAME_VER</t>
    <phoneticPr fontId="2"/>
  </si>
  <si>
    <t>cst_shinsei_strtower19_prgo04_NAME_VER__SP</t>
    <phoneticPr fontId="2"/>
  </si>
  <si>
    <t>cst_shinsei_strtower10_prgo02_NAME_VER__NINTEI_non</t>
    <phoneticPr fontId="2"/>
  </si>
  <si>
    <t>**shinsei_strtower10_prgo03_NAME</t>
  </si>
  <si>
    <t>**shinsei_strtower10_prgo03_VER</t>
  </si>
  <si>
    <t>cst_shinsei_strtower10_prgo03_NINTEI__umu</t>
    <phoneticPr fontId="2"/>
  </si>
  <si>
    <t>**shinsei_strtower10_prgo03_NINTEI_NO</t>
  </si>
  <si>
    <t>**shinsei_strtower10_prgo03_NINTEI_DATE</t>
  </si>
  <si>
    <t>cst_shinsei_strtower10_prgo03_NINTEI_DATE_dsp</t>
    <phoneticPr fontId="2"/>
  </si>
  <si>
    <t>**shinsei_strtower10_prgo03_MAKER_NAME</t>
  </si>
  <si>
    <t>cst_shinsei_strtower10_prgo03_NAME_VER</t>
    <phoneticPr fontId="2"/>
  </si>
  <si>
    <t>cst_shinsei_strtower10_prgo03_NAME_VER__SP</t>
    <phoneticPr fontId="2"/>
  </si>
  <si>
    <t>cst_shinsei_strtower10_prgo03_MAKER__NINTEI_ari</t>
    <phoneticPr fontId="2"/>
  </si>
  <si>
    <t>cst_shinsei_strtower10_prgo03_NAME_VER__NINTEI_ari</t>
    <phoneticPr fontId="2"/>
  </si>
  <si>
    <t>cst_shinsei_strtower10_prgo03_MAKER__NINTEI_non</t>
    <phoneticPr fontId="2"/>
  </si>
  <si>
    <t>cst_shinsei_strtower10_prgo03_NAME_VER__NINTEI_non</t>
    <phoneticPr fontId="2"/>
  </si>
  <si>
    <t>プログラム04</t>
    <phoneticPr fontId="2"/>
  </si>
  <si>
    <t>**shinsei_strtower10_prgo04_NAME</t>
  </si>
  <si>
    <t>**shinsei_strtower10_prgo04_VER</t>
  </si>
  <si>
    <t>cst_shinsei_strtower10_prgo04_NINTEI__umu</t>
    <phoneticPr fontId="2"/>
  </si>
  <si>
    <t>**shinsei_strtower10_prgo04_NINTEI_NO</t>
  </si>
  <si>
    <t>**shinsei_strtower10_prgo04_NINTEI_DATE</t>
  </si>
  <si>
    <t>cst_shinsei_strtower10_prgo04_NINTEI_DATE_dsp</t>
    <phoneticPr fontId="2"/>
  </si>
  <si>
    <t>**shinsei_strtower10_prgo04_MAKER_NAME</t>
  </si>
  <si>
    <t>cst_shinsei_strtower10_prgo04_NAME_VER</t>
    <phoneticPr fontId="2"/>
  </si>
  <si>
    <t>cst_shinsei_strtower10_prgo04_NAME_VER__SP</t>
    <phoneticPr fontId="2"/>
  </si>
  <si>
    <t>cst_shinsei_strtower10_prgo04_MAKER__NINTEI_ari</t>
    <phoneticPr fontId="2"/>
  </si>
  <si>
    <t>cst_shinsei_strtower10_prgo04_NAME_VER__NINTEI_ari</t>
    <phoneticPr fontId="2"/>
  </si>
  <si>
    <t>cst_shinsei_strtower10_prgo04_MAKER__NINTEI_non</t>
    <phoneticPr fontId="2"/>
  </si>
  <si>
    <t>cst_shinsei_strtower10_prgo04_NAME_VER__NINTEI_non</t>
    <phoneticPr fontId="2"/>
  </si>
  <si>
    <t>**shinsei_strtower10_prgo05_NAME</t>
  </si>
  <si>
    <t>**shinsei_strtower10_prgo05_VER</t>
  </si>
  <si>
    <t>cst_shinsei_strtower10_prgo05_NINTEI__umu</t>
    <phoneticPr fontId="2"/>
  </si>
  <si>
    <t>**shinsei_strtower10_prgo05_NINTEI_NO</t>
  </si>
  <si>
    <t>**shinsei_strtower10_prgo05_NINTEI_DATE</t>
  </si>
  <si>
    <t>cst_shinsei_strtower10_prgo05_NINTEI_DATE_dsp</t>
    <phoneticPr fontId="2"/>
  </si>
  <si>
    <t>**shinsei_strtower10_prgo05_MAKER_NAME</t>
  </si>
  <si>
    <t>cst_shinsei_strtower10_prgo05_NAME_VER</t>
    <phoneticPr fontId="2"/>
  </si>
  <si>
    <t>cst_shinsei_strtower10_prgo05_NAME_VER__SP</t>
    <phoneticPr fontId="2"/>
  </si>
  <si>
    <t>cst_shinsei_strtower10_prgo05_MAKER__NINTEI_ari</t>
    <phoneticPr fontId="2"/>
  </si>
  <si>
    <t>cst_shinsei_strtower10_prgo05_NAME_VER__NINTEI_ari</t>
    <phoneticPr fontId="2"/>
  </si>
  <si>
    <t>cst_shinsei_strtower10_prgo05_MAKER__NINTEI_non</t>
    <phoneticPr fontId="2"/>
  </si>
  <si>
    <t>cst_shinsei_strtower10_prgo05_NAME_VER__NINTEI_non</t>
    <phoneticPr fontId="2"/>
  </si>
  <si>
    <t>プログラム</t>
    <phoneticPr fontId="2"/>
  </si>
  <si>
    <t>cst_shinsei_strtower10_PROG_NAME_VER__CHAR</t>
    <phoneticPr fontId="2"/>
  </si>
  <si>
    <t>cst_shinsei_strtower10_PROG_NAME_VER__CHAR__SP</t>
    <phoneticPr fontId="2"/>
  </si>
  <si>
    <t>cst_shinsei_strtower10_PROG_MAKER__NINTEI_ari_SP</t>
    <phoneticPr fontId="2"/>
  </si>
  <si>
    <t>cst_shinsei_strtower10_PROG_NAME_VER__NINTEI_ari_SP</t>
    <phoneticPr fontId="2"/>
  </si>
  <si>
    <t>cst_shinsei_strtower10_PROG_NINTEI_DATE_SP</t>
    <phoneticPr fontId="2"/>
  </si>
  <si>
    <t>cst_shinsei_strtower10_PROG_MAKER__NINTEI_no_SP</t>
    <phoneticPr fontId="2"/>
  </si>
  <si>
    <t>cst_shinsei_strtower10_PROG_NAME_VER__NINTEI_non_SP</t>
    <phoneticPr fontId="2"/>
  </si>
  <si>
    <t>**shinsei_strtower10_DISK_FLAG</t>
  </si>
  <si>
    <t>cst_shinsei_strtower10_DISK_FLAG</t>
    <phoneticPr fontId="2"/>
  </si>
  <si>
    <t>**shinsei_strtower10_CHARGE</t>
  </si>
  <si>
    <t>cst_shinsei_strtower10_CHARGE</t>
    <phoneticPr fontId="2"/>
  </si>
  <si>
    <t>cst_shinsei_strtower10_CHARGE__dsp</t>
    <phoneticPr fontId="2"/>
  </si>
  <si>
    <t>**shinsei_strtower10_CHARGE_WARIMASHI</t>
  </si>
  <si>
    <t>cst_shinsei_strtower10_CHARGE_WARIMASHI</t>
    <phoneticPr fontId="2"/>
  </si>
  <si>
    <t>**shinsei_strtower10_CHARGE_TOTAL</t>
  </si>
  <si>
    <t>cst_shinsei_strtower10_CHARGE_TOTAL</t>
    <phoneticPr fontId="2"/>
  </si>
  <si>
    <t>**shinsei_strtower10_CHARGE_KEISAN_NOTE</t>
  </si>
  <si>
    <t>cst_shinsei_strtower10_CHARGE_KEISAN_NOTE</t>
    <phoneticPr fontId="2"/>
  </si>
  <si>
    <t>cst_shinsei_strtower10_CHARGE_KEISAN_NOTE__alter</t>
    <phoneticPr fontId="2"/>
  </si>
  <si>
    <t>**shinsei_strtower10_KEISAN_X_ROUTE</t>
  </si>
  <si>
    <t>cst_shinsei_strtower10_KEISAN_X_ROUTE</t>
    <phoneticPr fontId="2"/>
  </si>
  <si>
    <t>**shinsei_strtower10_KEISAN_Y_ROUTE</t>
  </si>
  <si>
    <t>cst_shinsei_strtower10_KEISAN_Y_ROUTE</t>
    <phoneticPr fontId="2"/>
  </si>
  <si>
    <t>cst_shinsei_strtower10_XY_select</t>
    <phoneticPr fontId="2"/>
  </si>
  <si>
    <t>**shinsei_strtower10_PROGRAM_KIND_SONOTA</t>
  </si>
  <si>
    <t>cst_shinsei_strtower10_PROGRAM_KIND_SONOTA</t>
    <phoneticPr fontId="2"/>
  </si>
  <si>
    <t>**shinsei_strtower11_TOWER_NO</t>
  </si>
  <si>
    <t>cst_shinsei_strtower11_TOWER_NO</t>
    <phoneticPr fontId="2"/>
  </si>
  <si>
    <t>**shinsei_strtower11_STR_TOWER_NO</t>
  </si>
  <si>
    <t>cst_shinsei_strtower11_STR_TOWER_NO</t>
    <phoneticPr fontId="2"/>
  </si>
  <si>
    <t>cst_shinsei_strtower11__TOWER_NO_STR_TOWER_NO</t>
    <phoneticPr fontId="2"/>
  </si>
  <si>
    <t>cst_shinsei_strtower11__TOWER_NO_STR_TOWERS</t>
    <phoneticPr fontId="2"/>
  </si>
  <si>
    <t>**shinsei_strtower11_STR_TOWER_NAME</t>
  </si>
  <si>
    <t>cst_shinsei_strtower11_STR_TOWER_NAME</t>
    <phoneticPr fontId="2"/>
  </si>
  <si>
    <t>構造判定（判定が必要なもの）</t>
    <phoneticPr fontId="2"/>
  </si>
  <si>
    <t>**shinsei_strtower11_JUDGE</t>
  </si>
  <si>
    <t>cst_shinsei_strtower11_JUDGE</t>
    <phoneticPr fontId="2"/>
  </si>
  <si>
    <t>**shinsei_strtower11_STR_TOWER_YOUTO_TEXT</t>
  </si>
  <si>
    <t>cst_shinsei_strtower11_STR_TOWER_YOUTO_TEXT</t>
    <phoneticPr fontId="2"/>
  </si>
  <si>
    <t>**shinsei_strtower11_KOUJI_TEXT</t>
  </si>
  <si>
    <t>cst_shinsei_strtower11_KOUJI_TEXT</t>
    <phoneticPr fontId="2"/>
  </si>
  <si>
    <t>構造</t>
    <phoneticPr fontId="2"/>
  </si>
  <si>
    <t>**shinsei_strtower11_KOUZOU</t>
  </si>
  <si>
    <t>cst_shinsei_strtower11_KOUZOU</t>
    <phoneticPr fontId="2"/>
  </si>
  <si>
    <t>**shinsei_strtower11_KOUZOU_TEXT</t>
  </si>
  <si>
    <t>cst_shinsei_strtower11_KOUZOU_TEXT</t>
    <phoneticPr fontId="2"/>
  </si>
  <si>
    <t>**shinsei_strtower11_KOUZOU_KEISAN</t>
  </si>
  <si>
    <t>cst_shinsei_strtower11_KOUZOU_KEISAN</t>
    <phoneticPr fontId="2"/>
  </si>
  <si>
    <t>**shinsei_strtower11_KOUZOU_KEISAN_TEXT</t>
  </si>
  <si>
    <t>cst_shinsei_strtower11_KOUZOU_KEISAN_TEXT</t>
    <phoneticPr fontId="2"/>
  </si>
  <si>
    <t>**shinsei_strtower11_MENSEKI</t>
  </si>
  <si>
    <t>cst_shinsei_strtower11_MENSEKI</t>
    <phoneticPr fontId="2"/>
  </si>
  <si>
    <t>cst_shinsei_strtower11_MENSEKI__dsp</t>
    <phoneticPr fontId="2"/>
  </si>
  <si>
    <t>**shinsei_strtower11_MAX_TAKASA</t>
  </si>
  <si>
    <t>cst_shinsei_strtower11_MAX_TAKASA</t>
    <phoneticPr fontId="2"/>
  </si>
  <si>
    <t>**shinsei_strtower11_MAX_NOKI_TAKASA</t>
  </si>
  <si>
    <t>cst_shinsei_strtower11_MAX_NOKI_TAKASA</t>
    <phoneticPr fontId="2"/>
  </si>
  <si>
    <t>**shinsei_strtower11_KAISU_TIJYOU</t>
  </si>
  <si>
    <t>cst_shinsei_strtower11_KAISU_TIJYOU</t>
    <phoneticPr fontId="2"/>
  </si>
  <si>
    <t>**shinsei_strtower11_KAISU_TIKA</t>
  </si>
  <si>
    <t>cst_shinsei_strtower11_KAISU_TIKA</t>
    <phoneticPr fontId="2"/>
  </si>
  <si>
    <t>**shinsei_strtower11_KAISU_TOUYA</t>
  </si>
  <si>
    <t>cst_shinsei_strtower11_KAISU_TOUYA</t>
    <phoneticPr fontId="2"/>
  </si>
  <si>
    <t>**shinsei_strtower11_BUILD_KUBUN</t>
  </si>
  <si>
    <t>cst_shinsei_strtower11_BUILD_KUBUN</t>
    <phoneticPr fontId="2"/>
  </si>
  <si>
    <t>**shinsei_strtower11_BUILD_KUBUN_TEXT</t>
  </si>
  <si>
    <t>cst_shinsei_strtower11_BUILD_KUBUN_TEXT</t>
    <phoneticPr fontId="2"/>
  </si>
  <si>
    <t>cst_shinsei_strtower11_HOU20_2_select</t>
    <phoneticPr fontId="2"/>
  </si>
  <si>
    <t>cst_shinsei_strtower11_HOU20_3_select</t>
    <phoneticPr fontId="2"/>
  </si>
  <si>
    <t>**shinsei_strtower11_MENJYO_TEXT</t>
  </si>
  <si>
    <t>cst_shinsei_strtower11_MENJYO</t>
    <phoneticPr fontId="2"/>
  </si>
  <si>
    <t>**shinsei_strtower11_PROGRAM_KIND</t>
  </si>
  <si>
    <t>cst_shinsei_strtower11_PROGRAM_KIND</t>
    <phoneticPr fontId="2"/>
  </si>
  <si>
    <t>**shinsei_strtower11_REI80_2_KOKUJI_TEXT</t>
  </si>
  <si>
    <t>cst_shinsei_strtower11_REI80_2_KOKUJI</t>
    <phoneticPr fontId="2"/>
  </si>
  <si>
    <t>**shinsei_strtower11_PROGRAM_KIND__nintei__box</t>
  </si>
  <si>
    <t>cst_shinsei_strtower11_NINTEI</t>
    <phoneticPr fontId="2"/>
  </si>
  <si>
    <t>**shinsei_strtower11_PROGRAM_KIND__hyouka__box</t>
  </si>
  <si>
    <t>**shinsei_strtower11_PROGRAM_KIND__sonota__box</t>
  </si>
  <si>
    <t>プログラム01</t>
    <phoneticPr fontId="2"/>
  </si>
  <si>
    <t>**shinsei_strtower11_prgo01_NAME</t>
  </si>
  <si>
    <t>**shinsei_strtower11_prgo01_VER</t>
  </si>
  <si>
    <t>cst_shinsei_strtower11_prgo01_NINTEI__umu</t>
    <phoneticPr fontId="2"/>
  </si>
  <si>
    <t>**shinsei_strtower11_prgo01_NINTEI_NO</t>
  </si>
  <si>
    <t>cst_shinsei_strtower11_prgo01_NINTEI_NO</t>
    <phoneticPr fontId="2"/>
  </si>
  <si>
    <t>**shinsei_strtower11_prgo01_NINTEI_DATE</t>
  </si>
  <si>
    <t>cst_shinsei_strtower11_prgo01_NINTEI_DATE</t>
    <phoneticPr fontId="2"/>
  </si>
  <si>
    <t>**shinsei_strtower11_prgo01_MAKER_NAME</t>
  </si>
  <si>
    <t>cst_shinsei_strtower11_prgo01_NAME_VER</t>
    <phoneticPr fontId="2"/>
  </si>
  <si>
    <t>cst_shinsei_strtower11_prgo01_NAME_VER__SP</t>
    <phoneticPr fontId="2"/>
  </si>
  <si>
    <t>cst_shinsei_strtower11_prgo01_MAKER__NINTEI_ari</t>
    <phoneticPr fontId="2"/>
  </si>
  <si>
    <t>cst_shinsei_strtower11_prgo01_NAME_VER__NINTEI_ari</t>
    <phoneticPr fontId="2"/>
  </si>
  <si>
    <t>cst_shinsei_strtower11_prgo01_MAKER__NINTEI_non</t>
    <phoneticPr fontId="2"/>
  </si>
  <si>
    <t>cst_shinsei_strtower11_prgo01_NAME_VER__NINTEI_non</t>
    <phoneticPr fontId="2"/>
  </si>
  <si>
    <t>プログラム02</t>
    <phoneticPr fontId="2"/>
  </si>
  <si>
    <t>**shinsei_strtower11_prgo02_NAME</t>
  </si>
  <si>
    <t>**shinsei_strtower11_prgo02_VER</t>
  </si>
  <si>
    <t>cst_shinsei_strtower11_prgo02_NINTEI__umu</t>
    <phoneticPr fontId="2"/>
  </si>
  <si>
    <t>**shinsei_strtower11_prgo02_NINTEI_NO</t>
  </si>
  <si>
    <t>**shinsei_strtower11_prgo02_NINTEI_DATE</t>
  </si>
  <si>
    <t>cst_shinsei_strtower11_prgo02_NINTEI_DATE</t>
    <phoneticPr fontId="2"/>
  </si>
  <si>
    <t>**shinsei_strtower11_prgo02_MAKER_NAME</t>
  </si>
  <si>
    <t>cst_shinsei_strtower11_prgo02_NAME_VER</t>
    <phoneticPr fontId="2"/>
  </si>
  <si>
    <t>cst_shinsei_strtower11_prgo02_NAME_VER__SP</t>
    <phoneticPr fontId="2"/>
  </si>
  <si>
    <t>cst_shinsei_strtower11_prgo02_MAKER__NINTEI_ari</t>
    <phoneticPr fontId="2"/>
  </si>
  <si>
    <t>cst_shinsei_strtower11_prgo02_NAME_VER__NINTEI_ari</t>
    <phoneticPr fontId="2"/>
  </si>
  <si>
    <t>cst_shinsei_strtower11_prgo02_MAKER__NINTEI_non</t>
    <phoneticPr fontId="2"/>
  </si>
  <si>
    <t>cst_shinsei_strtower11_prgo02_NAME_VER__NINTEI_non</t>
    <phoneticPr fontId="2"/>
  </si>
  <si>
    <t>**shinsei_strtower11_prgo03_NAME</t>
  </si>
  <si>
    <t>**shinsei_strtower11_prgo03_VER</t>
  </si>
  <si>
    <t>cst_shinsei_strtower11_prgo03_NINTEI__umu</t>
    <phoneticPr fontId="2"/>
  </si>
  <si>
    <t>**shinsei_strtower11_prgo03_NINTEI_NO</t>
  </si>
  <si>
    <t>**shinsei_strtower11_prgo03_NINTEI_DATE</t>
  </si>
  <si>
    <t>cst_shinsei_strtower11_prgo03_NINTEI_DATE_dsp</t>
    <phoneticPr fontId="2"/>
  </si>
  <si>
    <t>**shinsei_strtower11_prgo03_MAKER_NAME</t>
  </si>
  <si>
    <t>cst_shinsei_strtower11_prgo03_NAME_VER</t>
    <phoneticPr fontId="2"/>
  </si>
  <si>
    <t>cst_shinsei_strtower11_prgo03_NAME_VER__SP</t>
    <phoneticPr fontId="2"/>
  </si>
  <si>
    <t>cst_shinsei_strtower11_prgo03_MAKER__NINTEI_ari</t>
    <phoneticPr fontId="2"/>
  </si>
  <si>
    <t>cst_shinsei_strtower11_prgo03_NAME_VER__NINTEI_ari</t>
    <phoneticPr fontId="2"/>
  </si>
  <si>
    <t>cst_shinsei_strtower11_prgo03_MAKER__NINTEI_non</t>
    <phoneticPr fontId="2"/>
  </si>
  <si>
    <t>cst_shinsei_strtower11_prgo03_NAME_VER__NINTEI_non</t>
    <phoneticPr fontId="2"/>
  </si>
  <si>
    <t>プログラム04</t>
    <phoneticPr fontId="2"/>
  </si>
  <si>
    <t>**shinsei_strtower11_prgo04_NAME</t>
  </si>
  <si>
    <t>**shinsei_strtower11_prgo04_VER</t>
  </si>
  <si>
    <t>cst_shinsei_strtower11_prgo04_NINTEI__umu</t>
    <phoneticPr fontId="2"/>
  </si>
  <si>
    <t>**shinsei_strtower11_prgo04_NINTEI_NO</t>
  </si>
  <si>
    <t>**shinsei_strtower11_prgo04_NINTEI_DATE</t>
  </si>
  <si>
    <t>cst_shinsei_strtower11_prgo04_NINTEI_DATE_dsp</t>
    <phoneticPr fontId="2"/>
  </si>
  <si>
    <t>**shinsei_strtower11_prgo04_MAKER_NAME</t>
  </si>
  <si>
    <t>cst_shinsei_strtower11_prgo04_NAME_VER</t>
    <phoneticPr fontId="2"/>
  </si>
  <si>
    <t>cst_shinsei_strtower11_prgo04_NAME_VER__SP</t>
    <phoneticPr fontId="2"/>
  </si>
  <si>
    <t>cst_shinsei_strtower11_prgo04_MAKER__NINTEI_ari</t>
    <phoneticPr fontId="2"/>
  </si>
  <si>
    <t>cst_shinsei_strtower11_prgo04_NAME_VER__NINTEI_ari</t>
    <phoneticPr fontId="2"/>
  </si>
  <si>
    <t xml:space="preserve"> - メーカー(SP)</t>
    <phoneticPr fontId="2"/>
  </si>
  <si>
    <t>cst_shinsei_strtower11_prgo04_MAKER__NINTEI_non</t>
    <phoneticPr fontId="2"/>
  </si>
  <si>
    <t>cst_shinsei_strtower11_prgo04_NAME_VER__NINTEI_non</t>
    <phoneticPr fontId="2"/>
  </si>
  <si>
    <t>プログラム05</t>
    <phoneticPr fontId="2"/>
  </si>
  <si>
    <t>**shinsei_strtower11_prgo05_NAME</t>
  </si>
  <si>
    <t xml:space="preserve"> - バージョン</t>
    <phoneticPr fontId="2"/>
  </si>
  <si>
    <t>**shinsei_strtower11_prgo05_VER</t>
  </si>
  <si>
    <t>cst_shinsei_strtower11_prgo05_NINTEI__umu</t>
    <phoneticPr fontId="2"/>
  </si>
  <si>
    <t>**shinsei_strtower11_prgo05_NINTEI_NO</t>
  </si>
  <si>
    <t>**shinsei_strtower11_prgo05_NINTEI_DATE</t>
  </si>
  <si>
    <t>cst_shinsei_strtower11_prgo05_NINTEI_DATE_dsp</t>
    <phoneticPr fontId="2"/>
  </si>
  <si>
    <t>**shinsei_strtower11_prgo05_MAKER_NAME</t>
  </si>
  <si>
    <t>cst_shinsei_strtower11_prgo05_NAME_VER</t>
    <phoneticPr fontId="2"/>
  </si>
  <si>
    <t>cst_shinsei_strtower11_prgo05_NAME_VER__SP</t>
    <phoneticPr fontId="2"/>
  </si>
  <si>
    <t>cst_shinsei_strtower11_prgo05_MAKER__NINTEI_ari</t>
    <phoneticPr fontId="2"/>
  </si>
  <si>
    <t>cst_shinsei_strtower11_prgo05_NAME_VER__NINTEI_ari</t>
    <phoneticPr fontId="2"/>
  </si>
  <si>
    <t>cst_shinsei_strtower11_prgo05_MAKER__NINTEI_non</t>
    <phoneticPr fontId="2"/>
  </si>
  <si>
    <t>cst_shinsei_strtower11_prgo05_NAME_VER__NINTEI_non</t>
    <phoneticPr fontId="2"/>
  </si>
  <si>
    <t>cst_shinsei_strtower11_PROG_NAME_VER__CHAR</t>
    <phoneticPr fontId="2"/>
  </si>
  <si>
    <t>cst_shinsei_strtower11_PROG_NAME_VER__CHAR__SP</t>
    <phoneticPr fontId="2"/>
  </si>
  <si>
    <t>cst_shinsei_strtower11_PROG_MAKER__NINTEI_ari_SP</t>
    <phoneticPr fontId="2"/>
  </si>
  <si>
    <t>cst_shinsei_strtower11_PROG_NAME_VER__NINTEI_ari_SP</t>
    <phoneticPr fontId="2"/>
  </si>
  <si>
    <t>cst_shinsei_strtower11_PROG_NINTEI_DATE_SP</t>
    <phoneticPr fontId="2"/>
  </si>
  <si>
    <t xml:space="preserve"> - メーカー(SP)</t>
    <phoneticPr fontId="2"/>
  </si>
  <si>
    <t>cst_shinsei_strtower11_PROG_MAKER__NINTEI_no_SP</t>
    <phoneticPr fontId="2"/>
  </si>
  <si>
    <t>cst_shinsei_strtower11_PROG_NAME_VER__NINTEI_non_SP</t>
    <phoneticPr fontId="2"/>
  </si>
  <si>
    <t>**shinsei_strtower11_DISK_FLAG</t>
  </si>
  <si>
    <t>cst_shinsei_strtower11_DISK_FLAG</t>
    <phoneticPr fontId="2"/>
  </si>
  <si>
    <t>**shinsei_strtower11_CHARGE</t>
  </si>
  <si>
    <t>cst_shinsei_strtower11_CHARGE</t>
    <phoneticPr fontId="2"/>
  </si>
  <si>
    <t>cst_shinsei_strtower11_CHARGE__dsp</t>
    <phoneticPr fontId="2"/>
  </si>
  <si>
    <t>**shinsei_strtower11_CHARGE_WARIMASHI</t>
  </si>
  <si>
    <t>cst_shinsei_strtower11_CHARGE_WARIMASHI</t>
    <phoneticPr fontId="2"/>
  </si>
  <si>
    <t>**shinsei_strtower11_CHARGE_TOTAL</t>
  </si>
  <si>
    <t>cst_shinsei_strtower11_CHARGE_TOTAL</t>
    <phoneticPr fontId="2"/>
  </si>
  <si>
    <t>**shinsei_strtower11_CHARGE_KEISAN_NOTE</t>
  </si>
  <si>
    <t>cst_shinsei_strtower11_CHARGE_KEISAN_NOTE</t>
    <phoneticPr fontId="2"/>
  </si>
  <si>
    <t>cst_shinsei_strtower11_CHARGE_KEISAN_NOTE__alter</t>
    <phoneticPr fontId="2"/>
  </si>
  <si>
    <t>**shinsei_strtower11_KEISAN_X_ROUTE</t>
  </si>
  <si>
    <t>cst_shinsei_strtower11_KEISAN_X_ROUTE</t>
    <phoneticPr fontId="2"/>
  </si>
  <si>
    <t>**shinsei_strtower11_KEISAN_Y_ROUTE</t>
  </si>
  <si>
    <t>cst_shinsei_strtower11_KEISAN_Y_ROUTE</t>
    <phoneticPr fontId="2"/>
  </si>
  <si>
    <t>cst_shinsei_strtower11_XY_select</t>
    <phoneticPr fontId="2"/>
  </si>
  <si>
    <t>**shinsei_strtower11_PROGRAM_KIND_SONOTA</t>
  </si>
  <si>
    <t>cst_shinsei_strtower11_PROGRAM_KIND_SONOTA</t>
    <phoneticPr fontId="2"/>
  </si>
  <si>
    <t>**shinsei_strtower12_TOWER_NO</t>
  </si>
  <si>
    <t>cst_shinsei_strtower12_TOWER_NO</t>
    <phoneticPr fontId="2"/>
  </si>
  <si>
    <t>**shinsei_strtower12_STR_TOWER_NO</t>
  </si>
  <si>
    <t>cst_shinsei_strtower12_STR_TOWER_NO</t>
    <phoneticPr fontId="2"/>
  </si>
  <si>
    <t>cst_shinsei_strtower12__TOWER_NO_STR_TOWER_NO</t>
    <phoneticPr fontId="2"/>
  </si>
  <si>
    <t>cst_shinsei_strtower12__TOWER_NO_STR_TOWERS</t>
    <phoneticPr fontId="2"/>
  </si>
  <si>
    <t>**shinsei_strtower12_STR_TOWER_NAME</t>
  </si>
  <si>
    <t>cst_shinsei_strtower12_STR_TOWER_NAME</t>
    <phoneticPr fontId="2"/>
  </si>
  <si>
    <t>**shinsei_strtower12_JUDGE</t>
  </si>
  <si>
    <t>cst_shinsei_strtower12_JUDGE</t>
    <phoneticPr fontId="2"/>
  </si>
  <si>
    <t>1：有, 0：無</t>
    <phoneticPr fontId="2"/>
  </si>
  <si>
    <t>**shinsei_strtower12_STR_TOWER_YOUTO_TEXT</t>
  </si>
  <si>
    <t>cst_shinsei_strtower12_STR_TOWER_YOUTO_TEXT</t>
    <phoneticPr fontId="2"/>
  </si>
  <si>
    <t>**shinsei_strtower12_KOUJI_TEXT</t>
  </si>
  <si>
    <t>cst_shinsei_strtower12_KOUJI_TEXT</t>
    <phoneticPr fontId="2"/>
  </si>
  <si>
    <t>**shinsei_strtower12_KOUZOU</t>
  </si>
  <si>
    <t>cst_shinsei_strtower12_KOUZOU</t>
    <phoneticPr fontId="2"/>
  </si>
  <si>
    <t>**shinsei_strtower12_KOUZOU_TEXT</t>
  </si>
  <si>
    <t>cst_shinsei_strtower12_KOUZOU_TEXT</t>
    <phoneticPr fontId="2"/>
  </si>
  <si>
    <t>**shinsei_strtower12_KOUZOU_KEISAN</t>
  </si>
  <si>
    <t>cst_shinsei_strtower12_KOUZOU_KEISAN</t>
    <phoneticPr fontId="2"/>
  </si>
  <si>
    <t>**shinsei_strtower12_KOUZOU_KEISAN_TEXT</t>
  </si>
  <si>
    <t>cst_shinsei_strtower12_KOUZOU_KEISAN_TEXT</t>
    <phoneticPr fontId="2"/>
  </si>
  <si>
    <t>延床面積</t>
    <phoneticPr fontId="2"/>
  </si>
  <si>
    <t>**shinsei_strtower12_MENSEKI</t>
  </si>
  <si>
    <t>cst_shinsei_strtower12_MENSEKI</t>
    <phoneticPr fontId="2"/>
  </si>
  <si>
    <t>cst_shinsei_strtower12_MENSEKI__dsp</t>
    <phoneticPr fontId="2"/>
  </si>
  <si>
    <t>**shinsei_strtower12_MAX_TAKASA</t>
  </si>
  <si>
    <t>cst_shinsei_strtower12_MAX_TAKASA</t>
    <phoneticPr fontId="2"/>
  </si>
  <si>
    <t>**shinsei_strtower12_MAX_NOKI_TAKASA</t>
  </si>
  <si>
    <t>cst_shinsei_strtower12_MAX_NOKI_TAKASA</t>
    <phoneticPr fontId="2"/>
  </si>
  <si>
    <t>**shinsei_strtower12_KAISU_TIJYOU</t>
  </si>
  <si>
    <t>cst_shinsei_strtower12_KAISU_TIJYOU</t>
    <phoneticPr fontId="2"/>
  </si>
  <si>
    <t>**shinsei_strtower12_KAISU_TIKA</t>
  </si>
  <si>
    <t>cst_shinsei_strtower12_KAISU_TIKA</t>
    <phoneticPr fontId="2"/>
  </si>
  <si>
    <t>**shinsei_strtower12_KAISU_TOUYA</t>
  </si>
  <si>
    <t>cst_shinsei_strtower12_KAISU_TOUYA</t>
    <phoneticPr fontId="2"/>
  </si>
  <si>
    <t>**shinsei_strtower12_BUILD_KUBUN</t>
  </si>
  <si>
    <t>cst_shinsei_strtower12_BUILD_KUBUN</t>
    <phoneticPr fontId="2"/>
  </si>
  <si>
    <t>**shinsei_strtower12_BUILD_KUBUN_TEXT</t>
  </si>
  <si>
    <t>cst_shinsei_strtower12_BUILD_KUBUN_TEXT</t>
    <phoneticPr fontId="2"/>
  </si>
  <si>
    <t>cst_shinsei_strtower12_HOU20_2_select</t>
    <phoneticPr fontId="2"/>
  </si>
  <si>
    <t>cst_shinsei_strtower12_HOU20_3_select</t>
    <phoneticPr fontId="2"/>
  </si>
  <si>
    <t>構造計算免除の規定</t>
    <phoneticPr fontId="2"/>
  </si>
  <si>
    <t>**shinsei_strtower12_MENJYO_TEXT</t>
  </si>
  <si>
    <t>cst_shinsei_strtower12_MENJYO</t>
    <phoneticPr fontId="2"/>
  </si>
  <si>
    <t>**shinsei_strtower12_PROGRAM_KIND</t>
  </si>
  <si>
    <t>cst_shinsei_strtower12_PROGRAM_KIND</t>
    <phoneticPr fontId="2"/>
  </si>
  <si>
    <t>**shinsei_strtower12_REI80_2_KOKUJI_TEXT</t>
  </si>
  <si>
    <t>cst_shinsei_strtower12_REI80_2_KOKUJI</t>
    <phoneticPr fontId="2"/>
  </si>
  <si>
    <t>**shinsei_strtower12_PROGRAM_KIND__nintei__box</t>
  </si>
  <si>
    <t>cst_shinsei_strtower12_NINTEI</t>
    <phoneticPr fontId="2"/>
  </si>
  <si>
    <t>**shinsei_strtower12_PROGRAM_KIND__hyouka__box</t>
  </si>
  <si>
    <t>**shinsei_strtower12_PROGRAM_KIND__sonota__box</t>
  </si>
  <si>
    <t>**shinsei_strtower12_prgo01_NAME</t>
  </si>
  <si>
    <t>**shinsei_strtower12_prgo01_VER</t>
  </si>
  <si>
    <t>cst_shinsei_strtower12_prgo01_NINTEI__umu</t>
    <phoneticPr fontId="2"/>
  </si>
  <si>
    <t>**shinsei_strtower12_prgo01_NINTEI_NO</t>
  </si>
  <si>
    <t>cst_shinsei_strtower12_prgo01_NINTEI_NO</t>
    <phoneticPr fontId="2"/>
  </si>
  <si>
    <t>**shinsei_strtower12_prgo01_NINTEI_DATE</t>
  </si>
  <si>
    <t>cst_shinsei_strtower12_prgo01_NINTEI_DATE</t>
    <phoneticPr fontId="2"/>
  </si>
  <si>
    <t>**shinsei_strtower12_prgo01_MAKER_NAME</t>
  </si>
  <si>
    <t>cst_shinsei_strtower12_prgo01_NAME_VER</t>
    <phoneticPr fontId="2"/>
  </si>
  <si>
    <t>cst_shinsei_strtower12_prgo01_NAME_VER__SP</t>
    <phoneticPr fontId="2"/>
  </si>
  <si>
    <t>cst_shinsei_strtower12_prgo01_MAKER__NINTEI_ari</t>
    <phoneticPr fontId="2"/>
  </si>
  <si>
    <t>cst_shinsei_strtower12_prgo01_NAME_VER__NINTEI_ari</t>
    <phoneticPr fontId="2"/>
  </si>
  <si>
    <t>cst_shinsei_strtower12_prgo01_MAKER__NINTEI_non</t>
    <phoneticPr fontId="2"/>
  </si>
  <si>
    <t>cst_shinsei_strtower12_prgo01_NAME_VER__NINTEI_non</t>
    <phoneticPr fontId="2"/>
  </si>
  <si>
    <t>プログラム02</t>
    <phoneticPr fontId="2"/>
  </si>
  <si>
    <t>**shinsei_strtower12_prgo02_NAME</t>
  </si>
  <si>
    <t>text</t>
    <phoneticPr fontId="2"/>
  </si>
  <si>
    <t xml:space="preserve"> - バージョン</t>
    <phoneticPr fontId="2"/>
  </si>
  <si>
    <t>**shinsei_strtower12_prgo02_VER</t>
  </si>
  <si>
    <t>cst_shinsei_strtower12_prgo02_NINTEI__umu</t>
    <phoneticPr fontId="2"/>
  </si>
  <si>
    <t>**shinsei_strtower12_prgo02_NINTEI_NO</t>
  </si>
  <si>
    <t>**shinsei_strtower12_prgo02_NINTEI_DATE</t>
  </si>
  <si>
    <t>cst_shinsei_strtower12_prgo02_NINTEI_DATE_dsp</t>
    <phoneticPr fontId="2"/>
  </si>
  <si>
    <t xml:space="preserve"> - メーカー</t>
    <phoneticPr fontId="2"/>
  </si>
  <si>
    <t>**shinsei_strtower12_prgo02_MAKER_NAME</t>
  </si>
  <si>
    <t>cst_shinsei_strtower12_prgo02_NAME_VER</t>
    <phoneticPr fontId="2"/>
  </si>
  <si>
    <t>cst_shinsei_strtower12_prgo02_NAME_VER__SP</t>
    <phoneticPr fontId="2"/>
  </si>
  <si>
    <t>cst_shinsei_strtower12_prgo02_MAKER__NINTEI_ari</t>
    <phoneticPr fontId="2"/>
  </si>
  <si>
    <t>cst_shinsei_strtower12_prgo02_NAME_VER__NINTEI_ari</t>
    <phoneticPr fontId="2"/>
  </si>
  <si>
    <t>cst_shinsei_strtower12_prgo02_MAKER__NINTEI_non</t>
    <phoneticPr fontId="2"/>
  </si>
  <si>
    <t>cst_shinsei_strtower12_prgo02_NAME_VER__NINTEI_non</t>
    <phoneticPr fontId="2"/>
  </si>
  <si>
    <t>**shinsei_strtower12_prgo03_NAME</t>
  </si>
  <si>
    <t>**shinsei_strtower12_prgo03_VER</t>
  </si>
  <si>
    <t>cst_shinsei_strtower12_prgo03_NINTEI__umu</t>
    <phoneticPr fontId="2"/>
  </si>
  <si>
    <t>**shinsei_strtower12_prgo03_NINTEI_NO</t>
  </si>
  <si>
    <t>**shinsei_strtower12_prgo03_NINTEI_DATE</t>
  </si>
  <si>
    <t>cst_shinsei_strtower12_prgo03_NINTEI_DATE_dsp</t>
    <phoneticPr fontId="2"/>
  </si>
  <si>
    <t>**shinsei_strtower12_prgo03_MAKER_NAME</t>
  </si>
  <si>
    <t>cst_shinsei_strtower12_prgo03_NAME_VER</t>
    <phoneticPr fontId="2"/>
  </si>
  <si>
    <t>cst_shinsei_strtower12_prgo03_NAME_VER__SP</t>
    <phoneticPr fontId="2"/>
  </si>
  <si>
    <t>cst_shinsei_strtower12_prgo03_MAKER__NINTEI_ari</t>
    <phoneticPr fontId="2"/>
  </si>
  <si>
    <t>cst_shinsei_strtower12_prgo03_NAME_VER__NINTEI_ari</t>
    <phoneticPr fontId="2"/>
  </si>
  <si>
    <t>cst_shinsei_strtower12_prgo03_MAKER__NINTEI_non</t>
    <phoneticPr fontId="2"/>
  </si>
  <si>
    <t>cst_shinsei_strtower12_prgo03_NAME_VER__NINTEI_non</t>
    <phoneticPr fontId="2"/>
  </si>
  <si>
    <t>**shinsei_strtower12_prgo04_NAME</t>
  </si>
  <si>
    <t>**shinsei_strtower12_prgo04_VER</t>
  </si>
  <si>
    <t>cst_shinsei_strtower12_prgo04_NINTEI__umu</t>
    <phoneticPr fontId="2"/>
  </si>
  <si>
    <t>**shinsei_strtower12_prgo04_NINTEI_NO</t>
  </si>
  <si>
    <t>**shinsei_strtower12_prgo04_NINTEI_DATE</t>
  </si>
  <si>
    <t>cst_shinsei_strtower12_prgo04_NINTEI_DATE_dsp</t>
    <phoneticPr fontId="2"/>
  </si>
  <si>
    <t xml:space="preserve"> - メーカー</t>
    <phoneticPr fontId="2"/>
  </si>
  <si>
    <t>**shinsei_strtower12_prgo04_MAKER_NAME</t>
  </si>
  <si>
    <t>cst_shinsei_strtower12_prgo04_NAME_VER</t>
    <phoneticPr fontId="2"/>
  </si>
  <si>
    <t>cst_shinsei_strtower12_prgo04_NAME_VER__SP</t>
    <phoneticPr fontId="2"/>
  </si>
  <si>
    <t>**shinsei_strtower21_CHARGE</t>
  </si>
  <si>
    <t>cst_shinsei_strtower21_CHARGE</t>
    <phoneticPr fontId="2"/>
  </si>
  <si>
    <t>cst_shinsei_strtower21_CHARGE__dsp</t>
    <phoneticPr fontId="2"/>
  </si>
  <si>
    <t>**shinsei_strtower21_CHARGE_WARIMASHI</t>
  </si>
  <si>
    <t>cst_shinsei_strtower21_CHARGE_WARIMASHI</t>
    <phoneticPr fontId="2"/>
  </si>
  <si>
    <t>**shinsei_strtower21_CHARGE_TOTAL</t>
  </si>
  <si>
    <t>cst_shinsei_strtower21_CHARGE_TOTAL</t>
    <phoneticPr fontId="2"/>
  </si>
  <si>
    <t>**shinsei_strtower21_CHARGE_KEISAN_NOTE</t>
  </si>
  <si>
    <t>cst_shinsei_strtower21_CHARGE_KEISAN_NOTE</t>
    <phoneticPr fontId="2"/>
  </si>
  <si>
    <t>cst_shinsei_strtower21_CHARGE_KEISAN_NOTE__alter</t>
    <phoneticPr fontId="2"/>
  </si>
  <si>
    <t>**shinsei_strtower21_KEISAN_X_ROUTE</t>
  </si>
  <si>
    <t>cst_shinsei_strtower21_KEISAN_X_ROUTE</t>
    <phoneticPr fontId="2"/>
  </si>
  <si>
    <t>**shinsei_strtower21_KEISAN_Y_ROUTE</t>
  </si>
  <si>
    <t>cst_shinsei_strtower30_KEISAN_X_ROUTE</t>
    <phoneticPr fontId="2"/>
  </si>
  <si>
    <t>**shinsei_strtower30_KEISAN_Y_ROUTE</t>
  </si>
  <si>
    <t>cst_shinsei_strtower30_KEISAN_Y_ROUTE</t>
    <phoneticPr fontId="2"/>
  </si>
  <si>
    <t>cst_shinsei_strtower30_XY_select</t>
    <phoneticPr fontId="2"/>
  </si>
  <si>
    <t>**shinsei_strtower30_PROGRAM_KIND_SONOTA</t>
  </si>
  <si>
    <t>cst_shinsei_strtower30_PROGRAM_KIND_SONOTA</t>
    <phoneticPr fontId="2"/>
  </si>
  <si>
    <t>data_values_strtower END</t>
    <phoneticPr fontId="2"/>
  </si>
  <si>
    <t>カスタマイズセル名</t>
    <rPh sb="8" eb="9">
      <t>メイ</t>
    </rPh>
    <phoneticPr fontId="2"/>
  </si>
  <si>
    <t>■ 審査請求用（訴訟先）</t>
    <rPh sb="2" eb="4">
      <t>シンサ</t>
    </rPh>
    <rPh sb="4" eb="6">
      <t>セイキュウ</t>
    </rPh>
    <rPh sb="6" eb="7">
      <t>ヨウ</t>
    </rPh>
    <rPh sb="8" eb="10">
      <t>ソショウ</t>
    </rPh>
    <rPh sb="10" eb="11">
      <t>サキ</t>
    </rPh>
    <phoneticPr fontId="2"/>
  </si>
  <si>
    <t>スペースを除くのだが、財団法人の後にスペース追加</t>
    <rPh sb="11" eb="13">
      <t>ザイダン</t>
    </rPh>
    <rPh sb="13" eb="15">
      <t>ホウジン</t>
    </rPh>
    <rPh sb="16" eb="17">
      <t>アト</t>
    </rPh>
    <rPh sb="22" eb="24">
      <t>ツイカ</t>
    </rPh>
    <phoneticPr fontId="2"/>
  </si>
  <si>
    <t>代表者名</t>
    <rPh sb="0" eb="3">
      <t>ダイヒョウシャ</t>
    </rPh>
    <rPh sb="3" eb="4">
      <t>メイ</t>
    </rPh>
    <phoneticPr fontId="2"/>
  </si>
  <si>
    <t>スペースを除く</t>
  </si>
  <si>
    <t>■ 建築審査会処理</t>
    <rPh sb="2" eb="4">
      <t>ケンチク</t>
    </rPh>
    <rPh sb="4" eb="7">
      <t>シンサカイ</t>
    </rPh>
    <rPh sb="7" eb="9">
      <t>ショリ</t>
    </rPh>
    <phoneticPr fontId="2"/>
  </si>
  <si>
    <t>特定行政庁及び特別区：市区町村, その他：都道府県, 限定特定行政庁：都道府県</t>
    <rPh sb="5" eb="6">
      <t>オヨ</t>
    </rPh>
    <rPh sb="11" eb="13">
      <t>シク</t>
    </rPh>
    <rPh sb="13" eb="15">
      <t>チョウソン</t>
    </rPh>
    <rPh sb="19" eb="20">
      <t>タ</t>
    </rPh>
    <rPh sb="21" eb="25">
      <t>トドウフケン</t>
    </rPh>
    <rPh sb="27" eb="29">
      <t>ゲンテイ</t>
    </rPh>
    <rPh sb="29" eb="31">
      <t>トクテイ</t>
    </rPh>
    <rPh sb="31" eb="34">
      <t>ギョウセイチョウ</t>
    </rPh>
    <rPh sb="35" eb="39">
      <t>トドウフケン</t>
    </rPh>
    <phoneticPr fontId="2"/>
  </si>
  <si>
    <t>限定特定行政庁で４号物件の時に審査会を市区町村で行う地域の処理</t>
    <rPh sb="0" eb="2">
      <t>ゲンテイ</t>
    </rPh>
    <rPh sb="2" eb="4">
      <t>トクテイ</t>
    </rPh>
    <rPh sb="4" eb="7">
      <t>ギョウセイチョウ</t>
    </rPh>
    <rPh sb="9" eb="10">
      <t>ゴウ</t>
    </rPh>
    <rPh sb="10" eb="12">
      <t>ブッケン</t>
    </rPh>
    <rPh sb="13" eb="14">
      <t>トキ</t>
    </rPh>
    <rPh sb="15" eb="18">
      <t>シンサカイ</t>
    </rPh>
    <rPh sb="19" eb="21">
      <t>シク</t>
    </rPh>
    <rPh sb="21" eb="23">
      <t>チョウソン</t>
    </rPh>
    <rPh sb="24" eb="25">
      <t>オコナ</t>
    </rPh>
    <rPh sb="26" eb="28">
      <t>チイキ</t>
    </rPh>
    <rPh sb="29" eb="31">
      <t>ショリ</t>
    </rPh>
    <phoneticPr fontId="2"/>
  </si>
  <si>
    <t>※鎌ヶ谷市の表記が分かれる事を想定し名称を複数登録した。</t>
    <rPh sb="1" eb="5">
      <t>カマガヤシ</t>
    </rPh>
    <rPh sb="6" eb="8">
      <t>ヒョウキ</t>
    </rPh>
    <rPh sb="9" eb="10">
      <t>ワ</t>
    </rPh>
    <rPh sb="13" eb="14">
      <t>コト</t>
    </rPh>
    <rPh sb="15" eb="17">
      <t>ソウテイ</t>
    </rPh>
    <rPh sb="18" eb="20">
      <t>メイショウ</t>
    </rPh>
    <rPh sb="21" eb="23">
      <t>フクスウ</t>
    </rPh>
    <rPh sb="23" eb="25">
      <t>トウロク</t>
    </rPh>
    <phoneticPr fontId="2"/>
  </si>
  <si>
    <t>○ 市町村登録範囲</t>
    <rPh sb="2" eb="5">
      <t>シチョウソン</t>
    </rPh>
    <rPh sb="5" eb="7">
      <t>トウロク</t>
    </rPh>
    <rPh sb="7" eb="9">
      <t>ハンイ</t>
    </rPh>
    <phoneticPr fontId="2"/>
  </si>
  <si>
    <t>cst_SHINSAKAI__city_area</t>
    <phoneticPr fontId="2"/>
  </si>
  <si>
    <t>**shinsei_strtower22_KOUZOU_KEISAN</t>
  </si>
  <si>
    <t>cst_shinsei_strtower22_KOUZOU_KEISAN</t>
    <phoneticPr fontId="2"/>
  </si>
  <si>
    <t>**shinsei_strtower22_KOUZOU_KEISAN_TEXT</t>
  </si>
  <si>
    <t>cst_shinsei_strtower22_KOUZOU_KEISAN_TEXT</t>
    <phoneticPr fontId="2"/>
  </si>
  <si>
    <t>**shinsei_strtower22_MENSEKI</t>
  </si>
  <si>
    <t>cst_shinsei_strtower22_MENSEKI</t>
    <phoneticPr fontId="2"/>
  </si>
  <si>
    <t>cst_shinsei_strtower22_MENSEKI__dsp</t>
    <phoneticPr fontId="2"/>
  </si>
  <si>
    <t>**shinsei_strtower22_MAX_TAKASA</t>
  </si>
  <si>
    <t>cst_shinsei_strtower22_MAX_TAKASA</t>
    <phoneticPr fontId="2"/>
  </si>
  <si>
    <t>**shinsei_strtower22_MAX_NOKI_TAKASA</t>
  </si>
  <si>
    <t>cst_shinsei_strtower22_MAX_NOKI_TAKASA</t>
    <phoneticPr fontId="2"/>
  </si>
  <si>
    <t>**shinsei_strtower22_KAISU_TIJYOU</t>
  </si>
  <si>
    <t>cst_shinsei_strtower22_KAISU_TIJYOU</t>
    <phoneticPr fontId="2"/>
  </si>
  <si>
    <t>**shinsei_strtower22_KAISU_TIKA</t>
  </si>
  <si>
    <t>cst_shinsei_strtower22_KAISU_TIKA</t>
    <phoneticPr fontId="2"/>
  </si>
  <si>
    <t>**shinsei_strtower22_KAISU_TOUYA</t>
  </si>
  <si>
    <t>cst_shinsei_strtower22_KAISU_TOUYA</t>
    <phoneticPr fontId="2"/>
  </si>
  <si>
    <t>**shinsei_strtower22_BUILD_KUBUN</t>
  </si>
  <si>
    <t>cst_shinsei_strtower22_BUILD_KUBUN</t>
    <phoneticPr fontId="2"/>
  </si>
  <si>
    <t>**shinsei_strtower22_BUILD_KUBUN_TEXT</t>
  </si>
  <si>
    <t>cst_shinsei_strtower22_BUILD_KUBUN_TEXT</t>
    <phoneticPr fontId="2"/>
  </si>
  <si>
    <t>cst_shinsei_strtower22_HOU20_2_select</t>
    <phoneticPr fontId="2"/>
  </si>
  <si>
    <t>cst_shinsei_strtower22_HOU20_3_select</t>
    <phoneticPr fontId="2"/>
  </si>
  <si>
    <t>**shinsei_strtower22_MENJYO_TEXT</t>
  </si>
  <si>
    <t>cst_shinsei_strtower22_MENJYO</t>
    <phoneticPr fontId="2"/>
  </si>
  <si>
    <t>**shinsei_strtower22_PROGRAM_KIND</t>
  </si>
  <si>
    <t>cst_shinsei_strtower22_PROGRAM_KIND</t>
    <phoneticPr fontId="2"/>
  </si>
  <si>
    <t>**shinsei_strtower22_REI80_2_KOKUJI_TEXT</t>
  </si>
  <si>
    <t>cst_shinsei_strtower22_REI80_2_KOKUJI</t>
    <phoneticPr fontId="2"/>
  </si>
  <si>
    <t>**shinsei_strtower22_PROGRAM_KIND__nintei__box</t>
  </si>
  <si>
    <t>cst_shinsei_strtower22_NINTEI</t>
    <phoneticPr fontId="2"/>
  </si>
  <si>
    <t>**shinsei_strtower22_PROGRAM_KIND__hyouka__box</t>
  </si>
  <si>
    <t>**shinsei_strtower22_PROGRAM_KIND__sonota__box</t>
  </si>
  <si>
    <t>**shinsei_strtower22_prgo01_NAME</t>
  </si>
  <si>
    <t>**shinsei_strtower22_prgo01_VER</t>
  </si>
  <si>
    <t>cst_shinsei_strtower22_prgo01_NINTEI__umu</t>
    <phoneticPr fontId="2"/>
  </si>
  <si>
    <t>**shinsei_strtower22_prgo01_NINTEI_NO</t>
  </si>
  <si>
    <t>cst_shinsei_strtower22_prgo01_NINTEI_NO</t>
    <phoneticPr fontId="2"/>
  </si>
  <si>
    <t>**shinsei_strtower22_prgo01_NINTEI_DATE</t>
  </si>
  <si>
    <t>cst_shinsei_strtower22_prgo01_NINTEI_DATE_dsp</t>
    <phoneticPr fontId="2"/>
  </si>
  <si>
    <t>**shinsei_strtower22_prgo01_MAKER_NAME</t>
  </si>
  <si>
    <t>cst_shinsei_strtower22_prgo01_NAME_VER</t>
    <phoneticPr fontId="2"/>
  </si>
  <si>
    <t>cst_shinsei_strtower22_prgo01_NAME_VER__SP</t>
    <phoneticPr fontId="2"/>
  </si>
  <si>
    <t>cst_shinsei_strtower22_prgo01_MAKER__NINTEI_ari</t>
    <phoneticPr fontId="2"/>
  </si>
  <si>
    <t>cst_shinsei_strtower22_prgo01_NAME_VER__NINTEI_ari</t>
    <phoneticPr fontId="2"/>
  </si>
  <si>
    <t>cst_shinsei_strtower22_prgo01_MAKER__NINTEI_non</t>
    <phoneticPr fontId="2"/>
  </si>
  <si>
    <t>cst_shinsei_strtower22_prgo01_NAME_VER__NINTEI_non</t>
    <phoneticPr fontId="2"/>
  </si>
  <si>
    <t>**shinsei_strtower22_prgo02_NAME</t>
  </si>
  <si>
    <t>**shinsei_strtower22_prgo02_VER</t>
  </si>
  <si>
    <t>cst_shinsei_strtower22_prgo02_NINTEI__umu</t>
    <phoneticPr fontId="2"/>
  </si>
  <si>
    <t>**shinsei_strtower22_prgo02_NINTEI_NO</t>
  </si>
  <si>
    <t>cst_shinsei_strtower22_prgo02_NINTEI_NO</t>
    <phoneticPr fontId="2"/>
  </si>
  <si>
    <t>**shinsei_strtower22_prgo02_NINTEI_DATE</t>
  </si>
  <si>
    <t>cst_shinsei_strtower22_prgo02_NINTEI_DATE_dsp</t>
    <phoneticPr fontId="2"/>
  </si>
  <si>
    <t>**shinsei_strtower22_prgo02_MAKER_NAME</t>
  </si>
  <si>
    <t>cst_shinsei_strtower22_prgo02_NAME_VER</t>
    <phoneticPr fontId="2"/>
  </si>
  <si>
    <t>cst_shinsei_strtower22_prgo02_NAME_VER__SP</t>
    <phoneticPr fontId="2"/>
  </si>
  <si>
    <t>cst_shinsei_strtower22_prgo02_MAKER__NINTEI_ari</t>
    <phoneticPr fontId="2"/>
  </si>
  <si>
    <t>cst_shinsei_strtower22_prgo02_NAME_VER__NINTEI_ari</t>
    <phoneticPr fontId="2"/>
  </si>
  <si>
    <t>cst_shinsei_strtower22_prgo02_MAKER__NINTEI_non</t>
    <phoneticPr fontId="2"/>
  </si>
  <si>
    <t>cst_shinsei_strtower22_prgo02_NAME_VER__NINTEI_non</t>
    <phoneticPr fontId="2"/>
  </si>
  <si>
    <t>**shinsei_strtower22_prgo03_NAME</t>
  </si>
  <si>
    <t>**shinsei_strtower22_prgo03_VER</t>
  </si>
  <si>
    <t>cst_shinsei_strtower22_prgo03_NINTEI__umu</t>
    <phoneticPr fontId="2"/>
  </si>
  <si>
    <t>**shinsei_strtower22_prgo03_NINTEI_NO</t>
  </si>
  <si>
    <t>**shinsei_strtower22_prgo03_NINTEI_DATE</t>
  </si>
  <si>
    <t>cst_shinsei_strtower22_prgo03_NINTEI_DATE_dsp</t>
    <phoneticPr fontId="2"/>
  </si>
  <si>
    <t>**shinsei_strtower22_prgo03_MAKER_NAME</t>
  </si>
  <si>
    <t>cst_shinsei_strtower22_prgo03_NAME_VER</t>
    <phoneticPr fontId="2"/>
  </si>
  <si>
    <t>cst_shinsei_strtower22_prgo03_NAME_VER__SP</t>
    <phoneticPr fontId="2"/>
  </si>
  <si>
    <t>cst_shinsei_strtower22_prgo03_MAKER__NINTEI_ari</t>
    <phoneticPr fontId="2"/>
  </si>
  <si>
    <t>cst_shinsei_strtower22_prgo03_NAME_VER__NINTEI_ari</t>
    <phoneticPr fontId="2"/>
  </si>
  <si>
    <t>cst_shinsei_strtower22_prgo03_MAKER__NINTEI_non</t>
    <phoneticPr fontId="2"/>
  </si>
  <si>
    <t>cst_shinsei_strtower22_prgo03_NAME_VER__NINTEI_non</t>
    <phoneticPr fontId="2"/>
  </si>
  <si>
    <t>**shinsei_strtower22_prgo04_NAME</t>
  </si>
  <si>
    <t>**shinsei_strtower22_prgo04_VER</t>
  </si>
  <si>
    <t>cst_shinsei_strtower22_prgo04_NINTEI__umu</t>
    <phoneticPr fontId="2"/>
  </si>
  <si>
    <t>**shinsei_strtower22_prgo04_NINTEI_NO</t>
  </si>
  <si>
    <t>**shinsei_strtower22_prgo04_NINTEI_DATE</t>
  </si>
  <si>
    <t>cst_shinsei_strtower22_prgo04_NINTEI_DATE_dsp</t>
    <phoneticPr fontId="2"/>
  </si>
  <si>
    <t>**shinsei_strtower22_prgo04_MAKER_NAME</t>
  </si>
  <si>
    <t>cst_shinsei_strtower22_prgo04_NAME_VER</t>
    <phoneticPr fontId="2"/>
  </si>
  <si>
    <t>cst_shinsei_strtower22_prgo04_NAME_VER__SP</t>
    <phoneticPr fontId="2"/>
  </si>
  <si>
    <t>cst_shinsei_strtower22_prgo04_MAKER__NINTEI_ari</t>
    <phoneticPr fontId="2"/>
  </si>
  <si>
    <t>cst_shinsei_strtower22_prgo04_NAME_VER__NINTEI_ari</t>
    <phoneticPr fontId="2"/>
  </si>
  <si>
    <t>cst_shinsei_strtower22_prgo04_MAKER__NINTEI_non</t>
    <phoneticPr fontId="2"/>
  </si>
  <si>
    <t>cst_shinsei_strtower22_prgo04_NAME_VER__NINTEI_non</t>
    <phoneticPr fontId="2"/>
  </si>
  <si>
    <t>**shinsei_strtower22_prgo05_NAME</t>
  </si>
  <si>
    <t>**shinsei_strtower22_prgo05_VER</t>
  </si>
  <si>
    <t>cst_shinsei_strtower22_prgo05_NINTEI__umu</t>
    <phoneticPr fontId="2"/>
  </si>
  <si>
    <t>**shinsei_strtower22_prgo05_NINTEI_NO</t>
  </si>
  <si>
    <t>**shinsei_strtower22_prgo05_NINTEI_DATE</t>
  </si>
  <si>
    <t>cst_shinsei_strtower22_prgo05_NINTEI_DATE_dsp</t>
    <phoneticPr fontId="2"/>
  </si>
  <si>
    <t>**shinsei_strtower22_prgo05_MAKER_NAME</t>
  </si>
  <si>
    <t>cst_shinsei_strtower22_prgo05_NAME_VER</t>
    <phoneticPr fontId="2"/>
  </si>
  <si>
    <t>cst_shinsei_strtower22_prgo05_NAME_VER__SP</t>
    <phoneticPr fontId="2"/>
  </si>
  <si>
    <t>cst_shinsei_strtower22_prgo05_MAKER__NINTEI_ari</t>
    <phoneticPr fontId="2"/>
  </si>
  <si>
    <t>cst_shinsei_strtower22_prgo05_NAME_VER__NINTEI_ari</t>
    <phoneticPr fontId="2"/>
  </si>
  <si>
    <t>cst_shinsei_strtower22_prgo05_MAKER__NINTEI_non</t>
    <phoneticPr fontId="2"/>
  </si>
  <si>
    <t>cst_shinsei_strtower22_prgo05_NAME_VER__NINTEI_non</t>
    <phoneticPr fontId="2"/>
  </si>
  <si>
    <t>cst_shinsei_strtower22_PROG_NAME_VER__CHAR</t>
    <phoneticPr fontId="2"/>
  </si>
  <si>
    <t>cst_shinsei_strtower22_PROG_NAME_VER__CHAR__SP</t>
    <phoneticPr fontId="2"/>
  </si>
  <si>
    <t>cst_shinsei_strtower22_PROG_MAKER__NINTEI_ari_SP</t>
    <phoneticPr fontId="2"/>
  </si>
  <si>
    <t>cst_shinsei_strtower22_PROG_NAME_VER__NINTEI_ari_SP</t>
    <phoneticPr fontId="2"/>
  </si>
  <si>
    <t>cst_shinsei_strtower22_PROG_NINTEI_DATE_SP</t>
    <phoneticPr fontId="2"/>
  </si>
  <si>
    <t>cst_shinsei_strtower22_PROG_MAKER__NINTEI_no_SP</t>
    <phoneticPr fontId="2"/>
  </si>
  <si>
    <t>cst_shinsei_strtower22_PROG_NAME_VER__NINTEI_non_SP</t>
    <phoneticPr fontId="2"/>
  </si>
  <si>
    <t>**shinsei_strtower22_DISK_FLAG</t>
  </si>
  <si>
    <t>cst_shinsei_strtower22_DISK_FLAG</t>
    <phoneticPr fontId="2"/>
  </si>
  <si>
    <t>**shinsei_strtower22_CHARGE</t>
  </si>
  <si>
    <t>cst_shinsei_strtower22_CHARGE</t>
    <phoneticPr fontId="2"/>
  </si>
  <si>
    <t>cst_shinsei_strtower22_CHARGE__dsp</t>
    <phoneticPr fontId="2"/>
  </si>
  <si>
    <t>**shinsei_strtower22_CHARGE_WARIMASHI</t>
  </si>
  <si>
    <t>cst_shinsei_strtower22_CHARGE_WARIMASHI</t>
    <phoneticPr fontId="2"/>
  </si>
  <si>
    <t>**shinsei_strtower22_CHARGE_TOTAL</t>
  </si>
  <si>
    <t>cst_shinsei_strtower22_CHARGE_TOTAL</t>
    <phoneticPr fontId="2"/>
  </si>
  <si>
    <t>**shinsei_strtower22_CHARGE_KEISAN_NOTE</t>
  </si>
  <si>
    <t>cst_shinsei_strtower22_CHARGE_KEISAN_NOTE</t>
    <phoneticPr fontId="2"/>
  </si>
  <si>
    <t>cst_shinsei_strtower22_CHARGE_KEISAN_NOTE__alter</t>
    <phoneticPr fontId="2"/>
  </si>
  <si>
    <t>**shinsei_strtower22_KEISAN_X_ROUTE</t>
  </si>
  <si>
    <t>cst_shinsei_strtower22_KEISAN_X_ROUTE</t>
    <phoneticPr fontId="2"/>
  </si>
  <si>
    <t>**shinsei_strtower22_KEISAN_Y_ROUTE</t>
  </si>
  <si>
    <t>cst_shinsei_strtower22_KEISAN_Y_ROUTE</t>
    <phoneticPr fontId="2"/>
  </si>
  <si>
    <t>cst_shinsei_strtower22_XY_select</t>
    <phoneticPr fontId="2"/>
  </si>
  <si>
    <t>**shinsei_strtower22_PROGRAM_KIND_SONOTA</t>
  </si>
  <si>
    <t>cst_shinsei_strtower22_PROGRAM_KIND_SONOTA</t>
    <phoneticPr fontId="2"/>
  </si>
  <si>
    <t>**shinsei_strtower23_TOWER_NO</t>
  </si>
  <si>
    <t>cst_shinsei_strtower23_TOWER_NO</t>
    <phoneticPr fontId="2"/>
  </si>
  <si>
    <t>**shinsei_strtower23_STR_TOWER_NO</t>
  </si>
  <si>
    <t>cst_shinsei_strtower23_STR_TOWER_NO</t>
    <phoneticPr fontId="2"/>
  </si>
  <si>
    <t>cst_shinsei_strtower23__TOWER_NO_STR_TOWER_NO</t>
    <phoneticPr fontId="2"/>
  </si>
  <si>
    <t>cst_shinsei_strtower23__TOWER_NO_STR_TOWERS</t>
    <phoneticPr fontId="2"/>
  </si>
  <si>
    <t>**shinsei_strtower23_STR_TOWER_NAME</t>
  </si>
  <si>
    <t>cst_shinsei_strtower23_STR_TOWER_NAME</t>
    <phoneticPr fontId="2"/>
  </si>
  <si>
    <t>**shinsei_strtower23_JUDGE</t>
  </si>
  <si>
    <t>cst_shinsei_strtower23_JUDGE</t>
    <phoneticPr fontId="2"/>
  </si>
  <si>
    <t>**shinsei_strtower23_STR_TOWER_YOUTO_TEXT</t>
  </si>
  <si>
    <t>cst_shinsei_strtower23_STR_TOWER_YOUTO_TEXT</t>
    <phoneticPr fontId="2"/>
  </si>
  <si>
    <t>**shinsei_strtower23_KOUJI_TEXT</t>
  </si>
  <si>
    <t>cst_shinsei_strtower23_KOUJI_TEXT</t>
    <phoneticPr fontId="2"/>
  </si>
  <si>
    <t>**shinsei_strtower23_KOUZOU</t>
  </si>
  <si>
    <t>cst_shinsei_strtower23_KOUZOU</t>
    <phoneticPr fontId="2"/>
  </si>
  <si>
    <t>**shinsei_strtower23_KOUZOU_TEXT</t>
  </si>
  <si>
    <t>cst_shinsei_strtower23_KOUZOU_TEXT</t>
    <phoneticPr fontId="2"/>
  </si>
  <si>
    <t>**shinsei_strtower23_KOUZOU_KEISAN</t>
  </si>
  <si>
    <t>cst_shinsei_strtower23_KOUZOU_KEISAN</t>
    <phoneticPr fontId="2"/>
  </si>
  <si>
    <t>**shinsei_strtower23_KOUZOU_KEISAN_TEXT</t>
  </si>
  <si>
    <t>cst_shinsei_strtower23_KOUZOU_KEISAN_TEXT</t>
    <phoneticPr fontId="2"/>
  </si>
  <si>
    <t>**shinsei_strtower23_MENSEKI</t>
  </si>
  <si>
    <t>cst_shinsei_strtower23_MENSEKI</t>
    <phoneticPr fontId="2"/>
  </si>
  <si>
    <t>cst_shinsei_strtower23_MENSEKI__dsp</t>
    <phoneticPr fontId="2"/>
  </si>
  <si>
    <t>**shinsei_strtower23_MAX_TAKASA</t>
  </si>
  <si>
    <t>cst_shinsei_strtower23_MAX_TAKASA</t>
    <phoneticPr fontId="2"/>
  </si>
  <si>
    <t>**shinsei_strtower23_MAX_NOKI_TAKASA</t>
  </si>
  <si>
    <t>cst_shinsei_strtower23_MAX_NOKI_TAKASA</t>
    <phoneticPr fontId="2"/>
  </si>
  <si>
    <t>**shinsei_strtower23_KAISU_TIJYOU</t>
  </si>
  <si>
    <t>cst_shinsei_strtower23_KAISU_TIJYOU</t>
    <phoneticPr fontId="2"/>
  </si>
  <si>
    <t>**shinsei_strtower23_KAISU_TIKA</t>
  </si>
  <si>
    <t>cst_shinsei_strtower23_KAISU_TIKA</t>
    <phoneticPr fontId="2"/>
  </si>
  <si>
    <t>**shinsei_strtower23_KAISU_TOUYA</t>
  </si>
  <si>
    <t>cst_shinsei_strtower23_KAISU_TOUYA</t>
    <phoneticPr fontId="2"/>
  </si>
  <si>
    <t>**shinsei_strtower23_BUILD_KUBUN</t>
  </si>
  <si>
    <t>cst_shinsei_strtower23_BUILD_KUBUN</t>
    <phoneticPr fontId="2"/>
  </si>
  <si>
    <t>**shinsei_strtower23_BUILD_KUBUN_TEXT</t>
  </si>
  <si>
    <t>cst_shinsei_strtower23_BUILD_KUBUN_TEXT</t>
    <phoneticPr fontId="2"/>
  </si>
  <si>
    <t>cst_shinsei_strtower23_HOU20_2_select</t>
    <phoneticPr fontId="2"/>
  </si>
  <si>
    <t>cst_shinsei_strtower23_HOU20_3_select</t>
    <phoneticPr fontId="2"/>
  </si>
  <si>
    <t>**shinsei_strtower23_MENJYO_TEXT</t>
  </si>
  <si>
    <t>cst_shinsei_strtower23_MENJYO</t>
    <phoneticPr fontId="2"/>
  </si>
  <si>
    <t>**shinsei_strtower23_PROGRAM_KIND</t>
  </si>
  <si>
    <t>cst_shinsei_strtower23_PROGRAM_KIND</t>
    <phoneticPr fontId="2"/>
  </si>
  <si>
    <t>**shinsei_strtower23_REI80_2_KOKUJI_TEXT</t>
  </si>
  <si>
    <t>cst_shinsei_strtower23_REI80_2_KOKUJI</t>
    <phoneticPr fontId="2"/>
  </si>
  <si>
    <t>**shinsei_strtower23_PROGRAM_KIND__nintei__box</t>
  </si>
  <si>
    <t>cst_shinsei_strtower23_NINTEI</t>
    <phoneticPr fontId="2"/>
  </si>
  <si>
    <t>**shinsei_strtower23_PROGRAM_KIND__hyouka__box</t>
  </si>
  <si>
    <t>**shinsei_strtower23_PROGRAM_KIND__sonota__box</t>
  </si>
  <si>
    <t>**shinsei_strtower23_prgo01_NAME</t>
  </si>
  <si>
    <t>**shinsei_strtower23_prgo01_VER</t>
  </si>
  <si>
    <t>cst_shinsei_strtower23_prgo01_NINTEI__umu</t>
    <phoneticPr fontId="2"/>
  </si>
  <si>
    <t>**shinsei_strtower23_prgo01_NINTEI_NO</t>
  </si>
  <si>
    <t>cst_shinsei_strtower23_prgo01_NINTEI_NO</t>
    <phoneticPr fontId="2"/>
  </si>
  <si>
    <t>**shinsei_strtower23_prgo01_NINTEI_DATE</t>
  </si>
  <si>
    <t>cst_shinsei_strtower23_prgo01_NINTEI_DATE_dsp</t>
    <phoneticPr fontId="2"/>
  </si>
  <si>
    <t>**shinsei_strtower23_prgo01_MAKER_NAME</t>
  </si>
  <si>
    <t>cst_shinsei_strtower23_prgo01_NAME_VER</t>
    <phoneticPr fontId="2"/>
  </si>
  <si>
    <t>cst_shinsei_strtower23_prgo01_NAME_VER__SP</t>
    <phoneticPr fontId="2"/>
  </si>
  <si>
    <t>cst_shinsei_strtower23_prgo01_MAKER__NINTEI_ari</t>
    <phoneticPr fontId="2"/>
  </si>
  <si>
    <t>cst_shinsei_strtower23_prgo01_NAME_VER__NINTEI_ari</t>
    <phoneticPr fontId="2"/>
  </si>
  <si>
    <t>cst_shinsei_strtower23_prgo01_MAKER__NINTEI_non</t>
    <phoneticPr fontId="2"/>
  </si>
  <si>
    <t>cst_shinsei_strtower23_prgo01_NAME_VER__NINTEI_non</t>
    <phoneticPr fontId="2"/>
  </si>
  <si>
    <t>**shinsei_strtower23_prgo02_NAME</t>
  </si>
  <si>
    <t>**shinsei_strtower23_prgo02_VER</t>
  </si>
  <si>
    <t>cst_shinsei_strtower23_prgo02_NINTEI__umu</t>
    <phoneticPr fontId="2"/>
  </si>
  <si>
    <t>**shinsei_strtower23_prgo02_NINTEI_NO</t>
  </si>
  <si>
    <t>cst_shinsei_strtower23_prgo02_NINTEI_NO</t>
    <phoneticPr fontId="2"/>
  </si>
  <si>
    <t>**shinsei_strtower23_prgo02_NINTEI_DATE</t>
  </si>
  <si>
    <t>cst_shinsei_strtower23_prgo02_NINTEI_DATE_dsp</t>
    <phoneticPr fontId="2"/>
  </si>
  <si>
    <t>**shinsei_strtower23_prgo02_MAKER_NAME</t>
  </si>
  <si>
    <t>cst_shinsei_strtower23_prgo02_NAME_VER</t>
    <phoneticPr fontId="2"/>
  </si>
  <si>
    <t>cst_shinsei_strtower23_prgo02_NAME_VER__SP</t>
    <phoneticPr fontId="2"/>
  </si>
  <si>
    <t>cst_shinsei_strtower23_prgo02_MAKER__NINTEI_ari</t>
    <phoneticPr fontId="2"/>
  </si>
  <si>
    <t>cst_shinsei_strtower23_prgo02_NAME_VER__NINTEI_ari</t>
    <phoneticPr fontId="2"/>
  </si>
  <si>
    <t>cst_shinsei_strtower23_prgo02_MAKER__NINTEI_non</t>
    <phoneticPr fontId="2"/>
  </si>
  <si>
    <t>cst_shinsei_strtower23_prgo02_NAME_VER__NINTEI_non</t>
    <phoneticPr fontId="2"/>
  </si>
  <si>
    <t>**shinsei_strtower23_prgo03_NAME</t>
  </si>
  <si>
    <t>**shinsei_strtower23_prgo03_VER</t>
  </si>
  <si>
    <t>cst_shinsei_strtower23_prgo03_NINTEI__umu</t>
    <phoneticPr fontId="2"/>
  </si>
  <si>
    <t>**shinsei_strtower23_prgo03_NINTEI_NO</t>
  </si>
  <si>
    <t>**shinsei_strtower23_prgo03_NINTEI_DATE</t>
  </si>
  <si>
    <t>cst_shinsei_strtower23_prgo03_NINTEI_DATE_dsp</t>
    <phoneticPr fontId="2"/>
  </si>
  <si>
    <t>**shinsei_strtower23_prgo03_MAKER_NAME</t>
  </si>
  <si>
    <t>cst_shinsei_strtower23_prgo03_NAME_VER</t>
    <phoneticPr fontId="2"/>
  </si>
  <si>
    <t>cst_shinsei_strtower23_prgo03_NAME_VER__SP</t>
    <phoneticPr fontId="2"/>
  </si>
  <si>
    <t>cst_shinsei_strtower23_prgo03_MAKER__NINTEI_ari</t>
    <phoneticPr fontId="2"/>
  </si>
  <si>
    <t>cst_shinsei_strtower23_prgo03_NAME_VER__NINTEI_ari</t>
    <phoneticPr fontId="2"/>
  </si>
  <si>
    <t>cst_shinsei_strtower23_prgo03_MAKER__NINTEI_non</t>
    <phoneticPr fontId="2"/>
  </si>
  <si>
    <t>cst_shinsei_strtower23_prgo03_NAME_VER__NINTEI_non</t>
    <phoneticPr fontId="2"/>
  </si>
  <si>
    <t>**shinsei_strtower23_prgo04_NAME</t>
  </si>
  <si>
    <t>**shinsei_strtower23_prgo04_VER</t>
  </si>
  <si>
    <t>cst_shinsei_strtower23_prgo04_NINTEI__umu</t>
    <phoneticPr fontId="2"/>
  </si>
  <si>
    <t>**shinsei_strtower23_prgo04_NINTEI_NO</t>
  </si>
  <si>
    <t>**shinsei_strtower23_prgo04_NINTEI_DATE</t>
  </si>
  <si>
    <t>cst_shinsei_strtower23_prgo04_NINTEI_DATE_dsp</t>
    <phoneticPr fontId="2"/>
  </si>
  <si>
    <t>**shinsei_strtower23_prgo04_MAKER_NAME</t>
  </si>
  <si>
    <t>cst_shinsei_strtower23_prgo04_NAME_VER</t>
    <phoneticPr fontId="2"/>
  </si>
  <si>
    <t>cst_shinsei_strtower23_prgo04_NAME_VER__SP</t>
    <phoneticPr fontId="2"/>
  </si>
  <si>
    <t>cst_shinsei_strtower23_prgo04_MAKER__NINTEI_ari</t>
    <phoneticPr fontId="2"/>
  </si>
  <si>
    <t>cst_shinsei_strtower23_prgo04_NAME_VER__NINTEI_ari</t>
    <phoneticPr fontId="2"/>
  </si>
  <si>
    <t>cst_shinsei_strtower23_prgo04_MAKER__NINTEI_non</t>
    <phoneticPr fontId="2"/>
  </si>
  <si>
    <t>cst_shinsei_strtower23_prgo04_NAME_VER__NINTEI_non</t>
    <phoneticPr fontId="2"/>
  </si>
  <si>
    <t>**shinsei_strtower23_prgo05_NAME</t>
  </si>
  <si>
    <t>**shinsei_strtower23_prgo05_VER</t>
  </si>
  <si>
    <t>cst_shinsei_strtower23_prgo05_NINTEI__umu</t>
    <phoneticPr fontId="2"/>
  </si>
  <si>
    <t>**shinsei_strtower23_prgo05_NINTEI_NO</t>
  </si>
  <si>
    <t>**shinsei_strtower23_prgo05_NINTEI_DATE</t>
  </si>
  <si>
    <t>cst_shinsei_strtower23_prgo05_NINTEI_DATE_dsp</t>
    <phoneticPr fontId="2"/>
  </si>
  <si>
    <t>**shinsei_strtower23_prgo05_MAKER_NAME</t>
  </si>
  <si>
    <t>cst_shinsei_strtower23_prgo05_NAME_VER</t>
    <phoneticPr fontId="2"/>
  </si>
  <si>
    <t>cst_shinsei_strtower23_prgo05_NAME_VER__SP</t>
    <phoneticPr fontId="2"/>
  </si>
  <si>
    <t>cst_shinsei_strtower23_prgo05_MAKER__NINTEI_ari</t>
    <phoneticPr fontId="2"/>
  </si>
  <si>
    <t>cst_shinsei_strtower23_prgo05_NAME_VER__NINTEI_ari</t>
    <phoneticPr fontId="2"/>
  </si>
  <si>
    <t>cst_shinsei_strtower23_prgo05_MAKER__NINTEI_non</t>
    <phoneticPr fontId="2"/>
  </si>
  <si>
    <t>cst_shinsei_strtower23_prgo05_NAME_VER__NINTEI_non</t>
    <phoneticPr fontId="2"/>
  </si>
  <si>
    <t>cst_shinsei_strtower23_PROG_NAME_VER__CHAR</t>
    <phoneticPr fontId="2"/>
  </si>
  <si>
    <t>cst_shinsei_strtower23_PROG_NAME_VER__CHAR__SP</t>
    <phoneticPr fontId="2"/>
  </si>
  <si>
    <t>cst_shinsei_strtower23_PROG_MAKER__NINTEI_ari_SP</t>
    <phoneticPr fontId="2"/>
  </si>
  <si>
    <t>cst_shinsei_strtower23_PROG_NAME_VER__NINTEI_ari_SP</t>
    <phoneticPr fontId="2"/>
  </si>
  <si>
    <t>cst_shinsei_strtower23_PROG_NINTEI_DATE_SP</t>
    <phoneticPr fontId="2"/>
  </si>
  <si>
    <t>cst_shinsei_strtower23_PROG_MAKER__NINTEI_no_SP</t>
    <phoneticPr fontId="2"/>
  </si>
  <si>
    <t>cst_shinsei_strtower23_PROG_NAME_VER__NINTEI_non_SP</t>
    <phoneticPr fontId="2"/>
  </si>
  <si>
    <t>**shinsei_strtower23_DISK_FLAG</t>
  </si>
  <si>
    <t>cst_shinsei_strtower23_DISK_FLAG</t>
    <phoneticPr fontId="2"/>
  </si>
  <si>
    <t>**shinsei_strtower23_CHARGE</t>
  </si>
  <si>
    <t>cst_shinsei_strtower23_CHARGE</t>
    <phoneticPr fontId="2"/>
  </si>
  <si>
    <t>cst_shinsei_strtower23_CHARGE__dsp</t>
    <phoneticPr fontId="2"/>
  </si>
  <si>
    <t>**shinsei_strtower23_CHARGE_WARIMASHI</t>
  </si>
  <si>
    <t>cst_shinsei_strtower23_CHARGE_WARIMASHI</t>
    <phoneticPr fontId="2"/>
  </si>
  <si>
    <t>**shinsei_strtower23_CHARGE_TOTAL</t>
  </si>
  <si>
    <t>cst_shinsei_strtower23_CHARGE_TOTAL</t>
    <phoneticPr fontId="2"/>
  </si>
  <si>
    <t>**shinsei_strtower23_CHARGE_KEISAN_NOTE</t>
  </si>
  <si>
    <t>cst_shinsei_strtower23_CHARGE_KEISAN_NOTE</t>
    <phoneticPr fontId="2"/>
  </si>
  <si>
    <t>cst_shinsei_strtower23_CHARGE_KEISAN_NOTE__alter</t>
    <phoneticPr fontId="2"/>
  </si>
  <si>
    <t>**shinsei_strtower23_KEISAN_X_ROUTE</t>
  </si>
  <si>
    <t>cst_shinsei_strtower23_KEISAN_X_ROUTE</t>
    <phoneticPr fontId="2"/>
  </si>
  <si>
    <t>**shinsei_strtower23_KEISAN_Y_ROUTE</t>
  </si>
  <si>
    <t>cst_shinsei_strtower23_KEISAN_Y_ROUTE</t>
    <phoneticPr fontId="2"/>
  </si>
  <si>
    <t>cst_shinsei_strtower23_XY_select</t>
    <phoneticPr fontId="2"/>
  </si>
  <si>
    <t>**shinsei_strtower23_PROGRAM_KIND_SONOTA</t>
  </si>
  <si>
    <t>cst_shinsei_strtower23_PROGRAM_KIND_SONOTA</t>
    <phoneticPr fontId="2"/>
  </si>
  <si>
    <t>**shinsei_strtower24_TOWER_NO</t>
  </si>
  <si>
    <t>cst_shinsei_strtower24_TOWER_NO</t>
    <phoneticPr fontId="2"/>
  </si>
  <si>
    <t>**shinsei_strtower24_STR_TOWER_NO</t>
  </si>
  <si>
    <t>cst_shinsei_strtower24_STR_TOWER_NO</t>
    <phoneticPr fontId="2"/>
  </si>
  <si>
    <t>cst_shinsei_strtower24__TOWER_NO_STR_TOWER_NO</t>
    <phoneticPr fontId="2"/>
  </si>
  <si>
    <t>cst_shinsei_strtower24__TOWER_NO_STR_TOWERS</t>
    <phoneticPr fontId="2"/>
  </si>
  <si>
    <t>**shinsei_strtower24_STR_TOWER_NAME</t>
  </si>
  <si>
    <t>cst_shinsei_strtower24_STR_TOWER_NAME</t>
    <phoneticPr fontId="2"/>
  </si>
  <si>
    <t>**shinsei_strtower24_JUDGE</t>
  </si>
  <si>
    <t>cst_shinsei_strtower24_JUDGE</t>
    <phoneticPr fontId="2"/>
  </si>
  <si>
    <t>**shinsei_strtower24_STR_TOWER_YOUTO_TEXT</t>
  </si>
  <si>
    <t>cst_shinsei_strtower24_STR_TOWER_YOUTO_TEXT</t>
    <phoneticPr fontId="2"/>
  </si>
  <si>
    <t>**shinsei_strtower24_KOUJI_TEXT</t>
  </si>
  <si>
    <t>cst_shinsei_strtower24_KOUJI_TEXT</t>
    <phoneticPr fontId="2"/>
  </si>
  <si>
    <t>**shinsei_strtower24_KOUZOU</t>
  </si>
  <si>
    <t>cst_shinsei_strtower24_KOUZOU</t>
    <phoneticPr fontId="2"/>
  </si>
  <si>
    <t>**shinsei_strtower24_KOUZOU_TEXT</t>
  </si>
  <si>
    <t>cst_shinsei_strtower24_KOUZOU_TEXT</t>
    <phoneticPr fontId="2"/>
  </si>
  <si>
    <t>**shinsei_strtower24_KOUZOU_KEISAN</t>
  </si>
  <si>
    <t>cst_shinsei_strtower24_KOUZOU_KEISAN</t>
    <phoneticPr fontId="2"/>
  </si>
  <si>
    <t>**shinsei_strtower24_KOUZOU_KEISAN_TEXT</t>
  </si>
  <si>
    <t>cst_shinsei_strtower24_KOUZOU_KEISAN_TEXT</t>
    <phoneticPr fontId="2"/>
  </si>
  <si>
    <t>**shinsei_strtower24_MENSEKI</t>
  </si>
  <si>
    <t>cst_shinsei_strtower24_MENSEKI</t>
    <phoneticPr fontId="2"/>
  </si>
  <si>
    <t>cst_shinsei_strtower24_MENSEKI__dsp</t>
    <phoneticPr fontId="2"/>
  </si>
  <si>
    <t>**shinsei_strtower24_MAX_TAKASA</t>
  </si>
  <si>
    <t>cst_shinsei_strtower24_MAX_TAKASA</t>
    <phoneticPr fontId="2"/>
  </si>
  <si>
    <t>**shinsei_strtower24_MAX_NOKI_TAKASA</t>
  </si>
  <si>
    <t>cst_shinsei_strtower24_MAX_NOKI_TAKASA</t>
    <phoneticPr fontId="2"/>
  </si>
  <si>
    <t>**shinsei_strtower24_KAISU_TIJYOU</t>
  </si>
  <si>
    <t>cst_shinsei_strtower24_KAISU_TIJYOU</t>
    <phoneticPr fontId="2"/>
  </si>
  <si>
    <t>**shinsei_strtower24_KAISU_TIKA</t>
  </si>
  <si>
    <t>cst_shinsei_strtower24_KAISU_TIKA</t>
    <phoneticPr fontId="2"/>
  </si>
  <si>
    <t>**shinsei_strtower24_KAISU_TOUYA</t>
  </si>
  <si>
    <t>cst_shinsei_strtower24_KAISU_TOUYA</t>
    <phoneticPr fontId="2"/>
  </si>
  <si>
    <t>**shinsei_strtower24_BUILD_KUBUN</t>
  </si>
  <si>
    <t>cst_shinsei_strtower24_BUILD_KUBUN</t>
    <phoneticPr fontId="2"/>
  </si>
  <si>
    <t>**shinsei_strtower24_BUILD_KUBUN_TEXT</t>
  </si>
  <si>
    <t>cst_shinsei_strtower24_BUILD_KUBUN_TEXT</t>
    <phoneticPr fontId="2"/>
  </si>
  <si>
    <t>cst_shinsei_strtower24_HOU20_2_select</t>
    <phoneticPr fontId="2"/>
  </si>
  <si>
    <t>cst_shinsei_strtower24_HOU20_3_select</t>
    <phoneticPr fontId="2"/>
  </si>
  <si>
    <t>**shinsei_strtower24_MENJYO_TEXT</t>
  </si>
  <si>
    <t>cst_shinsei_strtower24_MENJYO</t>
    <phoneticPr fontId="2"/>
  </si>
  <si>
    <t>**shinsei_strtower24_PROGRAM_KIND</t>
  </si>
  <si>
    <t>cst_shinsei_strtower24_PROGRAM_KIND</t>
    <phoneticPr fontId="2"/>
  </si>
  <si>
    <t>**shinsei_strtower24_REI80_2_KOKUJI_TEXT</t>
  </si>
  <si>
    <t>cst_shinsei_strtower24_REI80_2_KOKUJI</t>
    <phoneticPr fontId="2"/>
  </si>
  <si>
    <t>**shinsei_strtower24_PROGRAM_KIND__nintei__box</t>
  </si>
  <si>
    <t>cst_shinsei_strtower24_NINTEI</t>
    <phoneticPr fontId="2"/>
  </si>
  <si>
    <t>cst_shinsei_strtower15_KOUJI_TEXT</t>
    <phoneticPr fontId="2"/>
  </si>
  <si>
    <t>**shinsei_strtower15_KOUZOU</t>
  </si>
  <si>
    <t>cst_shinsei_strtower15_KOUZOU</t>
    <phoneticPr fontId="2"/>
  </si>
  <si>
    <t>**shinsei_strtower15_KOUZOU_TEXT</t>
  </si>
  <si>
    <t>cst_shinsei_strtower15_KOUZOU_TEXT</t>
    <phoneticPr fontId="2"/>
  </si>
  <si>
    <t>**shinsei_strtower15_KOUZOU_KEISAN</t>
  </si>
  <si>
    <t>cst_shinsei_strtower15_KOUZOU_KEISAN</t>
    <phoneticPr fontId="2"/>
  </si>
  <si>
    <t>**shinsei_strtower15_KOUZOU_KEISAN_TEXT</t>
  </si>
  <si>
    <t>cst_shinsei_strtower15_KOUZOU_KEISAN_TEXT</t>
    <phoneticPr fontId="2"/>
  </si>
  <si>
    <t>**shinsei_strtower15_MENSEKI</t>
  </si>
  <si>
    <t>cst_shinsei_strtower15_MENSEKI</t>
    <phoneticPr fontId="2"/>
  </si>
  <si>
    <t>cst_shinsei_strtower15_MENSEKI__dsp</t>
    <phoneticPr fontId="2"/>
  </si>
  <si>
    <t>**shinsei_strtower15_MAX_TAKASA</t>
  </si>
  <si>
    <t>cst_shinsei_strtower15_MAX_TAKASA</t>
    <phoneticPr fontId="2"/>
  </si>
  <si>
    <t>**shinsei_strtower15_MAX_NOKI_TAKASA</t>
  </si>
  <si>
    <t>cst_shinsei_strtower15_MAX_NOKI_TAKASA</t>
    <phoneticPr fontId="2"/>
  </si>
  <si>
    <t>**shinsei_strtower15_KAISU_TIJYOU</t>
  </si>
  <si>
    <t>cst_shinsei_strtower15_KAISU_TIJYOU</t>
    <phoneticPr fontId="2"/>
  </si>
  <si>
    <t xml:space="preserve">#,##0_ </t>
    <phoneticPr fontId="2"/>
  </si>
  <si>
    <t>**shinsei_strtower15_KAISU_TIKA</t>
  </si>
  <si>
    <t>cst_shinsei_strtower15_KAISU_TIKA</t>
    <phoneticPr fontId="2"/>
  </si>
  <si>
    <t>**shinsei_strtower15_KAISU_TOUYA</t>
  </si>
  <si>
    <t>cst_shinsei_strtower15_KAISU_TOUYA</t>
    <phoneticPr fontId="2"/>
  </si>
  <si>
    <t>**shinsei_strtower15_BUILD_KUBUN</t>
  </si>
  <si>
    <t>cst_shinsei_strtower15_BUILD_KUBUN</t>
    <phoneticPr fontId="2"/>
  </si>
  <si>
    <t>**shinsei_strtower15_BUILD_KUBUN_TEXT</t>
  </si>
  <si>
    <t>cst_shinsei_strtower15_BUILD_KUBUN_TEXT</t>
    <phoneticPr fontId="2"/>
  </si>
  <si>
    <t>cst_shinsei_strtower15_HOU20_2_select</t>
    <phoneticPr fontId="2"/>
  </si>
  <si>
    <t>cst_shinsei_strtower15_HOU20_3_select</t>
    <phoneticPr fontId="2"/>
  </si>
  <si>
    <t>**shinsei_strtower15_MENJYO_TEXT</t>
  </si>
  <si>
    <t>cst_shinsei_strtower15_MENJYO</t>
    <phoneticPr fontId="2"/>
  </si>
  <si>
    <t>text</t>
    <phoneticPr fontId="2"/>
  </si>
  <si>
    <t>**shinsei_strtower15_PROGRAM_KIND</t>
  </si>
  <si>
    <t>cst_shinsei_strtower15_PROGRAM_KIND</t>
    <phoneticPr fontId="2"/>
  </si>
  <si>
    <t>**shinsei_strtower15_REI80_2_KOKUJI_TEXT</t>
  </si>
  <si>
    <t>cst_shinsei_strtower15_REI80_2_KOKUJI</t>
    <phoneticPr fontId="2"/>
  </si>
  <si>
    <t>**shinsei_strtower15_PROGRAM_KIND__nintei__box</t>
  </si>
  <si>
    <t>cst_shinsei_strtower15_NINTEI</t>
    <phoneticPr fontId="2"/>
  </si>
  <si>
    <t>**shinsei_strtower15_PROGRAM_KIND__hyouka__box</t>
  </si>
  <si>
    <t>**shinsei_strtower15_PROGRAM_KIND__sonota__box</t>
  </si>
  <si>
    <t>プログラム01</t>
    <phoneticPr fontId="2"/>
  </si>
  <si>
    <t>**shinsei_strtower15_prgo01_NAME</t>
  </si>
  <si>
    <t>text</t>
    <phoneticPr fontId="2"/>
  </si>
  <si>
    <t xml:space="preserve"> - バージョン</t>
    <phoneticPr fontId="2"/>
  </si>
  <si>
    <t>**shinsei_strtower15_prgo01_VER</t>
  </si>
  <si>
    <t>cst_shinsei_strtower15_prgo01_NINTEI__umu</t>
    <phoneticPr fontId="2"/>
  </si>
  <si>
    <t>**shinsei_strtower15_prgo01_NINTEI_NO</t>
  </si>
  <si>
    <t>cst_shinsei_strtower15_prgo01_NINTEI_NO</t>
    <phoneticPr fontId="2"/>
  </si>
  <si>
    <t>**shinsei_strtower15_prgo01_NINTEI_DATE</t>
  </si>
  <si>
    <t>cst_shinsei_strtower15_prgo01_NINTEI_DATE</t>
    <phoneticPr fontId="2"/>
  </si>
  <si>
    <t>**shinsei_strtower15_prgo01_MAKER_NAME</t>
  </si>
  <si>
    <t>cst_shinsei_strtower15_prgo01_NAME_VER</t>
    <phoneticPr fontId="2"/>
  </si>
  <si>
    <t>cst_shinsei_strtower15_prgo01_NAME_VER__SP</t>
    <phoneticPr fontId="2"/>
  </si>
  <si>
    <t>cst_shinsei_strtower15_prgo01_MAKER__NINTEI_ari</t>
    <phoneticPr fontId="2"/>
  </si>
  <si>
    <t>cst_shinsei_strtower15_prgo01_NAME_VER__NINTEI_ari</t>
    <phoneticPr fontId="2"/>
  </si>
  <si>
    <t>cst_shinsei_strtower15_prgo01_MAKER__NINTEI_non</t>
    <phoneticPr fontId="2"/>
  </si>
  <si>
    <t>cst_shinsei_strtower15_prgo01_NAME_VER__NINTEI_non</t>
    <phoneticPr fontId="2"/>
  </si>
  <si>
    <t>プログラム02</t>
    <phoneticPr fontId="2"/>
  </si>
  <si>
    <t>**shinsei_strtower15_prgo02_NAME</t>
  </si>
  <si>
    <t>**shinsei_strtower15_prgo02_VER</t>
  </si>
  <si>
    <t>cst_shinsei_strtower15_prgo02_NINTEI__umu</t>
    <phoneticPr fontId="2"/>
  </si>
  <si>
    <t>**shinsei_strtower15_prgo02_NINTEI_NO</t>
  </si>
  <si>
    <t>cst_shinsei_strtower15_prgo02_NINTEI_NO</t>
    <phoneticPr fontId="2"/>
  </si>
  <si>
    <t>**shinsei_strtower15_prgo02_NINTEI_DATE</t>
  </si>
  <si>
    <t>cst_shinsei_strtower15_prgo02_NINTEI_DATE</t>
    <phoneticPr fontId="2"/>
  </si>
  <si>
    <t xml:space="preserve"> - メーカー</t>
    <phoneticPr fontId="2"/>
  </si>
  <si>
    <t>**shinsei_strtower15_prgo02_MAKER_NAME</t>
  </si>
  <si>
    <t>cst_shinsei_strtower15_prgo02_NAME_VER</t>
    <phoneticPr fontId="2"/>
  </si>
  <si>
    <t>cst_shinsei_strtower15_prgo02_NAME_VER__SP</t>
    <phoneticPr fontId="2"/>
  </si>
  <si>
    <t>cst_shinsei_strtower15_prgo02_MAKER__NINTEI_ari</t>
    <phoneticPr fontId="2"/>
  </si>
  <si>
    <t>cst_shinsei_strtower15_prgo02_NAME_VER__NINTEI_ari</t>
    <phoneticPr fontId="2"/>
  </si>
  <si>
    <t>cst_shinsei_strtower15_prgo02_MAKER__NINTEI_non</t>
    <phoneticPr fontId="2"/>
  </si>
  <si>
    <t>cst_shinsei_strtower15_prgo02_NAME_VER__NINTEI_non</t>
    <phoneticPr fontId="2"/>
  </si>
  <si>
    <t>**shinsei_strtower15_prgo03_NAME</t>
  </si>
  <si>
    <t>**shinsei_strtower15_prgo03_VER</t>
  </si>
  <si>
    <t>cst_shinsei_strtower15_prgo03_NINTEI__umu</t>
    <phoneticPr fontId="2"/>
  </si>
  <si>
    <t>**shinsei_strtower15_prgo03_NINTEI_NO</t>
  </si>
  <si>
    <t>**shinsei_strtower15_prgo03_NINTEI_DATE</t>
  </si>
  <si>
    <t>cst_shinsei_strtower15_prgo03_NINTEI_DATE_dsp</t>
    <phoneticPr fontId="2"/>
  </si>
  <si>
    <t>**shinsei_strtower15_prgo03_MAKER_NAME</t>
  </si>
  <si>
    <t>cst_shinsei_strtower15_prgo03_NAME_VER</t>
    <phoneticPr fontId="2"/>
  </si>
  <si>
    <t>cst_shinsei_strtower15_prgo03_NAME_VER__SP</t>
    <phoneticPr fontId="2"/>
  </si>
  <si>
    <t>cst_shinsei_strtower15_prgo03_MAKER__NINTEI_ari</t>
    <phoneticPr fontId="2"/>
  </si>
  <si>
    <t>cst_shinsei_strtower15_prgo03_NAME_VER__NINTEI_ari</t>
    <phoneticPr fontId="2"/>
  </si>
  <si>
    <t>cst_shinsei_strtower15_prgo03_MAKER__NINTEI_non</t>
    <phoneticPr fontId="2"/>
  </si>
  <si>
    <t>cst_shinsei_strtower15_prgo03_NAME_VER__NINTEI_non</t>
    <phoneticPr fontId="2"/>
  </si>
  <si>
    <t>**shinsei_strtower15_prgo04_NAME</t>
  </si>
  <si>
    <t>**shinsei_strtower15_prgo04_VER</t>
  </si>
  <si>
    <t>cst_shinsei_strtower15_prgo04_NINTEI__umu</t>
    <phoneticPr fontId="2"/>
  </si>
  <si>
    <t>**shinsei_strtower15_prgo04_NINTEI_NO</t>
  </si>
  <si>
    <t>**shinsei_strtower15_prgo04_NINTEI_DATE</t>
  </si>
  <si>
    <t>cst_shinsei_strtower15_prgo04_NINTEI_DATE_dsp</t>
    <phoneticPr fontId="2"/>
  </si>
  <si>
    <t>**shinsei_strtower15_prgo04_MAKER_NAME</t>
  </si>
  <si>
    <t>cst_shinsei_strtower15_prgo04_NAME_VER</t>
    <phoneticPr fontId="2"/>
  </si>
  <si>
    <t>cst_shinsei_strtower15_prgo04_NAME_VER__SP</t>
    <phoneticPr fontId="2"/>
  </si>
  <si>
    <t>cst_shinsei_strtower15_prgo04_MAKER__NINTEI_ari</t>
    <phoneticPr fontId="2"/>
  </si>
  <si>
    <t>cst_shinsei_strtower15_prgo04_NAME_VER__NINTEI_ari</t>
    <phoneticPr fontId="2"/>
  </si>
  <si>
    <t>cst_shinsei_strtower15_prgo04_MAKER__NINTEI_non</t>
    <phoneticPr fontId="2"/>
  </si>
  <si>
    <t>cst_shinsei_strtower15_prgo04_NAME_VER__NINTEI_non</t>
    <phoneticPr fontId="2"/>
  </si>
  <si>
    <t>**shinsei_strtower15_prgo05_NAME</t>
  </si>
  <si>
    <t>**shinsei_strtower15_prgo05_VER</t>
  </si>
  <si>
    <t>cst_shinsei_strtower15_prgo05_NINTEI__umu</t>
    <phoneticPr fontId="2"/>
  </si>
  <si>
    <t>**shinsei_strtower15_prgo05_NINTEI_NO</t>
  </si>
  <si>
    <t>**shinsei_strtower15_prgo05_NINTEI_DATE</t>
  </si>
  <si>
    <t>cst_shinsei_strtower15_prgo05_NINTEI_DATE_dsp</t>
    <phoneticPr fontId="2"/>
  </si>
  <si>
    <t>**shinsei_strtower15_prgo05_MAKER_NAME</t>
  </si>
  <si>
    <t>cst_shinsei_strtower15_prgo05_NAME_VER</t>
    <phoneticPr fontId="2"/>
  </si>
  <si>
    <t>cst_shinsei_strtower15_prgo05_NAME_VER__SP</t>
    <phoneticPr fontId="2"/>
  </si>
  <si>
    <t>cst_shinsei_strtower15_prgo05_MAKER__NINTEI_ari</t>
    <phoneticPr fontId="2"/>
  </si>
  <si>
    <t>cst_shinsei_strtower15_prgo05_NAME_VER__NINTEI_ari</t>
    <phoneticPr fontId="2"/>
  </si>
  <si>
    <t>cst_shinsei_strtower15_prgo05_MAKER__NINTEI_non</t>
    <phoneticPr fontId="2"/>
  </si>
  <si>
    <t>cst_shinsei_strtower15_prgo05_NAME_VER__NINTEI_non</t>
    <phoneticPr fontId="2"/>
  </si>
  <si>
    <t>プログラム</t>
    <phoneticPr fontId="2"/>
  </si>
  <si>
    <t>cst_shinsei_strtower15_PROG_NAME_VER__CHAR</t>
    <phoneticPr fontId="2"/>
  </si>
  <si>
    <t>cst_shinsei_strtower15_PROG_NAME_VER__CHAR__SP</t>
    <phoneticPr fontId="2"/>
  </si>
  <si>
    <t>cst_shinsei_strtower15_PROG_MAKER__NINTEI_ari_SP</t>
    <phoneticPr fontId="2"/>
  </si>
  <si>
    <t>cst_shinsei_strtower15_PROG_NAME_VER__NINTEI_ari_SP</t>
    <phoneticPr fontId="2"/>
  </si>
  <si>
    <t>cst_shinsei_strtower15_PROG_NINTEI_DATE_SP</t>
    <phoneticPr fontId="2"/>
  </si>
  <si>
    <t>cst_shinsei_strtower15_PROG_MAKER__NINTEI_no_SP</t>
    <phoneticPr fontId="2"/>
  </si>
  <si>
    <t>cst_shinsei_strtower15_PROG_NAME_VER__NINTEI_non_SP</t>
    <phoneticPr fontId="2"/>
  </si>
  <si>
    <t>**shinsei_strtower15_DISK_FLAG</t>
  </si>
  <si>
    <t>cst_shinsei_strtower15_DISK_FLAG</t>
    <phoneticPr fontId="2"/>
  </si>
  <si>
    <t>**shinsei_strtower15_CHARGE</t>
  </si>
  <si>
    <t>cst_shinsei_strtower15_CHARGE</t>
    <phoneticPr fontId="2"/>
  </si>
  <si>
    <t>cst_shinsei_strtower15_CHARGE__dsp</t>
    <phoneticPr fontId="2"/>
  </si>
  <si>
    <t>**shinsei_strtower15_CHARGE_WARIMASHI</t>
  </si>
  <si>
    <t>cst_shinsei_strtower15_CHARGE_WARIMASHI</t>
    <phoneticPr fontId="2"/>
  </si>
  <si>
    <t>**shinsei_strtower15_CHARGE_TOTAL</t>
  </si>
  <si>
    <t>cst_shinsei_strtower15_CHARGE_TOTAL</t>
    <phoneticPr fontId="2"/>
  </si>
  <si>
    <t>**shinsei_strtower15_CHARGE_KEISAN_NOTE</t>
  </si>
  <si>
    <t>cst_shinsei_strtower15_CHARGE_KEISAN_NOTE</t>
    <phoneticPr fontId="2"/>
  </si>
  <si>
    <t>cst_shinsei_strtower15_CHARGE_KEISAN_NOTE__alter</t>
    <phoneticPr fontId="2"/>
  </si>
  <si>
    <t>**shinsei_strtower15_KEISAN_X_ROUTE</t>
  </si>
  <si>
    <t>cst_shinsei_strtower15_KEISAN_X_ROUTE</t>
    <phoneticPr fontId="2"/>
  </si>
  <si>
    <t>**shinsei_strtower15_KEISAN_Y_ROUTE</t>
  </si>
  <si>
    <t>cst_shinsei_strtower15_KEISAN_Y_ROUTE</t>
    <phoneticPr fontId="2"/>
  </si>
  <si>
    <t>cst_shinsei_strtower15_XY_select</t>
    <phoneticPr fontId="2"/>
  </si>
  <si>
    <t>**shinsei_strtower15_PROGRAM_KIND_SONOTA</t>
  </si>
  <si>
    <t>cst_shinsei_strtower15_PROGRAM_KIND_SONOTA</t>
    <phoneticPr fontId="2"/>
  </si>
  <si>
    <t>**shinsei_strtower16_TOWER_NO</t>
  </si>
  <si>
    <t>cst_shinsei_strtower16_TOWER_NO</t>
    <phoneticPr fontId="2"/>
  </si>
  <si>
    <t>**shinsei_strtower16_STR_TOWER_NO</t>
  </si>
  <si>
    <t>cst_shinsei_strtower16_STR_TOWER_NO</t>
    <phoneticPr fontId="2"/>
  </si>
  <si>
    <t>cst_shinsei_strtower16__TOWER_NO_STR_TOWER_NO</t>
    <phoneticPr fontId="2"/>
  </si>
  <si>
    <t>cst_shinsei_strtower16__TOWER_NO_STR_TOWERS</t>
    <phoneticPr fontId="2"/>
  </si>
  <si>
    <t>**shinsei_strtower16_STR_TOWER_NAME</t>
  </si>
  <si>
    <t>cst_shinsei_strtower16_STR_TOWER_NAME</t>
    <phoneticPr fontId="2"/>
  </si>
  <si>
    <t>**shinsei_strtower16_JUDGE</t>
  </si>
  <si>
    <t>cst_shinsei_strtower16_JUDGE</t>
    <phoneticPr fontId="2"/>
  </si>
  <si>
    <t>1：有, 0：無</t>
    <phoneticPr fontId="2"/>
  </si>
  <si>
    <t>**shinsei_strtower16_STR_TOWER_YOUTO_TEXT</t>
  </si>
  <si>
    <t>cst_shinsei_strtower16_STR_TOWER_YOUTO_TEXT</t>
    <phoneticPr fontId="2"/>
  </si>
  <si>
    <t>**shinsei_strtower16_KOUJI_TEXT</t>
  </si>
  <si>
    <t>cst_shinsei_strtower16_KOUJI_TEXT</t>
    <phoneticPr fontId="2"/>
  </si>
  <si>
    <t>**shinsei_strtower16_KOUZOU</t>
  </si>
  <si>
    <t>cst_shinsei_strtower16_KOUZOU</t>
    <phoneticPr fontId="2"/>
  </si>
  <si>
    <t>**shinsei_strtower16_KOUZOU_TEXT</t>
  </si>
  <si>
    <t>cst_shinsei_strtower16_KOUZOU_TEXT</t>
    <phoneticPr fontId="2"/>
  </si>
  <si>
    <t>**shinsei_strtower16_KOUZOU_KEISAN</t>
  </si>
  <si>
    <t>cst_shinsei_strtower16_KOUZOU_KEISAN</t>
    <phoneticPr fontId="2"/>
  </si>
  <si>
    <t>**shinsei_strtower16_KOUZOU_KEISAN_TEXT</t>
  </si>
  <si>
    <t>cst_shinsei_strtower16_KOUZOU_KEISAN_TEXT</t>
    <phoneticPr fontId="2"/>
  </si>
  <si>
    <t>**shinsei_strtower16_MENSEKI</t>
  </si>
  <si>
    <t>cst_shinsei_strtower16_MENSEKI</t>
    <phoneticPr fontId="2"/>
  </si>
  <si>
    <t>cst_shinsei_strtower16_MENSEKI__dsp</t>
    <phoneticPr fontId="2"/>
  </si>
  <si>
    <t>**shinsei_strtower16_MAX_TAKASA</t>
  </si>
  <si>
    <t>cst_shinsei_strtower16_MAX_TAKASA</t>
    <phoneticPr fontId="2"/>
  </si>
  <si>
    <t>**shinsei_strtower16_MAX_NOKI_TAKASA</t>
  </si>
  <si>
    <t>cst_shinsei_strtower16_MAX_NOKI_TAKASA</t>
    <phoneticPr fontId="2"/>
  </si>
  <si>
    <t>**shinsei_strtower16_KAISU_TIJYOU</t>
  </si>
  <si>
    <t>cst_shinsei_strtower16_KAISU_TIJYOU</t>
    <phoneticPr fontId="2"/>
  </si>
  <si>
    <t xml:space="preserve">#,##0_ </t>
    <phoneticPr fontId="2"/>
  </si>
  <si>
    <t>**shinsei_strtower16_KAISU_TIKA</t>
  </si>
  <si>
    <t>cst_shinsei_strtower16_KAISU_TIKA</t>
    <phoneticPr fontId="2"/>
  </si>
  <si>
    <t>**shinsei_strtower16_KAISU_TOUYA</t>
  </si>
  <si>
    <t>cst_shinsei_strtower16_KAISU_TOUYA</t>
    <phoneticPr fontId="2"/>
  </si>
  <si>
    <t>**shinsei_strtower16_BUILD_KUBUN</t>
  </si>
  <si>
    <t>cst_shinsei_strtower16_BUILD_KUBUN</t>
    <phoneticPr fontId="2"/>
  </si>
  <si>
    <t>**shinsei_strtower16_BUILD_KUBUN_TEXT</t>
  </si>
  <si>
    <t>cst_shinsei_strtower16_BUILD_KUBUN_TEXT</t>
    <phoneticPr fontId="2"/>
  </si>
  <si>
    <t>cst_shinsei_strtower16_HOU20_2_select</t>
    <phoneticPr fontId="2"/>
  </si>
  <si>
    <t>cst_shinsei_strtower16_HOU20_3_select</t>
    <phoneticPr fontId="2"/>
  </si>
  <si>
    <t>**shinsei_strtower16_MENJYO_TEXT</t>
  </si>
  <si>
    <t>cst_shinsei_strtower16_MENJYO</t>
    <phoneticPr fontId="2"/>
  </si>
  <si>
    <t>**shinsei_strtower16_PROGRAM_KIND</t>
  </si>
  <si>
    <t>cst_shinsei_strtower16_PROGRAM_KIND</t>
    <phoneticPr fontId="2"/>
  </si>
  <si>
    <t>**shinsei_strtower16_REI80_2_KOKUJI_TEXT</t>
  </si>
  <si>
    <t>cst_shinsei_strtower16_REI80_2_KOKUJI</t>
    <phoneticPr fontId="2"/>
  </si>
  <si>
    <t>**shinsei_strtower16_PROGRAM_KIND__nintei__box</t>
  </si>
  <si>
    <t>cst_shinsei_strtower16_NINTEI</t>
    <phoneticPr fontId="2"/>
  </si>
  <si>
    <t>**shinsei_strtower16_PROGRAM_KIND__hyouka__box</t>
  </si>
  <si>
    <t>**shinsei_strtower16_PROGRAM_KIND__sonota__box</t>
  </si>
  <si>
    <t>**shinsei_strtower16_prgo01_NAME</t>
  </si>
  <si>
    <t>**shinsei_strtower16_prgo01_VER</t>
  </si>
  <si>
    <t>cst_shinsei_strtower16_prgo01_NINTEI__umu</t>
    <phoneticPr fontId="2"/>
  </si>
  <si>
    <t>**shinsei_strtower16_prgo01_NINTEI_NO</t>
  </si>
  <si>
    <t>cst_shinsei_strtower16_prgo01_NINTEI_NO</t>
    <phoneticPr fontId="2"/>
  </si>
  <si>
    <t>**shinsei_strtower16_prgo01_NINTEI_DATE</t>
  </si>
  <si>
    <t>cst_shinsei_strtower16_prgo01_NINTEI_DATE</t>
    <phoneticPr fontId="2"/>
  </si>
  <si>
    <t>**shinsei_strtower16_prgo01_MAKER_NAME</t>
  </si>
  <si>
    <t>cst_shinsei_strtower16_prgo01_NAME_VER</t>
    <phoneticPr fontId="2"/>
  </si>
  <si>
    <t>cst_shinsei_strtower16_prgo01_NAME_VER__SP</t>
    <phoneticPr fontId="2"/>
  </si>
  <si>
    <t>cst_shinsei_strtower16_prgo01_MAKER__NINTEI_ari</t>
    <phoneticPr fontId="2"/>
  </si>
  <si>
    <t>cst_shinsei_strtower16_prgo01_NAME_VER__NINTEI_ari</t>
    <phoneticPr fontId="2"/>
  </si>
  <si>
    <t>cst_shinsei_strtower16_prgo01_MAKER__NINTEI_non</t>
    <phoneticPr fontId="2"/>
  </si>
  <si>
    <t>cst_shinsei_strtower16_prgo01_NAME_VER__NINTEI_non</t>
    <phoneticPr fontId="2"/>
  </si>
  <si>
    <t>**shinsei_strtower16_prgo02_NAME</t>
  </si>
  <si>
    <t>**shinsei_strtower16_prgo02_VER</t>
  </si>
  <si>
    <t>cst_shinsei_strtower16_prgo02_NINTEI__umu</t>
    <phoneticPr fontId="2"/>
  </si>
  <si>
    <t>**shinsei_strtower16_prgo02_NINTEI_NO</t>
  </si>
  <si>
    <t>cst_shinsei_strtower16_prgo02_NINTEI_NO</t>
    <phoneticPr fontId="2"/>
  </si>
  <si>
    <t>**shinsei_strtower16_prgo02_NINTEI_DATE</t>
  </si>
  <si>
    <t>cst_shinsei_strtower16_prgo02_NINTEI_DATE</t>
    <phoneticPr fontId="2"/>
  </si>
  <si>
    <t>**shinsei_strtower16_prgo02_MAKER_NAME</t>
  </si>
  <si>
    <t>cst_shinsei_strtower16_prgo02_NAME_VER</t>
    <phoneticPr fontId="2"/>
  </si>
  <si>
    <t>cst_shinsei_strtower16_prgo02_NAME_VER__SP</t>
    <phoneticPr fontId="2"/>
  </si>
  <si>
    <t>cst_shinsei_strtower16_prgo02_MAKER__NINTEI_ari</t>
    <phoneticPr fontId="2"/>
  </si>
  <si>
    <t>cst_shinsei_strtower16_prgo02_NAME_VER__NINTEI_ari</t>
    <phoneticPr fontId="2"/>
  </si>
  <si>
    <t>cst_shinsei_strtower16_prgo02_MAKER__NINTEI_non</t>
    <phoneticPr fontId="2"/>
  </si>
  <si>
    <t>cst_shinsei_strtower16_prgo02_NAME_VER__NINTEI_non</t>
    <phoneticPr fontId="2"/>
  </si>
  <si>
    <t>**shinsei_strtower16_prgo03_NAME</t>
  </si>
  <si>
    <t>**shinsei_strtower16_prgo03_VER</t>
  </si>
  <si>
    <t>cst_shinsei_strtower16_prgo03_NINTEI__umu</t>
    <phoneticPr fontId="2"/>
  </si>
  <si>
    <t>**shinsei_strtower16_prgo03_NINTEI_NO</t>
  </si>
  <si>
    <t>**shinsei_strtower16_prgo03_NINTEI_DATE</t>
  </si>
  <si>
    <t>cst_shinsei_strtower16_prgo03_NINTEI_DATE_dsp</t>
    <phoneticPr fontId="2"/>
  </si>
  <si>
    <t>**shinsei_strtower16_prgo03_MAKER_NAME</t>
  </si>
  <si>
    <t>cst_shinsei_strtower16_prgo03_NAME_VER</t>
    <phoneticPr fontId="2"/>
  </si>
  <si>
    <t>cst_shinsei_strtower16_prgo03_NAME_VER__SP</t>
    <phoneticPr fontId="2"/>
  </si>
  <si>
    <t>cst_shinsei_strtower16_prgo03_MAKER__NINTEI_ari</t>
    <phoneticPr fontId="2"/>
  </si>
  <si>
    <t>cst_shinsei_strtower16_prgo03_NAME_VER__NINTEI_ari</t>
    <phoneticPr fontId="2"/>
  </si>
  <si>
    <t>cst_shinsei_strtower16_prgo03_MAKER__NINTEI_non</t>
    <phoneticPr fontId="2"/>
  </si>
  <si>
    <t>cst_shinsei_strtower16_prgo03_NAME_VER__NINTEI_non</t>
    <phoneticPr fontId="2"/>
  </si>
  <si>
    <t>**shinsei_strtower16_prgo04_NAME</t>
  </si>
  <si>
    <t>**shinsei_strtower16_prgo04_VER</t>
  </si>
  <si>
    <t>cst_shinsei_strtower16_prgo04_NINTEI__umu</t>
    <phoneticPr fontId="2"/>
  </si>
  <si>
    <t>**shinsei_strtower16_prgo04_NINTEI_NO</t>
  </si>
  <si>
    <t>text</t>
    <phoneticPr fontId="2"/>
  </si>
  <si>
    <t>**shinsei_strtower16_prgo04_NINTEI_DATE</t>
  </si>
  <si>
    <t>cst_shinsei_strtower16_prgo04_NINTEI_DATE_dsp</t>
    <phoneticPr fontId="2"/>
  </si>
  <si>
    <t>**shinsei_strtower16_prgo04_MAKER_NAME</t>
  </si>
  <si>
    <t>cst_shinsei_strtower16_prgo04_NAME_VER</t>
    <phoneticPr fontId="2"/>
  </si>
  <si>
    <t>cst_shinsei_strtower16_prgo04_NAME_VER__SP</t>
    <phoneticPr fontId="2"/>
  </si>
  <si>
    <t>cst_shinsei_strtower16_prgo04_MAKER__NINTEI_ari</t>
    <phoneticPr fontId="2"/>
  </si>
  <si>
    <t>cst_shinsei_strtower16_prgo04_NAME_VER__NINTEI_ari</t>
    <phoneticPr fontId="2"/>
  </si>
  <si>
    <t>cst_shinsei_strtower16_prgo04_MAKER__NINTEI_non</t>
    <phoneticPr fontId="2"/>
  </si>
  <si>
    <t>cst_shinsei_strtower16_prgo04_NAME_VER__NINTEI_non</t>
    <phoneticPr fontId="2"/>
  </si>
  <si>
    <t>**shinsei_strtower16_prgo05_NAME</t>
  </si>
  <si>
    <t>**shinsei_strtower16_prgo05_VER</t>
  </si>
  <si>
    <t>cst_shinsei_strtower16_prgo05_NINTEI__umu</t>
    <phoneticPr fontId="2"/>
  </si>
  <si>
    <t>**shinsei_strtower16_prgo05_NINTEI_NO</t>
  </si>
  <si>
    <t>**shinsei_strtower16_prgo05_NINTEI_DATE</t>
  </si>
  <si>
    <t>cst_shinsei_strtower16_prgo05_NINTEI_DATE_dsp</t>
    <phoneticPr fontId="2"/>
  </si>
  <si>
    <t>**shinsei_strtower16_prgo05_MAKER_NAME</t>
  </si>
  <si>
    <t>cst_shinsei_strtower16_prgo05_NAME_VER</t>
    <phoneticPr fontId="2"/>
  </si>
  <si>
    <t>cst_shinsei_strtower16_prgo05_NAME_VER__SP</t>
    <phoneticPr fontId="2"/>
  </si>
  <si>
    <t>cst_shinsei_strtower16_prgo05_MAKER__NINTEI_ari</t>
    <phoneticPr fontId="2"/>
  </si>
  <si>
    <t>cst_shinsei_strtower16_prgo05_NAME_VER__NINTEI_ari</t>
    <phoneticPr fontId="2"/>
  </si>
  <si>
    <t>cst_shinsei_strtower16_prgo05_MAKER__NINTEI_non</t>
    <phoneticPr fontId="2"/>
  </si>
  <si>
    <t>cst_shinsei_strtower16_prgo05_NAME_VER__NINTEI_non</t>
    <phoneticPr fontId="2"/>
  </si>
  <si>
    <t>cst_shinsei_strtower16_PROG_NAME_VER__CHAR</t>
    <phoneticPr fontId="2"/>
  </si>
  <si>
    <t>cst_shinsei_strtower16_PROG_NAME_VER__CHAR__SP</t>
    <phoneticPr fontId="2"/>
  </si>
  <si>
    <t>cst_shinsei_strtower16_PROG_MAKER__NINTEI_ari_SP</t>
    <phoneticPr fontId="2"/>
  </si>
  <si>
    <t>cst_shinsei_strtower16_PROG_NAME_VER__NINTEI_ari_SP</t>
    <phoneticPr fontId="2"/>
  </si>
  <si>
    <t>cst_shinsei_strtower16_PROG_NINTEI_DATE_SP</t>
    <phoneticPr fontId="2"/>
  </si>
  <si>
    <t>cst_shinsei_strtower16_PROG_MAKER__NINTEI_no_SP</t>
    <phoneticPr fontId="2"/>
  </si>
  <si>
    <t>cst_shinsei_strtower16_PROG_NAME_VER__NINTEI_non_SP</t>
    <phoneticPr fontId="2"/>
  </si>
  <si>
    <t>**shinsei_strtower16_DISK_FLAG</t>
  </si>
  <si>
    <t>cst_shinsei_strtower16_DISK_FLAG</t>
    <phoneticPr fontId="2"/>
  </si>
  <si>
    <t>**shinsei_strtower16_CHARGE</t>
  </si>
  <si>
    <t>cst_shinsei_strtower16_CHARGE</t>
    <phoneticPr fontId="2"/>
  </si>
  <si>
    <t>cst_shinsei_strtower16_CHARGE__dsp</t>
    <phoneticPr fontId="2"/>
  </si>
  <si>
    <t>**shinsei_strtower16_CHARGE_WARIMASHI</t>
  </si>
  <si>
    <t>cst_shinsei_strtower16_CHARGE_WARIMASHI</t>
    <phoneticPr fontId="2"/>
  </si>
  <si>
    <t>**shinsei_strtower16_CHARGE_TOTAL</t>
  </si>
  <si>
    <t>cst_shinsei_strtower16_CHARGE_TOTAL</t>
    <phoneticPr fontId="2"/>
  </si>
  <si>
    <t>**shinsei_strtower16_CHARGE_KEISAN_NOTE</t>
  </si>
  <si>
    <t>cst_shinsei_strtower16_CHARGE_KEISAN_NOTE</t>
    <phoneticPr fontId="2"/>
  </si>
  <si>
    <t>cst_shinsei_strtower16_CHARGE_KEISAN_NOTE__alter</t>
    <phoneticPr fontId="2"/>
  </si>
  <si>
    <t>**shinsei_strtower16_KEISAN_X_ROUTE</t>
  </si>
  <si>
    <t>cst_shinsei_strtower16_KEISAN_X_ROUTE</t>
    <phoneticPr fontId="2"/>
  </si>
  <si>
    <t>**shinsei_strtower16_KEISAN_Y_ROUTE</t>
  </si>
  <si>
    <t>cst_shinsei_strtower16_KEISAN_Y_ROUTE</t>
    <phoneticPr fontId="2"/>
  </si>
  <si>
    <t>cst_shinsei_strtower16_XY_select</t>
    <phoneticPr fontId="2"/>
  </si>
  <si>
    <t>**shinsei_strtower16_PROGRAM_KIND_SONOTA</t>
  </si>
  <si>
    <t>cst_shinsei_strtower16_PROGRAM_KIND_SONOTA</t>
    <phoneticPr fontId="2"/>
  </si>
  <si>
    <t>**shinsei_strtower17_TOWER_NO</t>
  </si>
  <si>
    <t>cst_shinsei_strtower17_TOWER_NO</t>
    <phoneticPr fontId="2"/>
  </si>
  <si>
    <t>**shinsei_strtower17_STR_TOWER_NO</t>
  </si>
  <si>
    <t>cst_shinsei_strtower17_STR_TOWER_NO</t>
    <phoneticPr fontId="2"/>
  </si>
  <si>
    <t>cst_shinsei_strtower17__TOWER_NO_STR_TOWER_NO</t>
    <phoneticPr fontId="2"/>
  </si>
  <si>
    <t>cst_shinsei_strtower17__TOWER_NO_STR_TOWERS</t>
    <phoneticPr fontId="2"/>
  </si>
  <si>
    <t>**shinsei_strtower17_STR_TOWER_NAME</t>
  </si>
  <si>
    <t>cst_shinsei_strtower17_STR_TOWER_NAME</t>
    <phoneticPr fontId="2"/>
  </si>
  <si>
    <t>**shinsei_strtower17_JUDGE</t>
  </si>
  <si>
    <t>cst_shinsei_strtower17_JUDGE</t>
    <phoneticPr fontId="2"/>
  </si>
  <si>
    <t>**shinsei_strtower17_STR_TOWER_YOUTO_TEXT</t>
  </si>
  <si>
    <t>cst_shinsei_strtower17_STR_TOWER_YOUTO_TEXT</t>
    <phoneticPr fontId="2"/>
  </si>
  <si>
    <t>**shinsei_strtower17_KOUJI_TEXT</t>
  </si>
  <si>
    <t>cst_shinsei_strtower17_KOUJI_TEXT</t>
    <phoneticPr fontId="2"/>
  </si>
  <si>
    <t>**shinsei_strtower17_KOUZOU</t>
  </si>
  <si>
    <t>cst_shinsei_strtower17_KOUZOU</t>
    <phoneticPr fontId="2"/>
  </si>
  <si>
    <t>**shinsei_strtower17_KOUZOU_TEXT</t>
  </si>
  <si>
    <t>cst_shinsei_strtower17_KOUZOU_TEXT</t>
    <phoneticPr fontId="2"/>
  </si>
  <si>
    <t>**shinsei_strtower17_KOUZOU_KEISAN</t>
  </si>
  <si>
    <t>cst_shinsei_strtower17_KOUZOU_KEISAN</t>
    <phoneticPr fontId="2"/>
  </si>
  <si>
    <t>**shinsei_strtower17_KOUZOU_KEISAN_TEXT</t>
  </si>
  <si>
    <t>cst_shinsei_strtower17_KOUZOU_KEISAN_TEXT</t>
    <phoneticPr fontId="2"/>
  </si>
  <si>
    <t>**shinsei_strtower17_MENSEKI</t>
  </si>
  <si>
    <t>cst_shinsei_strtower17_MENSEKI</t>
    <phoneticPr fontId="2"/>
  </si>
  <si>
    <t>cst_shinsei_strtower17_MENSEKI__dsp</t>
    <phoneticPr fontId="2"/>
  </si>
  <si>
    <t>**shinsei_strtower17_MAX_TAKASA</t>
  </si>
  <si>
    <t>cst_shinsei_strtower17_MAX_TAKASA</t>
    <phoneticPr fontId="2"/>
  </si>
  <si>
    <t>**shinsei_strtower17_MAX_NOKI_TAKASA</t>
  </si>
  <si>
    <t>cst_shinsei_strtower17_MAX_NOKI_TAKASA</t>
    <phoneticPr fontId="2"/>
  </si>
  <si>
    <t>**shinsei_strtower17_KAISU_TIJYOU</t>
  </si>
  <si>
    <t>cst_shinsei_strtower17_KAISU_TIJYOU</t>
    <phoneticPr fontId="2"/>
  </si>
  <si>
    <t>**shinsei_strtower17_KAISU_TIKA</t>
  </si>
  <si>
    <t>cst_shinsei_strtower17_KAISU_TIKA</t>
    <phoneticPr fontId="2"/>
  </si>
  <si>
    <t>**shinsei_strtower17_KAISU_TOUYA</t>
  </si>
  <si>
    <t>cst_shinsei_strtower17_KAISU_TOUYA</t>
    <phoneticPr fontId="2"/>
  </si>
  <si>
    <t>**shinsei_strtower17_BUILD_KUBUN</t>
  </si>
  <si>
    <t>cst_shinsei_strtower17_BUILD_KUBUN</t>
    <phoneticPr fontId="2"/>
  </si>
  <si>
    <t>**shinsei_strtower17_BUILD_KUBUN_TEXT</t>
  </si>
  <si>
    <t>cst_shinsei_strtower17_BUILD_KUBUN_TEXT</t>
    <phoneticPr fontId="2"/>
  </si>
  <si>
    <t>cst_shinsei_strtower17_HOU20_2_select</t>
    <phoneticPr fontId="2"/>
  </si>
  <si>
    <t>cst_shinsei_strtower17_HOU20_3_select</t>
    <phoneticPr fontId="2"/>
  </si>
  <si>
    <t>**shinsei_strtower17_MENJYO_TEXT</t>
  </si>
  <si>
    <t>cst_shinsei_strtower26_prgo02_NAME_VER__SP</t>
    <phoneticPr fontId="2"/>
  </si>
  <si>
    <t>cst_shinsei_strtower26_prgo02_MAKER__NINTEI_ari</t>
    <phoneticPr fontId="2"/>
  </si>
  <si>
    <t>cst_shinsei_strtower26_prgo02_NAME_VER__NINTEI_ari</t>
    <phoneticPr fontId="2"/>
  </si>
  <si>
    <t>cst_shinsei_strtower26_prgo02_MAKER__NINTEI_non</t>
    <phoneticPr fontId="2"/>
  </si>
  <si>
    <t>cst_shinsei_strtower26_prgo02_NAME_VER__NINTEI_non</t>
    <phoneticPr fontId="2"/>
  </si>
  <si>
    <t>**shinsei_strtower26_prgo03_NAME</t>
  </si>
  <si>
    <t>**shinsei_strtower26_prgo03_VER</t>
  </si>
  <si>
    <t>cst_shinsei_strtower26_prgo03_NINTEI__umu</t>
    <phoneticPr fontId="2"/>
  </si>
  <si>
    <t>**shinsei_strtower26_prgo03_NINTEI_NO</t>
  </si>
  <si>
    <t>**shinsei_strtower26_prgo03_NINTEI_DATE</t>
  </si>
  <si>
    <t>cst_shinsei_strtower26_prgo03_NINTEI_DATE_dsp</t>
    <phoneticPr fontId="2"/>
  </si>
  <si>
    <t>建築物引受承諾書</t>
    <rPh sb="0" eb="3">
      <t>ケンチクブツ</t>
    </rPh>
    <rPh sb="3" eb="5">
      <t>ヒキウケ</t>
    </rPh>
    <rPh sb="5" eb="8">
      <t>ショウダクショ</t>
    </rPh>
    <phoneticPr fontId="2"/>
  </si>
  <si>
    <t>建_請求書_大阪</t>
    <phoneticPr fontId="2"/>
  </si>
  <si>
    <t>確認申請手数料請求書（建築物）　　</t>
    <rPh sb="0" eb="2">
      <t>カクニン</t>
    </rPh>
    <rPh sb="2" eb="4">
      <t>シンセイ</t>
    </rPh>
    <rPh sb="4" eb="7">
      <t>テスウリョウ</t>
    </rPh>
    <rPh sb="7" eb="10">
      <t>セイキュウショ</t>
    </rPh>
    <rPh sb="11" eb="14">
      <t>ケンチクブツ</t>
    </rPh>
    <phoneticPr fontId="2"/>
  </si>
  <si>
    <t>建_請求書_大阪FAX</t>
    <phoneticPr fontId="2"/>
  </si>
  <si>
    <t>申請手数料確認表（ＦＡＸ送信票）大阪・その他用</t>
    <rPh sb="16" eb="18">
      <t>オオサカ</t>
    </rPh>
    <rPh sb="21" eb="22">
      <t>タ</t>
    </rPh>
    <rPh sb="22" eb="23">
      <t>ヨウ</t>
    </rPh>
    <phoneticPr fontId="2"/>
  </si>
  <si>
    <t>建_請求書_東京FAX</t>
    <phoneticPr fontId="2"/>
  </si>
  <si>
    <t>請求書（ＦＡＸ送信票）・建築物 東京用</t>
    <rPh sb="0" eb="3">
      <t>セイキュウショ</t>
    </rPh>
    <rPh sb="7" eb="9">
      <t>ソウシン</t>
    </rPh>
    <rPh sb="9" eb="10">
      <t>ヒョウ</t>
    </rPh>
    <rPh sb="12" eb="15">
      <t>ケンチクブツ</t>
    </rPh>
    <rPh sb="16" eb="18">
      <t>トウキョウ</t>
    </rPh>
    <rPh sb="18" eb="19">
      <t>ヨウ</t>
    </rPh>
    <phoneticPr fontId="2"/>
  </si>
  <si>
    <t>建築物_請求書</t>
    <phoneticPr fontId="2"/>
  </si>
  <si>
    <t>建築確認申請手数料　請求書</t>
    <rPh sb="0" eb="6">
      <t>ケンチクカクニンシンセイ</t>
    </rPh>
    <rPh sb="6" eb="9">
      <t>テスウリョウ</t>
    </rPh>
    <rPh sb="10" eb="13">
      <t>セイキュウショ</t>
    </rPh>
    <phoneticPr fontId="2"/>
  </si>
  <si>
    <t>昇降機_引受承諾書</t>
    <phoneticPr fontId="2"/>
  </si>
  <si>
    <t>昇降機引受承諾書</t>
    <rPh sb="0" eb="3">
      <t>ショウコウキ</t>
    </rPh>
    <rPh sb="3" eb="5">
      <t>ヒキウケ</t>
    </rPh>
    <rPh sb="5" eb="8">
      <t>ショウダクショ</t>
    </rPh>
    <phoneticPr fontId="2"/>
  </si>
  <si>
    <t>工作物_引受承諾書</t>
    <phoneticPr fontId="2"/>
  </si>
  <si>
    <t>工作物引受承諾書</t>
    <rPh sb="0" eb="3">
      <t>コウサクブツ</t>
    </rPh>
    <rPh sb="3" eb="5">
      <t>ヒキウケ</t>
    </rPh>
    <rPh sb="5" eb="8">
      <t>ショウダクショ</t>
    </rPh>
    <phoneticPr fontId="2"/>
  </si>
  <si>
    <t>請求書</t>
    <phoneticPr fontId="2"/>
  </si>
  <si>
    <t>請求書2</t>
    <phoneticPr fontId="2"/>
  </si>
  <si>
    <t>消防機関同意依頼</t>
    <phoneticPr fontId="2"/>
  </si>
  <si>
    <t>消防通知</t>
    <phoneticPr fontId="2"/>
  </si>
  <si>
    <t>屎尿浄化槽通知</t>
    <phoneticPr fontId="2"/>
  </si>
  <si>
    <t>決定することができない旨の通知書</t>
  </si>
  <si>
    <t>適合するかどうかを決定できない旨の通知書</t>
    <rPh sb="0" eb="2">
      <t>テキゴウ</t>
    </rPh>
    <rPh sb="9" eb="11">
      <t>ケッテイ</t>
    </rPh>
    <rPh sb="15" eb="16">
      <t>ムネ</t>
    </rPh>
    <rPh sb="17" eb="20">
      <t>ツウチショ</t>
    </rPh>
    <phoneticPr fontId="2"/>
  </si>
  <si>
    <t>※審査会の処理</t>
    <rPh sb="1" eb="4">
      <t>シンサカイ</t>
    </rPh>
    <rPh sb="5" eb="7">
      <t>ショリ</t>
    </rPh>
    <phoneticPr fontId="2"/>
  </si>
  <si>
    <t>適合しない旨の通知書</t>
  </si>
  <si>
    <t>適合しない旨の通知書</t>
    <rPh sb="0" eb="2">
      <t>テキゴウ</t>
    </rPh>
    <rPh sb="5" eb="6">
      <t>ムネ</t>
    </rPh>
    <rPh sb="7" eb="10">
      <t>ツウチショ</t>
    </rPh>
    <phoneticPr fontId="2"/>
  </si>
  <si>
    <t>建築物_確認済証</t>
    <phoneticPr fontId="2"/>
  </si>
  <si>
    <t>cst_shinsei_strtower26_prgo04_MAKER__NINTEI_non</t>
    <phoneticPr fontId="2"/>
  </si>
  <si>
    <t>cst_shinsei_strtower26_prgo04_NAME_VER__NINTEI_non</t>
    <phoneticPr fontId="2"/>
  </si>
  <si>
    <t>**shinsei_strtower26_prgo05_NAME</t>
  </si>
  <si>
    <t>**shinsei_strtower26_prgo05_VER</t>
  </si>
  <si>
    <t>cst_shinsei_strtower26_prgo05_NINTEI__umu</t>
    <phoneticPr fontId="2"/>
  </si>
  <si>
    <t>**shinsei_strtower26_prgo05_NINTEI_NO</t>
  </si>
  <si>
    <t>**shinsei_strtower26_prgo05_NINTEI_DATE</t>
  </si>
  <si>
    <t>cst_shinsei_strtower26_prgo05_NINTEI_DATE_dsp</t>
    <phoneticPr fontId="2"/>
  </si>
  <si>
    <t>**shinsei_strtower26_prgo05_MAKER_NAME</t>
  </si>
  <si>
    <t>cst_shinsei_strtower26_prgo05_NAME_VER</t>
    <phoneticPr fontId="2"/>
  </si>
  <si>
    <t>cst_shinsei_strtower26_prgo05_NAME_VER__SP</t>
    <phoneticPr fontId="2"/>
  </si>
  <si>
    <t>cst_shinsei_strtower26_prgo05_MAKER__NINTEI_ari</t>
    <phoneticPr fontId="2"/>
  </si>
  <si>
    <t>cst_shinsei_strtower26_prgo05_NAME_VER__NINTEI_ari</t>
    <phoneticPr fontId="2"/>
  </si>
  <si>
    <t>cst_shinsei_strtower26_prgo05_MAKER__NINTEI_non</t>
    <phoneticPr fontId="2"/>
  </si>
  <si>
    <t>cst_shinsei_strtower26_prgo05_NAME_VER__NINTEI_non</t>
    <phoneticPr fontId="2"/>
  </si>
  <si>
    <t>cst_shinsei_strtower26_PROG_NAME_VER__CHAR</t>
    <phoneticPr fontId="2"/>
  </si>
  <si>
    <t>cst_shinsei_strtower26_PROG_NAME_VER__CHAR__SP</t>
    <phoneticPr fontId="2"/>
  </si>
  <si>
    <t>cst_shinsei_strtower26_PROG_MAKER__NINTEI_ari_SP</t>
    <phoneticPr fontId="2"/>
  </si>
  <si>
    <t>cst_shinsei_strtower26_PROG_NAME_VER__NINTEI_ari_SP</t>
    <phoneticPr fontId="2"/>
  </si>
  <si>
    <t>cst_shinsei_strtower26_PROG_NINTEI_DATE_SP</t>
    <phoneticPr fontId="2"/>
  </si>
  <si>
    <t>cst_shinsei_strtower26_PROG_MAKER__NINTEI_no_SP</t>
    <phoneticPr fontId="2"/>
  </si>
  <si>
    <t>cst_shinsei_strtower26_PROG_NAME_VER__NINTEI_non_SP</t>
    <phoneticPr fontId="2"/>
  </si>
  <si>
    <t>**shinsei_strtower26_DISK_FLAG</t>
  </si>
  <si>
    <t>cst_shinsei_strtower26_DISK_FLAG</t>
    <phoneticPr fontId="2"/>
  </si>
  <si>
    <t>**shinsei_strtower26_CHARGE</t>
  </si>
  <si>
    <t>cst_shinsei_strtower26_CHARGE</t>
    <phoneticPr fontId="2"/>
  </si>
  <si>
    <t>cst_shinsei_strtower26_CHARGE__dsp</t>
    <phoneticPr fontId="2"/>
  </si>
  <si>
    <t>**shinsei_strtower26_CHARGE_WARIMASHI</t>
  </si>
  <si>
    <t>cst_shinsei_strtower26_CHARGE_WARIMASHI</t>
    <phoneticPr fontId="2"/>
  </si>
  <si>
    <t>**shinsei_strtower26_CHARGE_TOTAL</t>
  </si>
  <si>
    <t>cst_shinsei_strtower26_CHARGE_TOTAL</t>
    <phoneticPr fontId="2"/>
  </si>
  <si>
    <t>**shinsei_strtower26_CHARGE_KEISAN_NOTE</t>
  </si>
  <si>
    <t>cst_shinsei_strtower26_CHARGE_KEISAN_NOTE</t>
    <phoneticPr fontId="2"/>
  </si>
  <si>
    <t>cst_shinsei_strtower26_CHARGE_KEISAN_NOTE__alter</t>
    <phoneticPr fontId="2"/>
  </si>
  <si>
    <t>**shinsei_strtower26_KEISAN_X_ROUTE</t>
  </si>
  <si>
    <t>cst_shinsei_strtower26_KEISAN_X_ROUTE</t>
    <phoneticPr fontId="2"/>
  </si>
  <si>
    <t>**shinsei_strtower26_KEISAN_Y_ROUTE</t>
  </si>
  <si>
    <t>cst_shinsei_strtower26_KEISAN_Y_ROUTE</t>
    <phoneticPr fontId="2"/>
  </si>
  <si>
    <t>cst_shinsei_strtower26_XY_select</t>
    <phoneticPr fontId="2"/>
  </si>
  <si>
    <t>**shinsei_strtower26_PROGRAM_KIND_SONOTA</t>
  </si>
  <si>
    <t>cst_shinsei_strtower26_PROGRAM_KIND_SONOTA</t>
    <phoneticPr fontId="2"/>
  </si>
  <si>
    <t>**shinsei_strtower27_TOWER_NO</t>
  </si>
  <si>
    <t>cst_shinsei_strtower27_TOWER_NO</t>
    <phoneticPr fontId="2"/>
  </si>
  <si>
    <t>**shinsei_strtower27_STR_TOWER_NO</t>
  </si>
  <si>
    <t>cst_shinsei_strtower27_STR_TOWER_NO</t>
    <phoneticPr fontId="2"/>
  </si>
  <si>
    <t>cst_shinsei_strtower27__TOWER_NO_STR_TOWER_NO</t>
    <phoneticPr fontId="2"/>
  </si>
  <si>
    <t>cst_shinsei_strtower27__TOWER_NO_STR_TOWERS</t>
    <phoneticPr fontId="2"/>
  </si>
  <si>
    <t>**shinsei_strtower27_STR_TOWER_NAME</t>
  </si>
  <si>
    <t>cst_shinsei_strtower27_STR_TOWER_NAME</t>
    <phoneticPr fontId="2"/>
  </si>
  <si>
    <t>**shinsei_strtower27_JUDGE</t>
  </si>
  <si>
    <t>cst_shinsei_strtower27_JUDGE</t>
    <phoneticPr fontId="2"/>
  </si>
  <si>
    <t>**shinsei_strtower27_STR_TOWER_YOUTO_TEXT</t>
  </si>
  <si>
    <t>cst_shinsei_strtower27_STR_TOWER_YOUTO_TEXT</t>
    <phoneticPr fontId="2"/>
  </si>
  <si>
    <t>**shinsei_strtower27_KOUJI_TEXT</t>
  </si>
  <si>
    <t>cst_shinsei_strtower27_KOUJI_TEXT</t>
    <phoneticPr fontId="2"/>
  </si>
  <si>
    <t>**shinsei_strtower27_KOUZOU</t>
  </si>
  <si>
    <t>cst_shinsei_strtower27_KOUZOU</t>
    <phoneticPr fontId="2"/>
  </si>
  <si>
    <t>**shinsei_strtower27_KOUZOU_TEXT</t>
  </si>
  <si>
    <t>cst_shinsei_strtower27_KOUZOU_TEXT</t>
    <phoneticPr fontId="2"/>
  </si>
  <si>
    <t>**shinsei_strtower27_KOUZOU_KEISAN</t>
  </si>
  <si>
    <t>cst_shinsei_strtower27_KOUZOU_KEISAN</t>
    <phoneticPr fontId="2"/>
  </si>
  <si>
    <t>**shinsei_strtower27_KOUZOU_KEISAN_TEXT</t>
  </si>
  <si>
    <t>cst_shinsei_strtower27_KOUZOU_KEISAN_TEXT</t>
    <phoneticPr fontId="2"/>
  </si>
  <si>
    <t>**shinsei_strtower27_MENSEKI</t>
  </si>
  <si>
    <t>cst_shinsei_strtower27_MENSEKI</t>
    <phoneticPr fontId="2"/>
  </si>
  <si>
    <t>cst_shinsei_strtower27_MENSEKI__dsp</t>
    <phoneticPr fontId="2"/>
  </si>
  <si>
    <t>**shinsei_strtower27_MAX_TAKASA</t>
  </si>
  <si>
    <t>cst_shinsei_strtower27_MAX_TAKASA</t>
    <phoneticPr fontId="2"/>
  </si>
  <si>
    <t>**shinsei_strtower27_MAX_NOKI_TAKASA</t>
  </si>
  <si>
    <t>cst_shinsei_strtower27_MAX_NOKI_TAKASA</t>
    <phoneticPr fontId="2"/>
  </si>
  <si>
    <t>**shinsei_strtower27_KAISU_TIJYOU</t>
  </si>
  <si>
    <t>cst_shinsei_strtower27_KAISU_TIJYOU</t>
    <phoneticPr fontId="2"/>
  </si>
  <si>
    <t>**shinsei_strtower27_KAISU_TIKA</t>
  </si>
  <si>
    <t>cst_shinsei_strtower27_KAISU_TIKA</t>
    <phoneticPr fontId="2"/>
  </si>
  <si>
    <t>**shinsei_strtower27_KAISU_TOUYA</t>
  </si>
  <si>
    <t>cst_shinsei_strtower27_KAISU_TOUYA</t>
    <phoneticPr fontId="2"/>
  </si>
  <si>
    <t>**shinsei_strtower27_BUILD_KUBUN</t>
  </si>
  <si>
    <t>cst_shinsei_strtower27_BUILD_KUBUN</t>
    <phoneticPr fontId="2"/>
  </si>
  <si>
    <t>**shinsei_strtower27_BUILD_KUBUN_TEXT</t>
  </si>
  <si>
    <t>cst_shinsei_strtower27_BUILD_KUBUN_TEXT</t>
    <phoneticPr fontId="2"/>
  </si>
  <si>
    <t>cst_shinsei_strtower27_HOU20_2_select</t>
    <phoneticPr fontId="2"/>
  </si>
  <si>
    <t>cst_shinsei_strtower27_HOU20_3_select</t>
    <phoneticPr fontId="2"/>
  </si>
  <si>
    <t>**shinsei_strtower27_MENJYO_TEXT</t>
  </si>
  <si>
    <t>cst_shinsei_strtower27_MENJYO</t>
    <phoneticPr fontId="2"/>
  </si>
  <si>
    <t>**shinsei_strtower27_PROGRAM_KIND</t>
  </si>
  <si>
    <t>cst_shinsei_strtower27_PROGRAM_KIND</t>
    <phoneticPr fontId="2"/>
  </si>
  <si>
    <t>**shinsei_strtower27_REI80_2_KOKUJI_TEXT</t>
  </si>
  <si>
    <t>cst_shinsei_strtower27_REI80_2_KOKUJI</t>
    <phoneticPr fontId="2"/>
  </si>
  <si>
    <t>**shinsei_strtower27_PROGRAM_KIND__nintei__box</t>
  </si>
  <si>
    <t>cst_shinsei_strtower27_NINTEI</t>
    <phoneticPr fontId="2"/>
  </si>
  <si>
    <t>**shinsei_strtower27_PROGRAM_KIND__hyouka__box</t>
  </si>
  <si>
    <t>**shinsei_strtower27_PROGRAM_KIND__sonota__box</t>
  </si>
  <si>
    <t>**shinsei_strtower27_prgo01_NAME</t>
  </si>
  <si>
    <t>**shinsei_strtower27_prgo01_VER</t>
  </si>
  <si>
    <t>cst_shinsei_strtower27_prgo01_NINTEI__umu</t>
    <phoneticPr fontId="2"/>
  </si>
  <si>
    <t>**shinsei_strtower27_prgo01_NINTEI_NO</t>
  </si>
  <si>
    <t>cst_shinsei_strtower27_prgo01_NINTEI_NO</t>
    <phoneticPr fontId="2"/>
  </si>
  <si>
    <t>**shinsei_strtower27_prgo01_NINTEI_DATE</t>
  </si>
  <si>
    <t>cst_shinsei_strtower27_prgo01_NINTEI_DATE_dsp</t>
    <phoneticPr fontId="2"/>
  </si>
  <si>
    <t>**shinsei_strtower27_prgo01_MAKER_NAME</t>
  </si>
  <si>
    <t>cst_shinsei_strtower27_prgo01_NAME_VER</t>
    <phoneticPr fontId="2"/>
  </si>
  <si>
    <t>cst_shinsei_strtower27_prgo01_NAME_VER__SP</t>
    <phoneticPr fontId="2"/>
  </si>
  <si>
    <t>cst_shinsei_strtower27_prgo01_MAKER__NINTEI_ari</t>
    <phoneticPr fontId="2"/>
  </si>
  <si>
    <t>cst_shinsei_strtower27_prgo01_NAME_VER__NINTEI_ari</t>
    <phoneticPr fontId="2"/>
  </si>
  <si>
    <t>cst_shinsei_strtower27_prgo01_MAKER__NINTEI_non</t>
    <phoneticPr fontId="2"/>
  </si>
  <si>
    <t>cst_shinsei_strtower27_prgo01_NAME_VER__NINTEI_non</t>
    <phoneticPr fontId="2"/>
  </si>
  <si>
    <t>**shinsei_strtower27_prgo02_NAME</t>
  </si>
  <si>
    <t>**shinsei_strtower27_prgo02_VER</t>
  </si>
  <si>
    <t>cst_shinsei_strtower27_prgo02_NINTEI__umu</t>
    <phoneticPr fontId="2"/>
  </si>
  <si>
    <t>**shinsei_strtower27_prgo02_NINTEI_NO</t>
  </si>
  <si>
    <t>cst_shinsei_strtower27_prgo02_NINTEI_NO</t>
    <phoneticPr fontId="2"/>
  </si>
  <si>
    <t>**shinsei_strtower27_prgo02_NINTEI_DATE</t>
  </si>
  <si>
    <t>cst_shinsei_strtower27_prgo02_NINTEI_DATE_dsp</t>
    <phoneticPr fontId="2"/>
  </si>
  <si>
    <t>**shinsei_strtower27_prgo02_MAKER_NAME</t>
  </si>
  <si>
    <t>cst_shinsei_strtower27_prgo02_NAME_VER</t>
    <phoneticPr fontId="2"/>
  </si>
  <si>
    <t>cst_shinsei_strtower27_prgo02_NAME_VER__SP</t>
    <phoneticPr fontId="2"/>
  </si>
  <si>
    <t>cst_shinsei_strtower27_prgo02_MAKER__NINTEI_ari</t>
    <phoneticPr fontId="2"/>
  </si>
  <si>
    <t>cst_shinsei_strtower27_prgo02_NAME_VER__NINTEI_ari</t>
    <phoneticPr fontId="2"/>
  </si>
  <si>
    <t>cst_shinsei_strtower27_prgo02_MAKER__NINTEI_non</t>
    <phoneticPr fontId="2"/>
  </si>
  <si>
    <t>cst_shinsei_strtower27_prgo02_NAME_VER__NINTEI_non</t>
    <phoneticPr fontId="2"/>
  </si>
  <si>
    <t>**shinsei_strtower27_prgo03_NAME</t>
  </si>
  <si>
    <t>**shinsei_strtower27_prgo03_VER</t>
  </si>
  <si>
    <t>cst_shinsei_strtower27_prgo03_NINTEI__umu</t>
    <phoneticPr fontId="2"/>
  </si>
  <si>
    <t>**shinsei_strtower27_prgo03_NINTEI_NO</t>
  </si>
  <si>
    <t>**shinsei_strtower27_prgo03_NINTEI_DATE</t>
  </si>
  <si>
    <t>cst_shinsei_strtower27_prgo03_NINTEI_DATE_dsp</t>
    <phoneticPr fontId="2"/>
  </si>
  <si>
    <t>**shinsei_strtower27_prgo03_MAKER_NAME</t>
  </si>
  <si>
    <t>cst_shinsei_strtower27_prgo03_NAME_VER</t>
    <phoneticPr fontId="2"/>
  </si>
  <si>
    <t>cst_shinsei_strtower27_prgo03_NAME_VER__SP</t>
    <phoneticPr fontId="2"/>
  </si>
  <si>
    <t>cst_shinsei_strtower27_prgo03_MAKER__NINTEI_ari</t>
    <phoneticPr fontId="2"/>
  </si>
  <si>
    <t>cst_shinsei_strtower27_prgo03_NAME_VER__NINTEI_ari</t>
    <phoneticPr fontId="2"/>
  </si>
  <si>
    <t>cst_shinsei_strtower27_prgo03_MAKER__NINTEI_non</t>
    <phoneticPr fontId="2"/>
  </si>
  <si>
    <t>cst_shinsei_strtower27_prgo03_NAME_VER__NINTEI_non</t>
    <phoneticPr fontId="2"/>
  </si>
  <si>
    <t>**shinsei_strtower27_prgo04_NAME</t>
  </si>
  <si>
    <t>**shinsei_strtower27_prgo04_VER</t>
  </si>
  <si>
    <t>cst_shinsei_strtower27_prgo04_NINTEI__umu</t>
    <phoneticPr fontId="2"/>
  </si>
  <si>
    <t>**shinsei_strtower27_prgo04_NINTEI_NO</t>
  </si>
  <si>
    <t>**shinsei_strtower27_prgo04_NINTEI_DATE</t>
  </si>
  <si>
    <t>cst_shinsei_strtower27_prgo04_NINTEI_DATE_dsp</t>
    <phoneticPr fontId="2"/>
  </si>
  <si>
    <t>**shinsei_strtower27_prgo04_MAKER_NAME</t>
  </si>
  <si>
    <t>cst_shinsei_strtower27_prgo04_NAME_VER</t>
    <phoneticPr fontId="2"/>
  </si>
  <si>
    <t>cst_shinsei_strtower27_prgo04_NAME_VER__SP</t>
    <phoneticPr fontId="2"/>
  </si>
  <si>
    <t>cst_shinsei_strtower27_prgo04_MAKER__NINTEI_ari</t>
    <phoneticPr fontId="2"/>
  </si>
  <si>
    <t>cst_shinsei_strtower27_prgo04_NAME_VER__NINTEI_ari</t>
    <phoneticPr fontId="2"/>
  </si>
  <si>
    <t>cst_shinsei_strtower27_prgo04_MAKER__NINTEI_non</t>
    <phoneticPr fontId="2"/>
  </si>
  <si>
    <t>cst_shinsei_strtower27_prgo04_NAME_VER__NINTEI_non</t>
    <phoneticPr fontId="2"/>
  </si>
  <si>
    <t>**shinsei_strtower27_prgo05_NAME</t>
  </si>
  <si>
    <t>**shinsei_strtower27_prgo05_VER</t>
  </si>
  <si>
    <t>cst_shinsei_strtower27_prgo05_NINTEI__umu</t>
    <phoneticPr fontId="2"/>
  </si>
  <si>
    <t>**shinsei_strtower27_prgo05_NINTEI_NO</t>
  </si>
  <si>
    <t>**shinsei_strtower27_prgo05_NINTEI_DATE</t>
  </si>
  <si>
    <t>cst_shinsei_strtower27_prgo05_NINTEI_DATE_dsp</t>
    <phoneticPr fontId="2"/>
  </si>
  <si>
    <t>**shinsei_strtower27_prgo05_MAKER_NAME</t>
  </si>
  <si>
    <t>cst_shinsei_strtower27_prgo05_NAME_VER</t>
    <phoneticPr fontId="2"/>
  </si>
  <si>
    <t>cst_shinsei_strtower27_prgo05_NAME_VER__SP</t>
    <phoneticPr fontId="2"/>
  </si>
  <si>
    <t>cst_shinsei_strtower27_prgo05_MAKER__NINTEI_ari</t>
    <phoneticPr fontId="2"/>
  </si>
  <si>
    <t>cst_shinsei_strtower27_prgo05_NAME_VER__NINTEI_ari</t>
    <phoneticPr fontId="2"/>
  </si>
  <si>
    <t>cst_shinsei_strtower27_prgo05_MAKER__NINTEI_non</t>
    <phoneticPr fontId="2"/>
  </si>
  <si>
    <t>cst_shinsei_strtower27_prgo05_NAME_VER__NINTEI_non</t>
    <phoneticPr fontId="2"/>
  </si>
  <si>
    <t>cst_shinsei_strtower27_PROG_NAME_VER__CHAR</t>
    <phoneticPr fontId="2"/>
  </si>
  <si>
    <t>cst_shinsei_strtower27_PROG_NAME_VER__CHAR__SP</t>
    <phoneticPr fontId="2"/>
  </si>
  <si>
    <t xml:space="preserve"> - メーカー(SP)</t>
    <phoneticPr fontId="2"/>
  </si>
  <si>
    <t>cst_shinsei_strtower27_PROG_MAKER__NINTEI_ari_SP</t>
    <phoneticPr fontId="2"/>
  </si>
  <si>
    <t>cst_shinsei_strtower27_PROG_NAME_VER__NINTEI_ari_SP</t>
    <phoneticPr fontId="2"/>
  </si>
  <si>
    <t>cst_shinsei_strtower27_PROG_NINTEI_DATE_SP</t>
    <phoneticPr fontId="2"/>
  </si>
  <si>
    <t xml:space="preserve"> - メーカー(SP)</t>
    <phoneticPr fontId="2"/>
  </si>
  <si>
    <t>cst_shinsei_strtower27_PROG_MAKER__NINTEI_no_SP</t>
    <phoneticPr fontId="2"/>
  </si>
  <si>
    <t>cst_shinsei_strtower27_PROG_NAME_VER__NINTEI_non_SP</t>
    <phoneticPr fontId="2"/>
  </si>
  <si>
    <t>**shinsei_strtower27_DISK_FLAG</t>
  </si>
  <si>
    <t>cst_shinsei_strtower27_DISK_FLAG</t>
    <phoneticPr fontId="2"/>
  </si>
  <si>
    <t>**shinsei_strtower27_CHARGE</t>
  </si>
  <si>
    <t>cst_shinsei_strtower27_CHARGE</t>
    <phoneticPr fontId="2"/>
  </si>
  <si>
    <t>cst_shinsei_strtower27_CHARGE__dsp</t>
    <phoneticPr fontId="2"/>
  </si>
  <si>
    <t>**shinsei_strtower27_CHARGE_WARIMASHI</t>
  </si>
  <si>
    <t>cst_shinsei_strtower27_CHARGE_WARIMASHI</t>
    <phoneticPr fontId="2"/>
  </si>
  <si>
    <t>**shinsei_strtower27_CHARGE_TOTAL</t>
  </si>
  <si>
    <t>cst_shinsei_strtower27_CHARGE_TOTAL</t>
    <phoneticPr fontId="2"/>
  </si>
  <si>
    <t>**shinsei_strtower27_CHARGE_KEISAN_NOTE</t>
  </si>
  <si>
    <t>cst_shinsei_strtower27_CHARGE_KEISAN_NOTE</t>
    <phoneticPr fontId="2"/>
  </si>
  <si>
    <t>text</t>
    <phoneticPr fontId="2"/>
  </si>
  <si>
    <t>cst_shinsei_strtower27_CHARGE_KEISAN_NOTE__alter</t>
    <phoneticPr fontId="2"/>
  </si>
  <si>
    <t>**shinsei_strtower27_KEISAN_X_ROUTE</t>
  </si>
  <si>
    <t>cst_shinsei_strtower27_KEISAN_X_ROUTE</t>
    <phoneticPr fontId="2"/>
  </si>
  <si>
    <t>**shinsei_strtower27_KEISAN_Y_ROUTE</t>
  </si>
  <si>
    <t>cst_shinsei_strtower27_KEISAN_Y_ROUTE</t>
    <phoneticPr fontId="2"/>
  </si>
  <si>
    <t>cst_shinsei_strtower27_XY_select</t>
    <phoneticPr fontId="2"/>
  </si>
  <si>
    <t>**shinsei_strtower27_PROGRAM_KIND_SONOTA</t>
  </si>
  <si>
    <t>cst_shinsei_strtower27_PROGRAM_KIND_SONOTA</t>
    <phoneticPr fontId="2"/>
  </si>
  <si>
    <t>**shinsei_strtower28_TOWER_NO</t>
  </si>
  <si>
    <t>cst_shinsei_strtower28_TOWER_NO</t>
    <phoneticPr fontId="2"/>
  </si>
  <si>
    <t>**shinsei_strtower28_STR_TOWER_NO</t>
  </si>
  <si>
    <t>cst_shinsei_strtower28_STR_TOWER_NO</t>
    <phoneticPr fontId="2"/>
  </si>
  <si>
    <t>cst_shinsei_strtower28__TOWER_NO_STR_TOWER_NO</t>
    <phoneticPr fontId="2"/>
  </si>
  <si>
    <t>cst_shinsei_strtower28__TOWER_NO_STR_TOWERS</t>
    <phoneticPr fontId="2"/>
  </si>
  <si>
    <t>棟別情報の構造棟名称</t>
    <phoneticPr fontId="2"/>
  </si>
  <si>
    <t>**shinsei_strtower28_STR_TOWER_NAME</t>
  </si>
  <si>
    <t>cst_shinsei_strtower28_STR_TOWER_NAME</t>
    <phoneticPr fontId="2"/>
  </si>
  <si>
    <t>構造判定（判定が必要なもの）</t>
    <phoneticPr fontId="2"/>
  </si>
  <si>
    <t>**shinsei_strtower28_JUDGE</t>
  </si>
  <si>
    <t>cst_shinsei_strtower28_JUDGE</t>
    <phoneticPr fontId="2"/>
  </si>
  <si>
    <t>1：有, 0：無</t>
    <phoneticPr fontId="2"/>
  </si>
  <si>
    <t>**shinsei_strtower28_STR_TOWER_YOUTO_TEXT</t>
  </si>
  <si>
    <t>cst_shinsei_strtower28_STR_TOWER_YOUTO_TEXT</t>
    <phoneticPr fontId="2"/>
  </si>
  <si>
    <t>**shinsei_strtower28_KOUJI_TEXT</t>
  </si>
  <si>
    <t>cst_shinsei_strtower28_KOUJI_TEXT</t>
    <phoneticPr fontId="2"/>
  </si>
  <si>
    <t>構造</t>
    <phoneticPr fontId="2"/>
  </si>
  <si>
    <t>**shinsei_strtower28_KOUZOU</t>
  </si>
  <si>
    <t>cst_shinsei_strtower28_KOUZOU</t>
    <phoneticPr fontId="2"/>
  </si>
  <si>
    <t>構造</t>
    <phoneticPr fontId="2"/>
  </si>
  <si>
    <t>**shinsei_strtower28_KOUZOU_TEXT</t>
  </si>
  <si>
    <t>cst_shinsei_strtower28_KOUZOU_TEXT</t>
    <phoneticPr fontId="2"/>
  </si>
  <si>
    <t>**shinsei_strtower28_KOUZOU_KEISAN</t>
  </si>
  <si>
    <t>cst_shinsei_strtower28_KOUZOU_KEISAN</t>
    <phoneticPr fontId="2"/>
  </si>
  <si>
    <t>**shinsei_strtower28_KOUZOU_KEISAN_TEXT</t>
  </si>
  <si>
    <t>cst_shinsei_strtower28_KOUZOU_KEISAN_TEXT</t>
    <phoneticPr fontId="2"/>
  </si>
  <si>
    <t>延床面積</t>
    <phoneticPr fontId="2"/>
  </si>
  <si>
    <t>**shinsei_strtower28_MENSEKI</t>
  </si>
  <si>
    <t>cst_shinsei_strtower28_MENSEKI</t>
    <phoneticPr fontId="2"/>
  </si>
  <si>
    <t>cst_shinsei_strtower28_MENSEKI__dsp</t>
    <phoneticPr fontId="2"/>
  </si>
  <si>
    <t>**shinsei_strtower28_MAX_TAKASA</t>
  </si>
  <si>
    <t>cst_shinsei_strtower28_MAX_TAKASA</t>
    <phoneticPr fontId="2"/>
  </si>
  <si>
    <t>**shinsei_strtower28_MAX_NOKI_TAKASA</t>
  </si>
  <si>
    <t>cst_shinsei_strtower28_MAX_NOKI_TAKASA</t>
    <phoneticPr fontId="2"/>
  </si>
  <si>
    <t>**shinsei_strtower28_KAISU_TIJYOU</t>
  </si>
  <si>
    <t>cst_shinsei_strtower28_KAISU_TIJYOU</t>
    <phoneticPr fontId="2"/>
  </si>
  <si>
    <t xml:space="preserve">#,##0_ </t>
    <phoneticPr fontId="2"/>
  </si>
  <si>
    <t>**shinsei_strtower28_KAISU_TIKA</t>
  </si>
  <si>
    <t>cst_shinsei_strtower28_KAISU_TIKA</t>
    <phoneticPr fontId="2"/>
  </si>
  <si>
    <t>**shinsei_strtower28_KAISU_TOUYA</t>
  </si>
  <si>
    <t>cst_shinsei_strtower28_KAISU_TOUYA</t>
    <phoneticPr fontId="2"/>
  </si>
  <si>
    <t>**shinsei_strtower28_BUILD_KUBUN</t>
  </si>
  <si>
    <t>cst_shinsei_strtower28_BUILD_KUBUN</t>
    <phoneticPr fontId="2"/>
  </si>
  <si>
    <t>**shinsei_strtower28_BUILD_KUBUN_TEXT</t>
  </si>
  <si>
    <t>cst_shinsei_strtower28_BUILD_KUBUN_TEXT</t>
    <phoneticPr fontId="2"/>
  </si>
  <si>
    <t>text</t>
    <phoneticPr fontId="2"/>
  </si>
  <si>
    <t>cst_shinsei_strtower28_HOU20_2_select</t>
    <phoneticPr fontId="2"/>
  </si>
  <si>
    <t>cst_shinsei_strtower28_HOU20_3_select</t>
    <phoneticPr fontId="2"/>
  </si>
  <si>
    <t>構造計算免除の規定</t>
    <phoneticPr fontId="2"/>
  </si>
  <si>
    <t>**shinsei_strtower28_MENJYO_TEXT</t>
  </si>
  <si>
    <t>cst_shinsei_strtower28_MENJYO</t>
    <phoneticPr fontId="2"/>
  </si>
  <si>
    <t>**shinsei_strtower28_PROGRAM_KIND</t>
  </si>
  <si>
    <t>cst_shinsei_strtower28_PROGRAM_KIND</t>
    <phoneticPr fontId="2"/>
  </si>
  <si>
    <t>**shinsei_strtower28_REI80_2_KOKUJI_TEXT</t>
  </si>
  <si>
    <t>cst_shinsei_strtower28_REI80_2_KOKUJI</t>
    <phoneticPr fontId="2"/>
  </si>
  <si>
    <t>**shinsei_strtower28_PROGRAM_KIND__nintei__box</t>
  </si>
  <si>
    <t>cst_shinsei_strtower28_NINTEI</t>
    <phoneticPr fontId="2"/>
  </si>
  <si>
    <t>**shinsei_strtower28_PROGRAM_KIND__hyouka__box</t>
  </si>
  <si>
    <t>**shinsei_strtower28_PROGRAM_KIND__sonota__box</t>
  </si>
  <si>
    <t>プログラム01</t>
    <phoneticPr fontId="2"/>
  </si>
  <si>
    <t>**shinsei_strtower28_prgo01_NAME</t>
  </si>
  <si>
    <t xml:space="preserve"> - バージョン</t>
    <phoneticPr fontId="2"/>
  </si>
  <si>
    <t>**shinsei_strtower28_prgo01_VER</t>
  </si>
  <si>
    <t>cst_shinsei_strtower28_prgo01_NINTEI__umu</t>
    <phoneticPr fontId="2"/>
  </si>
  <si>
    <t>**shinsei_strtower28_prgo01_NINTEI_NO</t>
  </si>
  <si>
    <t>cst_shinsei_strtower28_prgo01_NINTEI_NO</t>
    <phoneticPr fontId="2"/>
  </si>
  <si>
    <t>**shinsei_strtower28_prgo01_NINTEI_DATE</t>
  </si>
  <si>
    <t>cst_shinsei_strtower28_prgo01_NINTEI_DATE_dsp</t>
    <phoneticPr fontId="2"/>
  </si>
  <si>
    <t xml:space="preserve"> - メーカー</t>
    <phoneticPr fontId="2"/>
  </si>
  <si>
    <t>**shinsei_strtower28_prgo01_MAKER_NAME</t>
  </si>
  <si>
    <t>cst_shinsei_strtower28_prgo01_NAME_VER</t>
    <phoneticPr fontId="2"/>
  </si>
  <si>
    <t>cst_shinsei_strtower28_prgo01_NAME_VER__SP</t>
    <phoneticPr fontId="2"/>
  </si>
  <si>
    <t xml:space="preserve"> - メーカー(SP)</t>
    <phoneticPr fontId="2"/>
  </si>
  <si>
    <t>cst_shinsei_strtower28_prgo01_MAKER__NINTEI_ari</t>
    <phoneticPr fontId="2"/>
  </si>
  <si>
    <t>cst_shinsei_strtower28_prgo01_NAME_VER__NINTEI_ari</t>
    <phoneticPr fontId="2"/>
  </si>
  <si>
    <t>cst_shinsei_strtower28_prgo01_MAKER__NINTEI_non</t>
    <phoneticPr fontId="2"/>
  </si>
  <si>
    <t>cst_shinsei_strtower28_prgo01_NAME_VER__NINTEI_non</t>
    <phoneticPr fontId="2"/>
  </si>
  <si>
    <t>プログラム02</t>
    <phoneticPr fontId="2"/>
  </si>
  <si>
    <t>**shinsei_strtower28_prgo02_NAME</t>
  </si>
  <si>
    <t>**shinsei_strtower28_prgo02_VER</t>
  </si>
  <si>
    <t>cst_shinsei_strtower28_prgo02_NINTEI__umu</t>
    <phoneticPr fontId="2"/>
  </si>
  <si>
    <t>**shinsei_strtower28_prgo02_NINTEI_NO</t>
  </si>
  <si>
    <t>**shinsei_strtower28_prgo02_NINTEI_DATE</t>
  </si>
  <si>
    <t>cst_shinsei_strtower28_prgo02_NINTEI_DATE_dsp</t>
    <phoneticPr fontId="2"/>
  </si>
  <si>
    <t>**shinsei_strtower28_prgo02_MAKER_NAME</t>
  </si>
  <si>
    <t>cst_shinsei_strtower28_prgo02_NAME_VER</t>
    <phoneticPr fontId="2"/>
  </si>
  <si>
    <t>cst_shinsei_strtower28_prgo02_NAME_VER__SP</t>
    <phoneticPr fontId="2"/>
  </si>
  <si>
    <t>cst_shinsei_strtower28_prgo02_MAKER__NINTEI_ari</t>
    <phoneticPr fontId="2"/>
  </si>
  <si>
    <t>cst_shinsei_strtower28_prgo02_NAME_VER__NINTEI_ari</t>
    <phoneticPr fontId="2"/>
  </si>
  <si>
    <t>cst_shinsei_strtower28_prgo02_MAKER__NINTEI_non</t>
    <phoneticPr fontId="2"/>
  </si>
  <si>
    <t>cst_shinsei_strtower28_prgo02_NAME_VER__NINTEI_non</t>
    <phoneticPr fontId="2"/>
  </si>
  <si>
    <t>プログラム03</t>
    <phoneticPr fontId="2"/>
  </si>
  <si>
    <t>**shinsei_strtower28_prgo03_NAME</t>
  </si>
  <si>
    <t>**shinsei_strtower28_prgo03_VER</t>
  </si>
  <si>
    <t>cst_shinsei_strtower28_prgo03_NINTEI__umu</t>
    <phoneticPr fontId="2"/>
  </si>
  <si>
    <t>**shinsei_strtower28_prgo03_NINTEI_NO</t>
  </si>
  <si>
    <t>text</t>
    <phoneticPr fontId="2"/>
  </si>
  <si>
    <t>**shinsei_strtower28_prgo03_NINTEI_DATE</t>
  </si>
  <si>
    <t>cst_shinsei_strtower28_prgo03_NINTEI_DATE_dsp</t>
    <phoneticPr fontId="2"/>
  </si>
  <si>
    <t xml:space="preserve"> - メーカー</t>
    <phoneticPr fontId="2"/>
  </si>
  <si>
    <t>**shinsei_strtower28_prgo03_MAKER_NAME</t>
  </si>
  <si>
    <t>cst_shinsei_strtower28_prgo03_NAME_VER</t>
    <phoneticPr fontId="2"/>
  </si>
  <si>
    <t>cst_shinsei_strtower28_prgo03_NAME_VER__SP</t>
    <phoneticPr fontId="2"/>
  </si>
  <si>
    <t xml:space="preserve"> - メーカー(SP)</t>
    <phoneticPr fontId="2"/>
  </si>
  <si>
    <t>cst_shinsei_strtower28_prgo03_MAKER__NINTEI_ari</t>
    <phoneticPr fontId="2"/>
  </si>
  <si>
    <t>cst_shinsei_strtower28_prgo03_NAME_VER__NINTEI_ari</t>
    <phoneticPr fontId="2"/>
  </si>
  <si>
    <t xml:space="preserve"> - メーカー(SP)</t>
    <phoneticPr fontId="2"/>
  </si>
  <si>
    <t>cst_shinsei_strtower28_prgo03_MAKER__NINTEI_non</t>
    <phoneticPr fontId="2"/>
  </si>
  <si>
    <t>cst_shinsei_strtower28_prgo03_NAME_VER__NINTEI_non</t>
    <phoneticPr fontId="2"/>
  </si>
  <si>
    <t>プログラム04</t>
    <phoneticPr fontId="2"/>
  </si>
  <si>
    <t>**shinsei_strtower28_prgo04_NAME</t>
  </si>
  <si>
    <t xml:space="preserve"> - バージョン</t>
    <phoneticPr fontId="2"/>
  </si>
  <si>
    <t>**shinsei_strtower28_prgo04_VER</t>
  </si>
  <si>
    <t>cst_shinsei_strtower28_prgo04_NINTEI__umu</t>
    <phoneticPr fontId="2"/>
  </si>
  <si>
    <t>**shinsei_strtower28_prgo04_NINTEI_NO</t>
  </si>
  <si>
    <t>text</t>
    <phoneticPr fontId="2"/>
  </si>
  <si>
    <t>**shinsei_strtower28_prgo04_NINTEI_DATE</t>
  </si>
  <si>
    <t>cst_shinsei_strtower28_prgo04_NINTEI_DATE_dsp</t>
    <phoneticPr fontId="2"/>
  </si>
  <si>
    <t>**shinsei_strtower28_prgo04_MAKER_NAME</t>
  </si>
  <si>
    <t>cst_shinsei_strtower28_prgo04_NAME_VER</t>
    <phoneticPr fontId="2"/>
  </si>
  <si>
    <t>cst_shinsei_strtower28_prgo04_NAME_VER__SP</t>
    <phoneticPr fontId="2"/>
  </si>
  <si>
    <t>cst_shinsei_strtower28_prgo04_MAKER__NINTEI_ari</t>
    <phoneticPr fontId="2"/>
  </si>
  <si>
    <t>cst_shinsei_strtower28_prgo04_NAME_VER__NINTEI_ari</t>
    <phoneticPr fontId="2"/>
  </si>
  <si>
    <t>cst_shinsei_strtower28_prgo04_MAKER__NINTEI_non</t>
    <phoneticPr fontId="2"/>
  </si>
  <si>
    <t>cst_shinsei_strtower28_prgo04_NAME_VER__NINTEI_non</t>
    <phoneticPr fontId="2"/>
  </si>
  <si>
    <t>プログラム05</t>
    <phoneticPr fontId="2"/>
  </si>
  <si>
    <t>**shinsei_strtower28_prgo05_NAME</t>
  </si>
  <si>
    <t>**shinsei_strtower28_prgo05_VER</t>
  </si>
  <si>
    <t>cst_shinsei_strtower28_prgo05_NINTEI__umu</t>
    <phoneticPr fontId="2"/>
  </si>
  <si>
    <t>**shinsei_strtower28_prgo05_NINTEI_NO</t>
  </si>
  <si>
    <t>**shinsei_strtower28_prgo05_NINTEI_DATE</t>
  </si>
  <si>
    <t>cst_shinsei_strtower28_prgo05_NINTEI_DATE_dsp</t>
    <phoneticPr fontId="2"/>
  </si>
  <si>
    <t>**shinsei_strtower28_prgo05_MAKER_NAME</t>
  </si>
  <si>
    <t>cst_shinsei_strtower28_prgo05_NAME_VER</t>
    <phoneticPr fontId="2"/>
  </si>
  <si>
    <t>cst_shinsei_strtower28_prgo05_NAME_VER__SP</t>
    <phoneticPr fontId="2"/>
  </si>
  <si>
    <t>cst_shinsei_strtower28_prgo05_MAKER__NINTEI_ari</t>
    <phoneticPr fontId="2"/>
  </si>
  <si>
    <t>cst_shinsei_strtower28_prgo05_NAME_VER__NINTEI_ari</t>
    <phoneticPr fontId="2"/>
  </si>
  <si>
    <t>cst_shinsei_strtower28_prgo05_MAKER__NINTEI_non</t>
    <phoneticPr fontId="2"/>
  </si>
  <si>
    <t>cst_shinsei_strtower28_prgo05_NAME_VER__NINTEI_non</t>
    <phoneticPr fontId="2"/>
  </si>
  <si>
    <t>プログラム</t>
    <phoneticPr fontId="2"/>
  </si>
  <si>
    <t>cst_shinsei_strtower28_PROG_NAME_VER__CHAR</t>
    <phoneticPr fontId="2"/>
  </si>
  <si>
    <t>cst_shinsei_strtower28_PROG_NAME_VER__CHAR__SP</t>
    <phoneticPr fontId="2"/>
  </si>
  <si>
    <t>cst_shinsei_strtower28_PROG_MAKER__NINTEI_ari_SP</t>
    <phoneticPr fontId="2"/>
  </si>
  <si>
    <t>cst_shinsei_strtower28_PROG_NAME_VER__NINTEI_ari_SP</t>
    <phoneticPr fontId="2"/>
  </si>
  <si>
    <t>cst_shinsei_strtower19_prgo04_MAKER__NINTEI_ari</t>
    <phoneticPr fontId="2"/>
  </si>
  <si>
    <t>cst_shinsei_strtower19_prgo04_NAME_VER__NINTEI_ari</t>
    <phoneticPr fontId="2"/>
  </si>
  <si>
    <t>cst_shinsei_strtower19_prgo04_MAKER__NINTEI_non</t>
    <phoneticPr fontId="2"/>
  </si>
  <si>
    <t>cst_shinsei_strtower19_prgo04_NAME_VER__NINTEI_non</t>
    <phoneticPr fontId="2"/>
  </si>
  <si>
    <t>**shinsei_strtower19_prgo05_NAME</t>
  </si>
  <si>
    <t>**shinsei_strtower19_prgo05_VER</t>
  </si>
  <si>
    <t>cst_shinsei_strtower19_prgo05_NINTEI__umu</t>
    <phoneticPr fontId="2"/>
  </si>
  <si>
    <t>**shinsei_strtower19_prgo05_NINTEI_NO</t>
  </si>
  <si>
    <t>**shinsei_strtower19_prgo05_NINTEI_DATE</t>
  </si>
  <si>
    <t>cst_shinsei_strtower19_prgo05_NINTEI_DATE_dsp</t>
    <phoneticPr fontId="2"/>
  </si>
  <si>
    <t>**shinsei_strtower19_prgo05_MAKER_NAME</t>
  </si>
  <si>
    <t>cst_shinsei_strtower19_prgo05_NAME_VER</t>
    <phoneticPr fontId="2"/>
  </si>
  <si>
    <t>cst_shinsei_strtower19_prgo05_NAME_VER__SP</t>
    <phoneticPr fontId="2"/>
  </si>
  <si>
    <t>cst_shinsei_strtower19_prgo05_MAKER__NINTEI_ari</t>
    <phoneticPr fontId="2"/>
  </si>
  <si>
    <t>cst_shinsei_strtower19_prgo05_NAME_VER__NINTEI_ari</t>
    <phoneticPr fontId="2"/>
  </si>
  <si>
    <t>cst_shinsei_strtower19_prgo05_MAKER__NINTEI_non</t>
    <phoneticPr fontId="2"/>
  </si>
  <si>
    <t>cst_shinsei_strtower19_prgo05_NAME_VER__NINTEI_non</t>
    <phoneticPr fontId="2"/>
  </si>
  <si>
    <t>cst_shinsei_strtower19_PROG_NAME_VER__CHAR</t>
    <phoneticPr fontId="2"/>
  </si>
  <si>
    <t>cst_shinsei_strtower19_PROG_NAME_VER__CHAR__SP</t>
    <phoneticPr fontId="2"/>
  </si>
  <si>
    <t>cst_shinsei_strtower19_PROG_MAKER__NINTEI_ari_SP</t>
    <phoneticPr fontId="2"/>
  </si>
  <si>
    <t>cst_shinsei_strtower19_PROG_NAME_VER__NINTEI_ari_SP</t>
    <phoneticPr fontId="2"/>
  </si>
  <si>
    <t>cst_shinsei_strtower19_PROG_NINTEI_DATE_SP</t>
    <phoneticPr fontId="2"/>
  </si>
  <si>
    <t>cst_shinsei_strtower19_PROG_MAKER__NINTEI_no_SP</t>
    <phoneticPr fontId="2"/>
  </si>
  <si>
    <t>cst_shinsei_strtower19_PROG_NAME_VER__NINTEI_non_SP</t>
    <phoneticPr fontId="2"/>
  </si>
  <si>
    <t>**shinsei_strtower19_DISK_FLAG</t>
  </si>
  <si>
    <t>cst_shinsei_strtower19_DISK_FLAG</t>
    <phoneticPr fontId="2"/>
  </si>
  <si>
    <t>**shinsei_strtower19_CHARGE</t>
  </si>
  <si>
    <t>cst_shinsei_strtower19_CHARGE</t>
    <phoneticPr fontId="2"/>
  </si>
  <si>
    <t>cst_shinsei_strtower19_CHARGE__dsp</t>
    <phoneticPr fontId="2"/>
  </si>
  <si>
    <t>**shinsei_strtower19_CHARGE_WARIMASHI</t>
  </si>
  <si>
    <t>cst_shinsei_strtower19_CHARGE_WARIMASHI</t>
    <phoneticPr fontId="2"/>
  </si>
  <si>
    <t>**shinsei_strtower19_CHARGE_TOTAL</t>
  </si>
  <si>
    <t>cst_shinsei_strtower19_CHARGE_TOTAL</t>
    <phoneticPr fontId="2"/>
  </si>
  <si>
    <t>**shinsei_strtower19_CHARGE_KEISAN_NOTE</t>
  </si>
  <si>
    <t>cst_shinsei_strtower19_CHARGE_KEISAN_NOTE</t>
    <phoneticPr fontId="2"/>
  </si>
  <si>
    <t>cst_shinsei_strtower19_CHARGE_KEISAN_NOTE__alter</t>
    <phoneticPr fontId="2"/>
  </si>
  <si>
    <t>**shinsei_strtower19_KEISAN_X_ROUTE</t>
  </si>
  <si>
    <t>cst_shinsei_strtower19_KEISAN_X_ROUTE</t>
    <phoneticPr fontId="2"/>
  </si>
  <si>
    <t>**shinsei_strtower19_KEISAN_Y_ROUTE</t>
  </si>
  <si>
    <t>cst_shinsei_strtower19_KEISAN_Y_ROUTE</t>
    <phoneticPr fontId="2"/>
  </si>
  <si>
    <t>cst_shinsei_strtower19_XY_select</t>
    <phoneticPr fontId="2"/>
  </si>
  <si>
    <t>**shinsei_strtower19_PROGRAM_KIND_SONOTA</t>
  </si>
  <si>
    <t>cst_shinsei_strtower19_PROGRAM_KIND_SONOTA</t>
    <phoneticPr fontId="2"/>
  </si>
  <si>
    <t>**shinsei_strtower20_TOWER_NO</t>
  </si>
  <si>
    <t>cst_shinsei_strtower20_TOWER_NO</t>
    <phoneticPr fontId="2"/>
  </si>
  <si>
    <t>**shinsei_strtower20_STR_TOWER_NO</t>
  </si>
  <si>
    <t>cst_shinsei_strtower20_STR_TOWER_NO</t>
    <phoneticPr fontId="2"/>
  </si>
  <si>
    <t>cst_shinsei_strtower20__TOWER_NO_STR_TOWER_NO</t>
    <phoneticPr fontId="2"/>
  </si>
  <si>
    <t>cst_shinsei_strtower20__TOWER_NO_STR_TOWERS</t>
    <phoneticPr fontId="2"/>
  </si>
  <si>
    <t>**shinsei_strtower20_STR_TOWER_NAME</t>
  </si>
  <si>
    <t>cst_shinsei_strtower20_STR_TOWER_NAME</t>
    <phoneticPr fontId="2"/>
  </si>
  <si>
    <t>**shinsei_strtower20_JUDGE</t>
  </si>
  <si>
    <t>cst_shinsei_strtower20_JUDGE</t>
    <phoneticPr fontId="2"/>
  </si>
  <si>
    <t>**shinsei_strtower20_STR_TOWER_YOUTO_TEXT</t>
  </si>
  <si>
    <t>cst_shinsei_strtower20_STR_TOWER_YOUTO_TEXT</t>
    <phoneticPr fontId="2"/>
  </si>
  <si>
    <t>**shinsei_strtower20_KOUJI_TEXT</t>
  </si>
  <si>
    <t>cst_shinsei_strtower20_KOUJI_TEXT</t>
    <phoneticPr fontId="2"/>
  </si>
  <si>
    <t>**shinsei_strtower20_KOUZOU</t>
  </si>
  <si>
    <t>cst_shinsei_strtower20_KOUZOU</t>
    <phoneticPr fontId="2"/>
  </si>
  <si>
    <t>**shinsei_strtower20_KOUZOU_TEXT</t>
  </si>
  <si>
    <t>cst_shinsei_strtower20_KOUZOU_TEXT</t>
    <phoneticPr fontId="2"/>
  </si>
  <si>
    <t>**shinsei_strtower20_KOUZOU_KEISAN</t>
  </si>
  <si>
    <t>cst_shinsei_strtower20_KOUZOU_KEISAN</t>
    <phoneticPr fontId="2"/>
  </si>
  <si>
    <t>**shinsei_strtower20_KOUZOU_KEISAN_TEXT</t>
  </si>
  <si>
    <t>cst_shinsei_strtower20_KOUZOU_KEISAN_TEXT</t>
    <phoneticPr fontId="2"/>
  </si>
  <si>
    <t>**shinsei_strtower20_MENSEKI</t>
  </si>
  <si>
    <t>cst_shinsei_strtower20_MENSEKI</t>
    <phoneticPr fontId="2"/>
  </si>
  <si>
    <t>cst_shinsei_strtower20_MENSEKI__dsp</t>
    <phoneticPr fontId="2"/>
  </si>
  <si>
    <t>**shinsei_strtower20_MAX_TAKASA</t>
  </si>
  <si>
    <t>cst_shinsei_strtower20_MAX_TAKASA</t>
    <phoneticPr fontId="2"/>
  </si>
  <si>
    <t>**shinsei_strtower20_MAX_NOKI_TAKASA</t>
  </si>
  <si>
    <t>cst_shinsei_strtower20_MAX_NOKI_TAKASA</t>
    <phoneticPr fontId="2"/>
  </si>
  <si>
    <t>**shinsei_strtower20_KAISU_TIJYOU</t>
  </si>
  <si>
    <t>cst_shinsei_strtower20_KAISU_TIJYOU</t>
    <phoneticPr fontId="2"/>
  </si>
  <si>
    <t>**shinsei_strtower20_KAISU_TIKA</t>
  </si>
  <si>
    <t>cst_shinsei_strtower20_KAISU_TIKA</t>
    <phoneticPr fontId="2"/>
  </si>
  <si>
    <t>**shinsei_strtower20_KAISU_TOUYA</t>
  </si>
  <si>
    <t>cst_shinsei_strtower20_KAISU_TOUYA</t>
    <phoneticPr fontId="2"/>
  </si>
  <si>
    <t>**shinsei_strtower20_BUILD_KUBUN</t>
  </si>
  <si>
    <t>cst_shinsei_strtower20_BUILD_KUBUN</t>
    <phoneticPr fontId="2"/>
  </si>
  <si>
    <t>**shinsei_strtower20_BUILD_KUBUN_TEXT</t>
  </si>
  <si>
    <t>cst_shinsei_strtower20_BUILD_KUBUN_TEXT</t>
    <phoneticPr fontId="2"/>
  </si>
  <si>
    <t>cst_shinsei_strtower20_HOU20_2_select</t>
    <phoneticPr fontId="2"/>
  </si>
  <si>
    <t>cst_shinsei_strtower20_HOU20_3_select</t>
    <phoneticPr fontId="2"/>
  </si>
  <si>
    <t>**shinsei_strtower20_MENJYO_TEXT</t>
  </si>
  <si>
    <t>cst_shinsei_strtower20_MENJYO</t>
    <phoneticPr fontId="2"/>
  </si>
  <si>
    <t>**shinsei_strtower20_PROGRAM_KIND</t>
  </si>
  <si>
    <t>cst_shinsei_strtower20_PROGRAM_KIND</t>
    <phoneticPr fontId="2"/>
  </si>
  <si>
    <t>**shinsei_strtower20_REI80_2_KOKUJI_TEXT</t>
  </si>
  <si>
    <t>cst_shinsei_strtower20_REI80_2_KOKUJI</t>
    <phoneticPr fontId="2"/>
  </si>
  <si>
    <t>**shinsei_strtower20_PROGRAM_KIND__nintei__box</t>
  </si>
  <si>
    <t>cst_shinsei_strtower20_NINTEI</t>
    <phoneticPr fontId="2"/>
  </si>
  <si>
    <t>**shinsei_strtower20_PROGRAM_KIND__hyouka__box</t>
  </si>
  <si>
    <t>**shinsei_strtower20_PROGRAM_KIND__sonota__box</t>
  </si>
  <si>
    <t>**shinsei_strtower20_prgo01_NAME</t>
  </si>
  <si>
    <t>**shinsei_strtower20_prgo01_VER</t>
  </si>
  <si>
    <t>cst_shinsei_strtower20_prgo01_NINTEI__umu</t>
    <phoneticPr fontId="2"/>
  </si>
  <si>
    <t>**shinsei_strtower20_prgo01_NINTEI_NO</t>
  </si>
  <si>
    <t>cst_shinsei_strtower20_prgo01_NINTEI_NO</t>
    <phoneticPr fontId="2"/>
  </si>
  <si>
    <t>**shinsei_strtower20_prgo01_NINTEI_DATE</t>
  </si>
  <si>
    <t>cst_shinsei_strtower20_prgo01_NINTEI_DATE_dsp</t>
    <phoneticPr fontId="2"/>
  </si>
  <si>
    <t>**shinsei_strtower20_prgo01_MAKER_NAME</t>
  </si>
  <si>
    <t>cst_shinsei_strtower20_prgo01_NAME_VER</t>
    <phoneticPr fontId="2"/>
  </si>
  <si>
    <t>cst_shinsei_strtower20_prgo01_NAME_VER__SP</t>
    <phoneticPr fontId="2"/>
  </si>
  <si>
    <t>cst_shinsei_strtower20_prgo01_MAKER__NINTEI_ari</t>
    <phoneticPr fontId="2"/>
  </si>
  <si>
    <t>cst_shinsei_strtower20_prgo01_NAME_VER__NINTEI_ari</t>
    <phoneticPr fontId="2"/>
  </si>
  <si>
    <t>cst_shinsei_strtower20_prgo01_MAKER__NINTEI_non</t>
    <phoneticPr fontId="2"/>
  </si>
  <si>
    <t>cst_shinsei_strtower20_prgo01_NAME_VER__NINTEI_non</t>
    <phoneticPr fontId="2"/>
  </si>
  <si>
    <t>**shinsei_strtower20_prgo02_NAME</t>
  </si>
  <si>
    <t>**shinsei_strtower20_prgo02_VER</t>
  </si>
  <si>
    <t>cst_shinsei_strtower20_prgo02_NINTEI__umu</t>
    <phoneticPr fontId="2"/>
  </si>
  <si>
    <t>**shinsei_strtower20_prgo02_NINTEI_NO</t>
  </si>
  <si>
    <t>cst_shinsei_strtower20_prgo02_NINTEI_NO</t>
    <phoneticPr fontId="2"/>
  </si>
  <si>
    <t>**shinsei_strtower20_prgo02_NINTEI_DATE</t>
  </si>
  <si>
    <t>cst_shinsei_strtower20_prgo02_NINTEI_DATE_dsp</t>
    <phoneticPr fontId="2"/>
  </si>
  <si>
    <t>**shinsei_strtower20_prgo02_MAKER_NAME</t>
  </si>
  <si>
    <t>cst_shinsei_strtower20_prgo02_NAME_VER</t>
    <phoneticPr fontId="2"/>
  </si>
  <si>
    <t>cst_shinsei_strtower20_prgo02_NAME_VER__SP</t>
    <phoneticPr fontId="2"/>
  </si>
  <si>
    <t>cst_shinsei_strtower20_prgo02_MAKER__NINTEI_ari</t>
    <phoneticPr fontId="2"/>
  </si>
  <si>
    <t>cst_shinsei_strtower20_prgo02_NAME_VER__NINTEI_ari</t>
    <phoneticPr fontId="2"/>
  </si>
  <si>
    <t>cst_shinsei_strtower20_prgo02_MAKER__NINTEI_non</t>
    <phoneticPr fontId="2"/>
  </si>
  <si>
    <t>cst_shinsei_strtower20_prgo02_NAME_VER__NINTEI_non</t>
    <phoneticPr fontId="2"/>
  </si>
  <si>
    <t>**shinsei_strtower20_prgo03_NAME</t>
  </si>
  <si>
    <t>**shinsei_strtower20_prgo03_VER</t>
  </si>
  <si>
    <t>cst_shinsei_strtower20_prgo03_NINTEI__umu</t>
    <phoneticPr fontId="2"/>
  </si>
  <si>
    <t>**shinsei_strtower20_prgo03_NINTEI_NO</t>
  </si>
  <si>
    <t>**shinsei_strtower20_prgo03_NINTEI_DATE</t>
  </si>
  <si>
    <t>cst_shinsei_strtower20_prgo03_NINTEI_DATE_dsp</t>
    <phoneticPr fontId="2"/>
  </si>
  <si>
    <t>**shinsei_strtower20_prgo03_MAKER_NAME</t>
  </si>
  <si>
    <t>cst_shinsei_strtower20_prgo03_NAME_VER</t>
    <phoneticPr fontId="2"/>
  </si>
  <si>
    <t>cst_shinsei_strtower20_prgo03_NAME_VER__SP</t>
    <phoneticPr fontId="2"/>
  </si>
  <si>
    <t>cst_shinsei_strtower20_prgo03_MAKER__NINTEI_ari</t>
    <phoneticPr fontId="2"/>
  </si>
  <si>
    <t>cst_shinsei_strtower20_prgo03_NAME_VER__NINTEI_ari</t>
    <phoneticPr fontId="2"/>
  </si>
  <si>
    <t>cst_shinsei_strtower20_prgo03_MAKER__NINTEI_non</t>
    <phoneticPr fontId="2"/>
  </si>
  <si>
    <t>cst_shinsei_strtower20_prgo03_NAME_VER__NINTEI_non</t>
    <phoneticPr fontId="2"/>
  </si>
  <si>
    <t>**shinsei_strtower20_prgo04_NAME</t>
  </si>
  <si>
    <t>**shinsei_strtower20_prgo04_VER</t>
  </si>
  <si>
    <t>cst_shinsei_strtower20_prgo04_NINTEI__umu</t>
    <phoneticPr fontId="2"/>
  </si>
  <si>
    <t>**shinsei_strtower20_prgo04_NINTEI_NO</t>
  </si>
  <si>
    <t>**shinsei_strtower20_prgo04_NINTEI_DATE</t>
  </si>
  <si>
    <t>cst_shinsei_strtower20_prgo04_NINTEI_DATE_dsp</t>
    <phoneticPr fontId="2"/>
  </si>
  <si>
    <t>**shinsei_strtower20_prgo04_MAKER_NAME</t>
  </si>
  <si>
    <t>cst_shinsei_strtower20_prgo04_NAME_VER</t>
    <phoneticPr fontId="2"/>
  </si>
  <si>
    <t>cst_shinsei_strtower20_prgo04_NAME_VER__SP</t>
    <phoneticPr fontId="2"/>
  </si>
  <si>
    <t>cst_shinsei_strtower20_prgo04_MAKER__NINTEI_ari</t>
    <phoneticPr fontId="2"/>
  </si>
  <si>
    <t>cst_shinsei_strtower20_prgo04_NAME_VER__NINTEI_ari</t>
    <phoneticPr fontId="2"/>
  </si>
  <si>
    <t>cst_shinsei_strtower20_prgo04_MAKER__NINTEI_non</t>
    <phoneticPr fontId="2"/>
  </si>
  <si>
    <t>cst_shinsei_strtower20_prgo04_NAME_VER__NINTEI_non</t>
    <phoneticPr fontId="2"/>
  </si>
  <si>
    <t>**shinsei_strtower20_prgo05_NAME</t>
  </si>
  <si>
    <t>**shinsei_strtower20_prgo05_VER</t>
  </si>
  <si>
    <t>cst_shinsei_strtower20_prgo05_NINTEI__umu</t>
    <phoneticPr fontId="2"/>
  </si>
  <si>
    <t>**shinsei_strtower20_prgo05_NINTEI_NO</t>
  </si>
  <si>
    <t>**shinsei_strtower20_prgo05_NINTEI_DATE</t>
  </si>
  <si>
    <t>cst_shinsei_strtower20_prgo05_NINTEI_DATE_dsp</t>
    <phoneticPr fontId="2"/>
  </si>
  <si>
    <t>**shinsei_strtower20_prgo05_MAKER_NAME</t>
  </si>
  <si>
    <t>cst_shinsei_strtower20_prgo05_NAME_VER</t>
    <phoneticPr fontId="2"/>
  </si>
  <si>
    <t>cst_shinsei_strtower20_prgo05_NAME_VER__SP</t>
    <phoneticPr fontId="2"/>
  </si>
  <si>
    <t>cst_shinsei_strtower20_prgo05_MAKER__NINTEI_ari</t>
    <phoneticPr fontId="2"/>
  </si>
  <si>
    <t>cst_shinsei_strtower20_prgo05_NAME_VER__NINTEI_ari</t>
    <phoneticPr fontId="2"/>
  </si>
  <si>
    <t>cst_shinsei_strtower20_prgo05_MAKER__NINTEI_non</t>
    <phoneticPr fontId="2"/>
  </si>
  <si>
    <t>cst_shinsei_strtower20_prgo05_NAME_VER__NINTEI_non</t>
    <phoneticPr fontId="2"/>
  </si>
  <si>
    <t>cst_shinsei_strtower20_PROG_NAME_VER__CHAR</t>
    <phoneticPr fontId="2"/>
  </si>
  <si>
    <t>cst_shinsei_strtower20_PROG_NAME_VER__CHAR__SP</t>
    <phoneticPr fontId="2"/>
  </si>
  <si>
    <t>cst_shinsei_strtower20_PROG_MAKER__NINTEI_ari_SP</t>
    <phoneticPr fontId="2"/>
  </si>
  <si>
    <t>cst_shinsei_strtower20_PROG_NAME_VER__NINTEI_ari_SP</t>
    <phoneticPr fontId="2"/>
  </si>
  <si>
    <t>cst_shinsei_strtower20_PROG_NINTEI_DATE_SP</t>
    <phoneticPr fontId="2"/>
  </si>
  <si>
    <t>cst_shinsei_strtower20_PROG_MAKER__NINTEI_no_SP</t>
    <phoneticPr fontId="2"/>
  </si>
  <si>
    <t>cst_shinsei_strtower20_PROG_NAME_VER__NINTEI_non_SP</t>
    <phoneticPr fontId="2"/>
  </si>
  <si>
    <t>**shinsei_strtower20_DISK_FLAG</t>
  </si>
  <si>
    <t>cst_shinsei_strtower20_DISK_FLAG</t>
    <phoneticPr fontId="2"/>
  </si>
  <si>
    <t>**shinsei_strtower20_CHARGE</t>
  </si>
  <si>
    <t>cst_shinsei_strtower20_CHARGE</t>
    <phoneticPr fontId="2"/>
  </si>
  <si>
    <t>cst_shinsei_strtower20_CHARGE__dsp</t>
    <phoneticPr fontId="2"/>
  </si>
  <si>
    <t>**shinsei_strtower20_CHARGE_WARIMASHI</t>
  </si>
  <si>
    <t>cst_shinsei_strtower20_CHARGE_WARIMASHI</t>
    <phoneticPr fontId="2"/>
  </si>
  <si>
    <t>**shinsei_strtower20_CHARGE_TOTAL</t>
  </si>
  <si>
    <t>cst_shinsei_strtower20_CHARGE_TOTAL</t>
    <phoneticPr fontId="2"/>
  </si>
  <si>
    <t>**shinsei_strtower20_CHARGE_KEISAN_NOTE</t>
  </si>
  <si>
    <t>cst_shinsei_strtower20_CHARGE_KEISAN_NOTE</t>
    <phoneticPr fontId="2"/>
  </si>
  <si>
    <t>cst_shinsei_strtower20_CHARGE_KEISAN_NOTE__alter</t>
    <phoneticPr fontId="2"/>
  </si>
  <si>
    <t>**shinsei_strtower20_KEISAN_X_ROUTE</t>
  </si>
  <si>
    <t>cst_shinsei_strtower20_KEISAN_X_ROUTE</t>
    <phoneticPr fontId="2"/>
  </si>
  <si>
    <t>**shinsei_strtower20_KEISAN_Y_ROUTE</t>
  </si>
  <si>
    <t>cst_shinsei_strtower20_KEISAN_Y_ROUTE</t>
    <phoneticPr fontId="2"/>
  </si>
  <si>
    <t>cst_shinsei_strtower20_XY_select</t>
    <phoneticPr fontId="2"/>
  </si>
  <si>
    <t>**shinsei_strtower20_PROGRAM_KIND_SONOTA</t>
  </si>
  <si>
    <t>cst_shinsei_strtower20_PROGRAM_KIND_SONOTA</t>
    <phoneticPr fontId="2"/>
  </si>
  <si>
    <t>**shinsei_strtower21_TOWER_NO</t>
  </si>
  <si>
    <t>cst_shinsei_strtower21_TOWER_NO</t>
    <phoneticPr fontId="2"/>
  </si>
  <si>
    <t>**shinsei_strtower21_STR_TOWER_NO</t>
  </si>
  <si>
    <t>cst_shinsei_strtower21_STR_TOWER_NO</t>
    <phoneticPr fontId="2"/>
  </si>
  <si>
    <t>cst_shinsei_strtower21__TOWER_NO_STR_TOWER_NO</t>
    <phoneticPr fontId="2"/>
  </si>
  <si>
    <t>cst_shinsei_strtower21__TOWER_NO_STR_TOWERS</t>
    <phoneticPr fontId="2"/>
  </si>
  <si>
    <t>**shinsei_strtower21_STR_TOWER_NAME</t>
  </si>
  <si>
    <t>cst_shinsei_strtower21_STR_TOWER_NAME</t>
    <phoneticPr fontId="2"/>
  </si>
  <si>
    <t>**shinsei_strtower21_JUDGE</t>
  </si>
  <si>
    <t>cst_shinsei_strtower21_JUDGE</t>
    <phoneticPr fontId="2"/>
  </si>
  <si>
    <t>**shinsei_strtower21_STR_TOWER_YOUTO_TEXT</t>
  </si>
  <si>
    <t>cst_shinsei_strtower21_STR_TOWER_YOUTO_TEXT</t>
    <phoneticPr fontId="2"/>
  </si>
  <si>
    <t>**shinsei_strtower21_KOUJI_TEXT</t>
  </si>
  <si>
    <t>cst_shinsei_strtower21_KOUJI_TEXT</t>
    <phoneticPr fontId="2"/>
  </si>
  <si>
    <t>**shinsei_strtower21_KOUZOU</t>
  </si>
  <si>
    <t>cst_shinsei_strtower21_KOUZOU</t>
    <phoneticPr fontId="2"/>
  </si>
  <si>
    <t>**shinsei_strtower21_KOUZOU_TEXT</t>
  </si>
  <si>
    <t>cst_shinsei_strtower21_KOUZOU_TEXT</t>
    <phoneticPr fontId="2"/>
  </si>
  <si>
    <t>**shinsei_strtower21_KOUZOU_KEISAN</t>
  </si>
  <si>
    <t>cst_shinsei_strtower21_KOUZOU_KEISAN</t>
    <phoneticPr fontId="2"/>
  </si>
  <si>
    <t>**shinsei_strtower21_KOUZOU_KEISAN_TEXT</t>
  </si>
  <si>
    <t>cst_shinsei_strtower21_KOUZOU_KEISAN_TEXT</t>
    <phoneticPr fontId="2"/>
  </si>
  <si>
    <t>**shinsei_strtower21_MENSEKI</t>
  </si>
  <si>
    <t>cst_shinsei_strtower21_MENSEKI</t>
    <phoneticPr fontId="2"/>
  </si>
  <si>
    <t>cst_shinsei_strtower21_MENSEKI__dsp</t>
    <phoneticPr fontId="2"/>
  </si>
  <si>
    <t>**shinsei_strtower21_MAX_TAKASA</t>
  </si>
  <si>
    <t>cst_shinsei_strtower21_MAX_TAKASA</t>
    <phoneticPr fontId="2"/>
  </si>
  <si>
    <t>**shinsei_strtower21_MAX_NOKI_TAKASA</t>
  </si>
  <si>
    <t>cst_shinsei_strtower21_MAX_NOKI_TAKASA</t>
    <phoneticPr fontId="2"/>
  </si>
  <si>
    <t>**shinsei_strtower21_KAISU_TIJYOU</t>
  </si>
  <si>
    <t>cst_shinsei_strtower21_KAISU_TIJYOU</t>
    <phoneticPr fontId="2"/>
  </si>
  <si>
    <t>**shinsei_strtower21_KAISU_TIKA</t>
  </si>
  <si>
    <t>cst_shinsei_strtower21_KAISU_TIKA</t>
    <phoneticPr fontId="2"/>
  </si>
  <si>
    <t>**shinsei_strtower21_KAISU_TOUYA</t>
  </si>
  <si>
    <t>cst_shinsei_strtower21_KAISU_TOUYA</t>
    <phoneticPr fontId="2"/>
  </si>
  <si>
    <t>**shinsei_strtower21_BUILD_KUBUN</t>
  </si>
  <si>
    <t>cst_shinsei_strtower21_BUILD_KUBUN</t>
    <phoneticPr fontId="2"/>
  </si>
  <si>
    <t>**shinsei_strtower21_BUILD_KUBUN_TEXT</t>
  </si>
  <si>
    <t>cst_shinsei_strtower21_BUILD_KUBUN_TEXT</t>
    <phoneticPr fontId="2"/>
  </si>
  <si>
    <t>cst_shinsei_strtower21_HOU20_2_select</t>
    <phoneticPr fontId="2"/>
  </si>
  <si>
    <t>cst_shinsei_strtower21_HOU20_3_select</t>
    <phoneticPr fontId="2"/>
  </si>
  <si>
    <t>**shinsei_strtower21_MENJYO_TEXT</t>
  </si>
  <si>
    <t>cst_shinsei_strtower21_MENJYO</t>
    <phoneticPr fontId="2"/>
  </si>
  <si>
    <t>**shinsei_strtower21_PROGRAM_KIND</t>
  </si>
  <si>
    <t>cst_shinsei_strtower21_PROGRAM_KIND</t>
    <phoneticPr fontId="2"/>
  </si>
  <si>
    <t>**shinsei_strtower21_REI80_2_KOKUJI_TEXT</t>
  </si>
  <si>
    <t>cst_shinsei_strtower21_REI80_2_KOKUJI</t>
    <phoneticPr fontId="2"/>
  </si>
  <si>
    <t>**shinsei_strtower21_PROGRAM_KIND__nintei__box</t>
  </si>
  <si>
    <t>cst_shinsei_strtower21_NINTEI</t>
    <phoneticPr fontId="2"/>
  </si>
  <si>
    <t>**shinsei_strtower21_PROGRAM_KIND__hyouka__box</t>
  </si>
  <si>
    <t>**shinsei_strtower21_PROGRAM_KIND__sonota__box</t>
  </si>
  <si>
    <t>**shinsei_strtower21_prgo01_NAME</t>
  </si>
  <si>
    <t>**shinsei_strtower21_prgo01_VER</t>
  </si>
  <si>
    <t>cst_shinsei_strtower21_prgo01_NINTEI__umu</t>
    <phoneticPr fontId="2"/>
  </si>
  <si>
    <t>**shinsei_strtower21_prgo01_NINTEI_NO</t>
  </si>
  <si>
    <t>cst_shinsei_strtower21_prgo01_NINTEI_NO</t>
    <phoneticPr fontId="2"/>
  </si>
  <si>
    <t>**shinsei_strtower21_prgo01_NINTEI_DATE</t>
  </si>
  <si>
    <t>cst_shinsei_strtower21_prgo01_NINTEI_DATE_dsp</t>
    <phoneticPr fontId="2"/>
  </si>
  <si>
    <t>**shinsei_strtower21_prgo01_MAKER_NAME</t>
  </si>
  <si>
    <t>cst_shinsei_strtower21_prgo01_NAME_VER</t>
    <phoneticPr fontId="2"/>
  </si>
  <si>
    <t>cst_shinsei_strtower21_prgo01_NAME_VER__SP</t>
    <phoneticPr fontId="2"/>
  </si>
  <si>
    <t>cst_shinsei_strtower21_prgo01_MAKER__NINTEI_ari</t>
    <phoneticPr fontId="2"/>
  </si>
  <si>
    <t>cst_shinsei_strtower21_prgo01_NAME_VER__NINTEI_ari</t>
    <phoneticPr fontId="2"/>
  </si>
  <si>
    <t>cst_shinsei_strtower21_prgo01_MAKER__NINTEI_non</t>
    <phoneticPr fontId="2"/>
  </si>
  <si>
    <t>cst_shinsei_strtower21_prgo01_NAME_VER__NINTEI_non</t>
    <phoneticPr fontId="2"/>
  </si>
  <si>
    <t>**shinsei_strtower21_prgo02_NAME</t>
  </si>
  <si>
    <t>**shinsei_strtower21_prgo02_VER</t>
  </si>
  <si>
    <t>cst_shinsei_strtower21_prgo02_NINTEI__umu</t>
    <phoneticPr fontId="2"/>
  </si>
  <si>
    <t>**shinsei_strtower21_prgo02_NINTEI_NO</t>
  </si>
  <si>
    <t>cst_shinsei_strtower21_prgo02_NINTEI_NO</t>
    <phoneticPr fontId="2"/>
  </si>
  <si>
    <t>**shinsei_strtower21_prgo02_NINTEI_DATE</t>
  </si>
  <si>
    <t>cst_shinsei_strtower21_prgo02_NINTEI_DATE_dsp</t>
    <phoneticPr fontId="2"/>
  </si>
  <si>
    <t>**shinsei_strtower21_prgo02_MAKER_NAME</t>
  </si>
  <si>
    <t>cst_shinsei_strtower21_prgo02_NAME_VER</t>
    <phoneticPr fontId="2"/>
  </si>
  <si>
    <t>cst_shinsei_strtower21_prgo02_NAME_VER__SP</t>
    <phoneticPr fontId="2"/>
  </si>
  <si>
    <t>cst_shinsei_strtower21_prgo02_MAKER__NINTEI_ari</t>
    <phoneticPr fontId="2"/>
  </si>
  <si>
    <t>cst_shinsei_strtower21_prgo02_NAME_VER__NINTEI_ari</t>
    <phoneticPr fontId="2"/>
  </si>
  <si>
    <t>cst_shinsei_strtower21_prgo02_MAKER__NINTEI_non</t>
    <phoneticPr fontId="2"/>
  </si>
  <si>
    <t>cst_shinsei_strtower21_prgo02_NAME_VER__NINTEI_non</t>
    <phoneticPr fontId="2"/>
  </si>
  <si>
    <t>**shinsei_strtower21_prgo03_NAME</t>
  </si>
  <si>
    <t>**shinsei_strtower21_prgo03_VER</t>
  </si>
  <si>
    <t>cst_shinsei_strtower21_prgo03_NINTEI__umu</t>
    <phoneticPr fontId="2"/>
  </si>
  <si>
    <t>**shinsei_strtower21_prgo03_NINTEI_NO</t>
  </si>
  <si>
    <t>**shinsei_strtower21_prgo03_NINTEI_DATE</t>
  </si>
  <si>
    <t>cst_shinsei_strtower21_prgo03_NINTEI_DATE_dsp</t>
    <phoneticPr fontId="2"/>
  </si>
  <si>
    <t>**shinsei_strtower21_prgo03_MAKER_NAME</t>
  </si>
  <si>
    <t>cst_shinsei_strtower21_prgo03_NAME_VER</t>
    <phoneticPr fontId="2"/>
  </si>
  <si>
    <t>cst_shinsei_strtower21_prgo03_NAME_VER__SP</t>
    <phoneticPr fontId="2"/>
  </si>
  <si>
    <t>cst_shinsei_strtower21_prgo03_MAKER__NINTEI_ari</t>
    <phoneticPr fontId="2"/>
  </si>
  <si>
    <t>cst_shinsei_strtower21_prgo03_NAME_VER__NINTEI_ari</t>
    <phoneticPr fontId="2"/>
  </si>
  <si>
    <t>cst_shinsei_strtower21_prgo03_MAKER__NINTEI_non</t>
    <phoneticPr fontId="2"/>
  </si>
  <si>
    <t>cst_shinsei_strtower21_prgo03_NAME_VER__NINTEI_non</t>
    <phoneticPr fontId="2"/>
  </si>
  <si>
    <t>**shinsei_strtower21_prgo04_NAME</t>
  </si>
  <si>
    <t>**shinsei_strtower21_prgo04_VER</t>
  </si>
  <si>
    <t>cst_shinsei_strtower21_prgo04_NINTEI__umu</t>
    <phoneticPr fontId="2"/>
  </si>
  <si>
    <t>**shinsei_strtower21_prgo04_NINTEI_NO</t>
  </si>
  <si>
    <t>**shinsei_strtower21_prgo04_NINTEI_DATE</t>
  </si>
  <si>
    <t>cst_shinsei_strtower21_prgo04_NINTEI_DATE_dsp</t>
    <phoneticPr fontId="2"/>
  </si>
  <si>
    <t>**shinsei_strtower21_prgo04_MAKER_NAME</t>
  </si>
  <si>
    <t>cst_shinsei_strtower21_prgo04_NAME_VER</t>
    <phoneticPr fontId="2"/>
  </si>
  <si>
    <t>cst_shinsei_strtower21_prgo04_NAME_VER__SP</t>
    <phoneticPr fontId="2"/>
  </si>
  <si>
    <t>cst_shinsei_strtower21_prgo04_MAKER__NINTEI_ari</t>
    <phoneticPr fontId="2"/>
  </si>
  <si>
    <t>cst_shinsei_strtower21_prgo04_NAME_VER__NINTEI_ari</t>
    <phoneticPr fontId="2"/>
  </si>
  <si>
    <t>cst_shinsei_strtower21_prgo04_MAKER__NINTEI_non</t>
    <phoneticPr fontId="2"/>
  </si>
  <si>
    <t>cst_shinsei_strtower21_prgo04_NAME_VER__NINTEI_non</t>
    <phoneticPr fontId="2"/>
  </si>
  <si>
    <t>**shinsei_strtower21_prgo05_NAME</t>
  </si>
  <si>
    <t>**shinsei_strtower21_prgo05_VER</t>
  </si>
  <si>
    <t>cst_shinsei_strtower21_prgo05_NINTEI__umu</t>
    <phoneticPr fontId="2"/>
  </si>
  <si>
    <t>**shinsei_strtower21_prgo05_NINTEI_NO</t>
  </si>
  <si>
    <t>**shinsei_strtower21_prgo05_NINTEI_DATE</t>
  </si>
  <si>
    <t>cst_shinsei_strtower21_prgo05_NINTEI_DATE_dsp</t>
    <phoneticPr fontId="2"/>
  </si>
  <si>
    <t>**shinsei_strtower21_prgo05_MAKER_NAME</t>
  </si>
  <si>
    <t>cst_shinsei_strtower21_prgo05_NAME_VER</t>
    <phoneticPr fontId="2"/>
  </si>
  <si>
    <t>cst_shinsei_strtower21_prgo05_NAME_VER__SP</t>
    <phoneticPr fontId="2"/>
  </si>
  <si>
    <t>cst_shinsei_strtower21_prgo05_MAKER__NINTEI_ari</t>
    <phoneticPr fontId="2"/>
  </si>
  <si>
    <t>cst_shinsei_strtower21_prgo05_NAME_VER__NINTEI_ari</t>
    <phoneticPr fontId="2"/>
  </si>
  <si>
    <t>cst_shinsei_strtower21_prgo05_MAKER__NINTEI_non</t>
    <phoneticPr fontId="2"/>
  </si>
  <si>
    <t>cst_shinsei_strtower21_prgo05_NAME_VER__NINTEI_non</t>
    <phoneticPr fontId="2"/>
  </si>
  <si>
    <t>cst_shinsei_strtower21_PROG_NAME_VER__CHAR</t>
    <phoneticPr fontId="2"/>
  </si>
  <si>
    <t>cst_shinsei_strtower21_PROG_NAME_VER__CHAR__SP</t>
    <phoneticPr fontId="2"/>
  </si>
  <si>
    <t>cst_shinsei_strtower21_PROG_MAKER__NINTEI_ari_SP</t>
    <phoneticPr fontId="2"/>
  </si>
  <si>
    <t>cst_shinsei_strtower21_PROG_NAME_VER__NINTEI_ari_SP</t>
    <phoneticPr fontId="2"/>
  </si>
  <si>
    <t>cst_shinsei_strtower21_PROG_NINTEI_DATE_SP</t>
    <phoneticPr fontId="2"/>
  </si>
  <si>
    <t>cst_shinsei_strtower21_PROG_MAKER__NINTEI_no_SP</t>
    <phoneticPr fontId="2"/>
  </si>
  <si>
    <t>cst_shinsei_strtower21_PROG_NAME_VER__NINTEI_non_SP</t>
    <phoneticPr fontId="2"/>
  </si>
  <si>
    <t>**shinsei_strtower21_DISK_FLAG</t>
  </si>
  <si>
    <t>cst_shinsei_strtower21_DISK_FLAG</t>
    <phoneticPr fontId="2"/>
  </si>
  <si>
    <t>**shinsei_strtower30_CHARGE</t>
  </si>
  <si>
    <t>cst_shinsei_strtower30_CHARGE</t>
    <phoneticPr fontId="2"/>
  </si>
  <si>
    <t>cst_shinsei_strtower30_CHARGE__dsp</t>
    <phoneticPr fontId="2"/>
  </si>
  <si>
    <t>**shinsei_strtower30_CHARGE_WARIMASHI</t>
  </si>
  <si>
    <t>cst_shinsei_strtower30_CHARGE_WARIMASHI</t>
    <phoneticPr fontId="2"/>
  </si>
  <si>
    <t>**shinsei_strtower30_CHARGE_TOTAL</t>
  </si>
  <si>
    <t>cst_shinsei_strtower30_CHARGE_TOTAL</t>
    <phoneticPr fontId="2"/>
  </si>
  <si>
    <t>**shinsei_strtower30_CHARGE_KEISAN_NOTE</t>
  </si>
  <si>
    <t>cst_shinsei_strtower30_CHARGE_KEISAN_NOTE</t>
    <phoneticPr fontId="2"/>
  </si>
  <si>
    <t>cst_shinsei_strtower30_CHARGE_KEISAN_NOTE__alter</t>
    <phoneticPr fontId="2"/>
  </si>
  <si>
    <t>**shinsei_strtower30_KEISAN_X_ROUTE</t>
  </si>
  <si>
    <t>確認済証（建築物）</t>
    <rPh sb="0" eb="2">
      <t>カクニン</t>
    </rPh>
    <rPh sb="2" eb="3">
      <t>ズミ</t>
    </rPh>
    <rPh sb="3" eb="4">
      <t>ショウ</t>
    </rPh>
    <rPh sb="5" eb="8">
      <t>ケンチクブツ</t>
    </rPh>
    <phoneticPr fontId="2"/>
  </si>
  <si>
    <t>６条区分, 住所チェック</t>
    <rPh sb="1" eb="2">
      <t>ジョウ</t>
    </rPh>
    <rPh sb="2" eb="4">
      <t>クブン</t>
    </rPh>
    <rPh sb="6" eb="8">
      <t>ジュウショ</t>
    </rPh>
    <phoneticPr fontId="2"/>
  </si>
  <si>
    <t>昇降機_確認済証</t>
    <phoneticPr fontId="2"/>
  </si>
  <si>
    <t>確認済証（昇降機）</t>
    <rPh sb="0" eb="2">
      <t>カクニン</t>
    </rPh>
    <rPh sb="2" eb="3">
      <t>ズミ</t>
    </rPh>
    <rPh sb="3" eb="4">
      <t>ショウ</t>
    </rPh>
    <rPh sb="5" eb="8">
      <t>ショウコウキ</t>
    </rPh>
    <phoneticPr fontId="2"/>
  </si>
  <si>
    <t>昇降機以外_確認済証</t>
    <rPh sb="3" eb="5">
      <t>イガイ</t>
    </rPh>
    <phoneticPr fontId="2"/>
  </si>
  <si>
    <t>工作物_確認済証</t>
    <phoneticPr fontId="2"/>
  </si>
  <si>
    <t>確認済証（工作物）</t>
    <rPh sb="0" eb="2">
      <t>カクニン</t>
    </rPh>
    <rPh sb="2" eb="3">
      <t>ズミ</t>
    </rPh>
    <rPh sb="3" eb="4">
      <t>ショウ</t>
    </rPh>
    <rPh sb="5" eb="8">
      <t>コウサクブツ</t>
    </rPh>
    <phoneticPr fontId="2"/>
  </si>
  <si>
    <t>建築物_審査報告書</t>
    <phoneticPr fontId="2"/>
  </si>
  <si>
    <t>確認審査報告書（建築物）</t>
    <rPh sb="0" eb="2">
      <t>カクニン</t>
    </rPh>
    <rPh sb="2" eb="4">
      <t>シンサ</t>
    </rPh>
    <rPh sb="4" eb="7">
      <t>ホウコクショ</t>
    </rPh>
    <rPh sb="8" eb="11">
      <t>ケンチクブツ</t>
    </rPh>
    <phoneticPr fontId="2"/>
  </si>
  <si>
    <t>昇降機_審査報告書</t>
    <phoneticPr fontId="2"/>
  </si>
  <si>
    <t>確認審査報告書（昇降機）</t>
    <rPh sb="0" eb="2">
      <t>カクニン</t>
    </rPh>
    <rPh sb="2" eb="4">
      <t>シンサ</t>
    </rPh>
    <rPh sb="4" eb="7">
      <t>ホウコクショ</t>
    </rPh>
    <rPh sb="8" eb="11">
      <t>ショウコウキ</t>
    </rPh>
    <phoneticPr fontId="2"/>
  </si>
  <si>
    <t>工作物_審査報告書</t>
    <phoneticPr fontId="2"/>
  </si>
  <si>
    <t>確認審査報告書（工作物）</t>
    <rPh sb="0" eb="2">
      <t>カクニン</t>
    </rPh>
    <rPh sb="2" eb="4">
      <t>シンサ</t>
    </rPh>
    <rPh sb="4" eb="7">
      <t>ホウコクショ</t>
    </rPh>
    <rPh sb="8" eb="11">
      <t>コウサクブツ</t>
    </rPh>
    <phoneticPr fontId="2"/>
  </si>
  <si>
    <t>中間検査引受承諾書</t>
    <rPh sb="0" eb="2">
      <t>チュウカン</t>
    </rPh>
    <rPh sb="2" eb="4">
      <t>ケンサ</t>
    </rPh>
    <rPh sb="4" eb="6">
      <t>ヒキウケ</t>
    </rPh>
    <rPh sb="6" eb="9">
      <t>ショウダクショ</t>
    </rPh>
    <phoneticPr fontId="2"/>
  </si>
  <si>
    <t>中間_請求書</t>
    <rPh sb="0" eb="2">
      <t>チュウカン</t>
    </rPh>
    <phoneticPr fontId="2"/>
  </si>
  <si>
    <t>中間検査請求書</t>
    <rPh sb="0" eb="2">
      <t>チュウカン</t>
    </rPh>
    <rPh sb="2" eb="4">
      <t>ケンサ</t>
    </rPh>
    <phoneticPr fontId="2"/>
  </si>
  <si>
    <t>建築物_中間引受通知書</t>
    <phoneticPr fontId="2"/>
  </si>
  <si>
    <t>中間検査引受通知書</t>
    <rPh sb="0" eb="2">
      <t>チュウカン</t>
    </rPh>
    <rPh sb="2" eb="4">
      <t>ケンサ</t>
    </rPh>
    <rPh sb="4" eb="6">
      <t>ヒキウケ</t>
    </rPh>
    <rPh sb="6" eb="9">
      <t>ツウチショ</t>
    </rPh>
    <phoneticPr fontId="2"/>
  </si>
  <si>
    <t>合格証を交付できない旨の通知書</t>
  </si>
  <si>
    <t>中間検査合格証を交付できない旨の通知書</t>
    <rPh sb="0" eb="2">
      <t>チュウカン</t>
    </rPh>
    <rPh sb="2" eb="4">
      <t>ケンサ</t>
    </rPh>
    <rPh sb="4" eb="6">
      <t>ゴウカク</t>
    </rPh>
    <rPh sb="6" eb="7">
      <t>ショウ</t>
    </rPh>
    <rPh sb="8" eb="10">
      <t>コウフ</t>
    </rPh>
    <rPh sb="14" eb="15">
      <t>ムネ</t>
    </rPh>
    <rPh sb="16" eb="19">
      <t>ツウチショ</t>
    </rPh>
    <phoneticPr fontId="2"/>
  </si>
  <si>
    <t>建築物_中間合格証</t>
    <phoneticPr fontId="2"/>
  </si>
  <si>
    <t>中間検査合格証</t>
    <rPh sb="0" eb="2">
      <t>チュウカン</t>
    </rPh>
    <rPh sb="2" eb="4">
      <t>ケンサ</t>
    </rPh>
    <rPh sb="4" eb="6">
      <t>ゴウカク</t>
    </rPh>
    <rPh sb="6" eb="7">
      <t>ショウ</t>
    </rPh>
    <phoneticPr fontId="2"/>
  </si>
  <si>
    <t>合格証</t>
    <rPh sb="0" eb="2">
      <t>ゴウカク</t>
    </rPh>
    <rPh sb="2" eb="3">
      <t>ショウ</t>
    </rPh>
    <phoneticPr fontId="2"/>
  </si>
  <si>
    <t>建築物_中間報告書</t>
    <phoneticPr fontId="2"/>
  </si>
  <si>
    <t>中間検査報告書</t>
    <rPh sb="0" eb="2">
      <t>チュウカン</t>
    </rPh>
    <rPh sb="2" eb="4">
      <t>ケンサ</t>
    </rPh>
    <rPh sb="4" eb="7">
      <t>ホウコクショ</t>
    </rPh>
    <phoneticPr fontId="2"/>
  </si>
  <si>
    <t>完了検査引受承諾書</t>
    <phoneticPr fontId="2"/>
  </si>
  <si>
    <t>完了検査引受承諾書</t>
    <rPh sb="0" eb="2">
      <t>カンリョウ</t>
    </rPh>
    <rPh sb="2" eb="4">
      <t>ケンサ</t>
    </rPh>
    <rPh sb="4" eb="9">
      <t>ヒキウケショウダクショ</t>
    </rPh>
    <phoneticPr fontId="2"/>
  </si>
  <si>
    <t>完了_請求書</t>
    <phoneticPr fontId="2"/>
  </si>
  <si>
    <t>完了検査請求書</t>
    <rPh sb="0" eb="2">
      <t>カンリョウ</t>
    </rPh>
    <rPh sb="2" eb="4">
      <t>ケンサ</t>
    </rPh>
    <phoneticPr fontId="2"/>
  </si>
  <si>
    <t>完了引受通知書</t>
    <phoneticPr fontId="2"/>
  </si>
  <si>
    <t>完了検査引受承諾書</t>
    <rPh sb="0" eb="2">
      <t>カンリョウ</t>
    </rPh>
    <rPh sb="2" eb="4">
      <t>ケンサ</t>
    </rPh>
    <rPh sb="4" eb="6">
      <t>ヒキウケ</t>
    </rPh>
    <rPh sb="6" eb="9">
      <t>ショウダクショ</t>
    </rPh>
    <phoneticPr fontId="2"/>
  </si>
  <si>
    <t>検査済証を交付できない旨の通知書 B</t>
  </si>
  <si>
    <t>検査済証を交付できない旨の通知書（建築物）</t>
    <rPh sb="0" eb="2">
      <t>ケンサ</t>
    </rPh>
    <rPh sb="2" eb="3">
      <t>ズミ</t>
    </rPh>
    <rPh sb="3" eb="4">
      <t>ショウ</t>
    </rPh>
    <rPh sb="5" eb="7">
      <t>コウフ</t>
    </rPh>
    <rPh sb="11" eb="12">
      <t>ムネ</t>
    </rPh>
    <rPh sb="13" eb="16">
      <t>ツウチショ</t>
    </rPh>
    <rPh sb="17" eb="20">
      <t>ケンチクブツ</t>
    </rPh>
    <phoneticPr fontId="2"/>
  </si>
  <si>
    <t>検査済証を交付できない旨の通知書 E</t>
  </si>
  <si>
    <t>検査済証を交付できない旨の通知書（昇降機）</t>
    <rPh sb="0" eb="2">
      <t>ケンサ</t>
    </rPh>
    <rPh sb="2" eb="3">
      <t>ズミ</t>
    </rPh>
    <rPh sb="3" eb="4">
      <t>ショウ</t>
    </rPh>
    <rPh sb="5" eb="7">
      <t>コウフ</t>
    </rPh>
    <rPh sb="11" eb="12">
      <t>ムネ</t>
    </rPh>
    <rPh sb="13" eb="16">
      <t>ツウチショ</t>
    </rPh>
    <rPh sb="17" eb="20">
      <t>ショウコウキ</t>
    </rPh>
    <phoneticPr fontId="2"/>
  </si>
  <si>
    <t>検査済証を交付できない旨の通知書 W</t>
  </si>
  <si>
    <t>検査済証を交付できない旨の通知書（工作物）</t>
    <rPh sb="0" eb="2">
      <t>ケンサ</t>
    </rPh>
    <rPh sb="2" eb="3">
      <t>ズミ</t>
    </rPh>
    <rPh sb="3" eb="4">
      <t>ショウ</t>
    </rPh>
    <rPh sb="5" eb="7">
      <t>コウフ</t>
    </rPh>
    <rPh sb="11" eb="12">
      <t>ムネ</t>
    </rPh>
    <rPh sb="13" eb="16">
      <t>ツウチショ</t>
    </rPh>
    <rPh sb="17" eb="20">
      <t>コウサクブツ</t>
    </rPh>
    <phoneticPr fontId="2"/>
  </si>
  <si>
    <t>建築物_完了検査済証</t>
    <phoneticPr fontId="2"/>
  </si>
  <si>
    <t>検査済証（建築物）</t>
    <rPh sb="0" eb="2">
      <t>ケンサ</t>
    </rPh>
    <rPh sb="2" eb="3">
      <t>ズミ</t>
    </rPh>
    <rPh sb="3" eb="4">
      <t>ショウ</t>
    </rPh>
    <rPh sb="5" eb="8">
      <t>ケンチクブツ</t>
    </rPh>
    <phoneticPr fontId="2"/>
  </si>
  <si>
    <t>昇降機_完了検査済証</t>
    <phoneticPr fontId="2"/>
  </si>
  <si>
    <t>検査済証（昇降機）</t>
    <rPh sb="0" eb="2">
      <t>ケンサ</t>
    </rPh>
    <rPh sb="2" eb="3">
      <t>ズミ</t>
    </rPh>
    <rPh sb="3" eb="4">
      <t>ショウ</t>
    </rPh>
    <rPh sb="5" eb="8">
      <t>ショウコウキ</t>
    </rPh>
    <phoneticPr fontId="2"/>
  </si>
  <si>
    <t>工作物_完了検査済証</t>
    <phoneticPr fontId="2"/>
  </si>
  <si>
    <t>検査済証（工作物）</t>
    <rPh sb="0" eb="2">
      <t>ケンサ</t>
    </rPh>
    <rPh sb="2" eb="3">
      <t>ズミ</t>
    </rPh>
    <rPh sb="3" eb="4">
      <t>ショウ</t>
    </rPh>
    <rPh sb="5" eb="8">
      <t>コウサクブツ</t>
    </rPh>
    <phoneticPr fontId="2"/>
  </si>
  <si>
    <t>建築物_完了検査報告書</t>
    <phoneticPr fontId="2"/>
  </si>
  <si>
    <t>完了検査報告書（建築物）</t>
    <rPh sb="0" eb="2">
      <t>カンリョウ</t>
    </rPh>
    <rPh sb="2" eb="4">
      <t>ケンサ</t>
    </rPh>
    <rPh sb="4" eb="7">
      <t>ホウコクショ</t>
    </rPh>
    <rPh sb="8" eb="11">
      <t>ケンチクブツ</t>
    </rPh>
    <phoneticPr fontId="2"/>
  </si>
  <si>
    <t>昇降機_完了検査報告書</t>
    <phoneticPr fontId="2"/>
  </si>
  <si>
    <t>完了検査報告書（昇降機）</t>
    <rPh sb="0" eb="2">
      <t>カンリョウ</t>
    </rPh>
    <rPh sb="2" eb="4">
      <t>ケンサ</t>
    </rPh>
    <rPh sb="4" eb="7">
      <t>ホウコクショ</t>
    </rPh>
    <phoneticPr fontId="2"/>
  </si>
  <si>
    <t>工作物_完了検査報告書</t>
    <phoneticPr fontId="2"/>
  </si>
  <si>
    <t>完了検査報告書（工作物）</t>
    <rPh sb="0" eb="2">
      <t>カンリョウ</t>
    </rPh>
    <rPh sb="2" eb="4">
      <t>ケンサ</t>
    </rPh>
    <rPh sb="4" eb="7">
      <t>ホウコクショ</t>
    </rPh>
    <phoneticPr fontId="2"/>
  </si>
  <si>
    <t>NoObject</t>
    <phoneticPr fontId="2"/>
  </si>
  <si>
    <t>条件に一致する帳票が無い場合に表示するシート</t>
    <rPh sb="0" eb="2">
      <t>ジョウケン</t>
    </rPh>
    <rPh sb="3" eb="5">
      <t>イッチ</t>
    </rPh>
    <rPh sb="7" eb="9">
      <t>チョウヒョウ</t>
    </rPh>
    <rPh sb="10" eb="11">
      <t>ナ</t>
    </rPh>
    <rPh sb="12" eb="14">
      <t>バアイ</t>
    </rPh>
    <rPh sb="15" eb="17">
      <t>ヒョウジ</t>
    </rPh>
    <phoneticPr fontId="2"/>
  </si>
  <si>
    <t>該当する帳票が見つかりませんでした。</t>
    <rPh sb="0" eb="2">
      <t>ガイトウ</t>
    </rPh>
    <rPh sb="4" eb="6">
      <t>チョウヒョウ</t>
    </rPh>
    <rPh sb="7" eb="8">
      <t>ミ</t>
    </rPh>
    <phoneticPr fontId="2"/>
  </si>
  <si>
    <t>○ offset使用時の基点</t>
    <rPh sb="8" eb="11">
      <t>シヨウジ</t>
    </rPh>
    <rPh sb="12" eb="14">
      <t>キテン</t>
    </rPh>
    <phoneticPr fontId="2"/>
  </si>
  <si>
    <t>cst_SHINSAKAI__base_point</t>
    <phoneticPr fontId="2"/>
  </si>
  <si>
    <t>○ 市町村一覧検索</t>
    <rPh sb="2" eb="5">
      <t>シチョウソン</t>
    </rPh>
    <rPh sb="5" eb="7">
      <t>イチラン</t>
    </rPh>
    <rPh sb="7" eb="9">
      <t>ケンサク</t>
    </rPh>
    <phoneticPr fontId="2"/>
  </si>
  <si>
    <t>cst_SHINSAKAI__city_search</t>
    <phoneticPr fontId="2"/>
  </si>
  <si>
    <t>● 決定した建築審査会の場所</t>
    <rPh sb="2" eb="4">
      <t>ケッテイ</t>
    </rPh>
    <rPh sb="6" eb="8">
      <t>ケンチク</t>
    </rPh>
    <rPh sb="8" eb="11">
      <t>シンサカイ</t>
    </rPh>
    <rPh sb="12" eb="14">
      <t>バショ</t>
    </rPh>
    <phoneticPr fontId="2"/>
  </si>
  <si>
    <t>cst_SHINSAKAI</t>
    <phoneticPr fontId="2"/>
  </si>
  <si>
    <t>市町村</t>
    <rPh sb="0" eb="3">
      <t>シチョウソン</t>
    </rPh>
    <phoneticPr fontId="2"/>
  </si>
  <si>
    <t>基点</t>
    <rPh sb="0" eb="2">
      <t>キテン</t>
    </rPh>
    <phoneticPr fontId="2"/>
  </si>
  <si>
    <t>鎌ヶ谷市</t>
  </si>
  <si>
    <t>鎌ケ谷市</t>
  </si>
  <si>
    <t>鎌ｹ谷市</t>
  </si>
  <si>
    <t>鎌が谷市</t>
  </si>
  <si>
    <t>■ 管轄行政庁決定要件</t>
    <phoneticPr fontId="2"/>
  </si>
  <si>
    <t>県庁扱い</t>
    <rPh sb="0" eb="2">
      <t>ケンチョウ</t>
    </rPh>
    <rPh sb="2" eb="3">
      <t>アツカ</t>
    </rPh>
    <phoneticPr fontId="2"/>
  </si>
  <si>
    <t>cst_shinsei_PREF_OFFICE_FLAG</t>
  </si>
  <si>
    <t>cst_city_CITY_KIND</t>
  </si>
  <si>
    <t>特定行政庁, 限定特定行政庁, 特別区, その他</t>
    <phoneticPr fontId="2"/>
  </si>
  <si>
    <t>cst_shinsei_REPORT_DEST_KIND</t>
    <phoneticPr fontId="2"/>
  </si>
  <si>
    <t>法６条区分</t>
    <rPh sb="0" eb="1">
      <t>ホウ</t>
    </rPh>
    <rPh sb="3" eb="5">
      <t>クブン</t>
    </rPh>
    <phoneticPr fontId="2"/>
  </si>
  <si>
    <t>cst_shinsei_build_STAT_HOU6</t>
  </si>
  <si>
    <t>１号, 1号(１号＋２号）, １号（１号＋３号）, ２号, ３号, ４号, １号を含まない特殊建築物</t>
    <rPh sb="1" eb="2">
      <t>ゴウ</t>
    </rPh>
    <rPh sb="5" eb="6">
      <t>ゴウ</t>
    </rPh>
    <rPh sb="8" eb="9">
      <t>ゴウ</t>
    </rPh>
    <rPh sb="11" eb="12">
      <t>ゴウ</t>
    </rPh>
    <rPh sb="16" eb="17">
      <t>ゴウ</t>
    </rPh>
    <rPh sb="19" eb="20">
      <t>ゴウ</t>
    </rPh>
    <rPh sb="22" eb="23">
      <t>ゴウ</t>
    </rPh>
    <rPh sb="27" eb="28">
      <t>ゴウ</t>
    </rPh>
    <rPh sb="31" eb="32">
      <t>ゴウ</t>
    </rPh>
    <rPh sb="35" eb="36">
      <t>ゴウ</t>
    </rPh>
    <rPh sb="39" eb="40">
      <t>ゴウ</t>
    </rPh>
    <rPh sb="41" eb="42">
      <t>フク</t>
    </rPh>
    <rPh sb="45" eb="47">
      <t>トクシュ</t>
    </rPh>
    <rPh sb="47" eb="50">
      <t>ケンチクブツ</t>
    </rPh>
    <phoneticPr fontId="2"/>
  </si>
  <si>
    <t>法６条区分（消防署用）</t>
    <rPh sb="0" eb="1">
      <t>ホウ</t>
    </rPh>
    <rPh sb="3" eb="5">
      <t>クブン</t>
    </rPh>
    <rPh sb="6" eb="9">
      <t>ショウボウショ</t>
    </rPh>
    <rPh sb="9" eb="10">
      <t>ヨウ</t>
    </rPh>
    <phoneticPr fontId="2"/>
  </si>
  <si>
    <t>cst_shinsei_build_STAT_HOU6__firestation</t>
    <phoneticPr fontId="2"/>
  </si>
  <si>
    <t>10, 12, 13, 2, 3, 4</t>
    <phoneticPr fontId="2"/>
  </si>
  <si>
    <t>法６条区分（４号判断）</t>
    <rPh sb="0" eb="1">
      <t>ホウ</t>
    </rPh>
    <rPh sb="3" eb="5">
      <t>クブン</t>
    </rPh>
    <rPh sb="7" eb="8">
      <t>ゴウ</t>
    </rPh>
    <rPh sb="8" eb="10">
      <t>ハンダン</t>
    </rPh>
    <phoneticPr fontId="2"/>
  </si>
  <si>
    <t>cst_shinsei_build_STAT_HOU6__umu</t>
    <phoneticPr fontId="2"/>
  </si>
  <si>
    <t>昇降機：分類</t>
    <rPh sb="0" eb="3">
      <t>ショウコウキ</t>
    </rPh>
    <rPh sb="4" eb="6">
      <t>ブンルイ</t>
    </rPh>
    <phoneticPr fontId="2"/>
  </si>
  <si>
    <t>cst_shinsei_EV_TYPE</t>
  </si>
  <si>
    <t>昇降機, ホームエレベータ, 小荷物専用昇降機</t>
    <phoneticPr fontId="2"/>
  </si>
  <si>
    <t>工作物：分類</t>
    <rPh sb="0" eb="3">
      <t>コウサクブツ</t>
    </rPh>
    <rPh sb="4" eb="6">
      <t>ブンルイ</t>
    </rPh>
    <phoneticPr fontId="2"/>
  </si>
  <si>
    <t>cst_shinsei_WORK_TYPE</t>
  </si>
  <si>
    <t>擁壁, 煙突, 乗用, 広告塔・高架水槽等, 鉄筋コンクリート造等の柱, 遊戯施設, プラント, その他, 煙突, 擁壁</t>
    <phoneticPr fontId="2"/>
  </si>
  <si>
    <t>法８８条区分（第１項、第２項）</t>
    <rPh sb="0" eb="1">
      <t>ホウ</t>
    </rPh>
    <rPh sb="3" eb="4">
      <t>ジョウ</t>
    </rPh>
    <rPh sb="4" eb="6">
      <t>クブン</t>
    </rPh>
    <rPh sb="7" eb="8">
      <t>ダイ</t>
    </rPh>
    <rPh sb="9" eb="10">
      <t>コウ</t>
    </rPh>
    <rPh sb="11" eb="12">
      <t>ダイ</t>
    </rPh>
    <rPh sb="13" eb="14">
      <t>コウ</t>
    </rPh>
    <phoneticPr fontId="2"/>
  </si>
  <si>
    <t>cst_shinsei_WORK_88</t>
    <phoneticPr fontId="2"/>
  </si>
  <si>
    <t>1, 2</t>
    <phoneticPr fontId="2"/>
  </si>
  <si>
    <t>工作物：高さ（基本）</t>
    <rPh sb="0" eb="3">
      <t>コウサクブツ</t>
    </rPh>
    <rPh sb="4" eb="5">
      <t>タカ</t>
    </rPh>
    <rPh sb="7" eb="9">
      <t>キホン</t>
    </rPh>
    <phoneticPr fontId="2"/>
  </si>
  <si>
    <t>工作物：高さ（ＭＡＸ）</t>
    <rPh sb="0" eb="3">
      <t>コウサクブツ</t>
    </rPh>
    <rPh sb="4" eb="5">
      <t>タカ</t>
    </rPh>
    <phoneticPr fontId="2"/>
  </si>
  <si>
    <t>■ 所轄行政決定処理</t>
    <rPh sb="2" eb="4">
      <t>ショカツ</t>
    </rPh>
    <rPh sb="4" eb="6">
      <t>ギョウセイ</t>
    </rPh>
    <rPh sb="6" eb="8">
      <t>ケッテイ</t>
    </rPh>
    <rPh sb="8" eb="10">
      <t>ショリ</t>
    </rPh>
    <phoneticPr fontId="2"/>
  </si>
  <si>
    <t>shinsei_REPORT_DEST_GYOUSEI_KIND__base_point</t>
    <phoneticPr fontId="2"/>
  </si>
  <si>
    <t>○ 県庁オプションの考慮</t>
    <rPh sb="2" eb="4">
      <t>ケンチョウ</t>
    </rPh>
    <rPh sb="10" eb="12">
      <t>コウリョ</t>
    </rPh>
    <phoneticPr fontId="2"/>
  </si>
  <si>
    <t>shinsei_REPORT_DEST_GYOUSEI_KIND__base</t>
    <phoneticPr fontId="2"/>
  </si>
  <si>
    <t>市町村：1, 事務所1：2, 事務所2：3, 県庁：4</t>
    <rPh sb="0" eb="3">
      <t>シチョウソン</t>
    </rPh>
    <rPh sb="7" eb="9">
      <t>ジム</t>
    </rPh>
    <rPh sb="9" eb="10">
      <t>ショ</t>
    </rPh>
    <rPh sb="15" eb="17">
      <t>ジム</t>
    </rPh>
    <rPh sb="17" eb="18">
      <t>ショ</t>
    </rPh>
    <phoneticPr fontId="2"/>
  </si>
  <si>
    <t>県庁オプションにチェックがある場合は県庁情報を用いる。</t>
    <rPh sb="0" eb="2">
      <t>ケンチョウ</t>
    </rPh>
    <rPh sb="15" eb="17">
      <t>バアイ</t>
    </rPh>
    <rPh sb="18" eb="20">
      <t>ケンチョウ</t>
    </rPh>
    <rPh sb="20" eb="22">
      <t>ジョウホウ</t>
    </rPh>
    <rPh sb="23" eb="24">
      <t>モチ</t>
    </rPh>
    <phoneticPr fontId="2"/>
  </si>
  <si>
    <t>○ 奈良県の条件の考慮</t>
    <rPh sb="2" eb="5">
      <t>ナラケン</t>
    </rPh>
    <rPh sb="6" eb="8">
      <t>ジョウケン</t>
    </rPh>
    <rPh sb="9" eb="11">
      <t>コウリョ</t>
    </rPh>
    <phoneticPr fontId="2"/>
  </si>
  <si>
    <t>shinsei_REPORT_DEST_GYOUSEI_KIND__case1</t>
    <phoneticPr fontId="2"/>
  </si>
  <si>
    <t>該当時：4</t>
    <rPh sb="0" eb="2">
      <t>ガイトウ</t>
    </rPh>
    <rPh sb="2" eb="3">
      <t>ジ</t>
    </rPh>
    <phoneticPr fontId="2"/>
  </si>
  <si>
    <t>奈良県, その他, 建築物, ４階以上：県庁情報（奈良県土木部まちづくり推進局建築課）</t>
    <rPh sb="0" eb="3">
      <t>ナラケン</t>
    </rPh>
    <rPh sb="7" eb="8">
      <t>タ</t>
    </rPh>
    <rPh sb="10" eb="13">
      <t>ケンチクブツ</t>
    </rPh>
    <rPh sb="16" eb="17">
      <t>カイ</t>
    </rPh>
    <rPh sb="17" eb="19">
      <t>イジョウ</t>
    </rPh>
    <rPh sb="20" eb="22">
      <t>ケンチョウ</t>
    </rPh>
    <rPh sb="22" eb="24">
      <t>ジョウホウ</t>
    </rPh>
    <phoneticPr fontId="2"/>
  </si>
  <si>
    <t>○ 決定した移動量</t>
    <rPh sb="2" eb="4">
      <t>ケッテイ</t>
    </rPh>
    <rPh sb="6" eb="8">
      <t>イドウ</t>
    </rPh>
    <rPh sb="8" eb="9">
      <t>リョウ</t>
    </rPh>
    <phoneticPr fontId="2"/>
  </si>
  <si>
    <t>shinsei_REPORT_DEST_GYOUSEI_KIND</t>
    <phoneticPr fontId="2"/>
  </si>
  <si>
    <t>● 決定した所轄行政庁情報</t>
    <rPh sb="2" eb="4">
      <t>ケッテイ</t>
    </rPh>
    <rPh sb="6" eb="8">
      <t>ショカツ</t>
    </rPh>
    <rPh sb="8" eb="11">
      <t>ギョウセイチョウ</t>
    </rPh>
    <rPh sb="11" eb="13">
      <t>ジョウホウ</t>
    </rPh>
    <phoneticPr fontId="2"/>
  </si>
  <si>
    <t>送付先名称</t>
    <phoneticPr fontId="2"/>
  </si>
  <si>
    <t>部署名</t>
    <phoneticPr fontId="2"/>
  </si>
  <si>
    <t>cst_shinsei_REPORT_DEST_DEPART_NAME__decision</t>
    <phoneticPr fontId="2"/>
  </si>
  <si>
    <t>ＦＡＸ番号</t>
    <phoneticPr fontId="2"/>
  </si>
  <si>
    <t>cst_shinsei_REPORT_DEST_FAX__decision</t>
    <phoneticPr fontId="2"/>
  </si>
  <si>
    <t>建築主事名</t>
    <phoneticPr fontId="2"/>
  </si>
  <si>
    <t>cst_shinsei_REPORT_DEST_SYUJI_NAME__decision</t>
    <phoneticPr fontId="2"/>
  </si>
  <si>
    <t>特定行政庁名</t>
    <phoneticPr fontId="2"/>
  </si>
  <si>
    <t>市町村マスタ情報</t>
    <rPh sb="0" eb="3">
      <t>シチョウソン</t>
    </rPh>
    <rPh sb="6" eb="8">
      <t>ジョウホウ</t>
    </rPh>
    <phoneticPr fontId="2"/>
  </si>
  <si>
    <t>行政庁情報</t>
    <rPh sb="0" eb="3">
      <t>ギョウセイチョウ</t>
    </rPh>
    <rPh sb="3" eb="5">
      <t>ジョウホウ</t>
    </rPh>
    <phoneticPr fontId="2"/>
  </si>
  <si>
    <t>事務所１</t>
    <rPh sb="0" eb="2">
      <t>ジム</t>
    </rPh>
    <rPh sb="2" eb="3">
      <t>ショ</t>
    </rPh>
    <phoneticPr fontId="2"/>
  </si>
  <si>
    <t>事務所２(主にEV)</t>
    <rPh sb="0" eb="2">
      <t>ジム</t>
    </rPh>
    <rPh sb="2" eb="3">
      <t>ショ</t>
    </rPh>
    <rPh sb="5" eb="6">
      <t>オモ</t>
    </rPh>
    <phoneticPr fontId="2"/>
  </si>
  <si>
    <t>都道府県庁</t>
    <rPh sb="0" eb="4">
      <t>トドウフケン</t>
    </rPh>
    <rPh sb="4" eb="5">
      <t>チョウ</t>
    </rPh>
    <phoneticPr fontId="2"/>
  </si>
  <si>
    <t>送付先名称</t>
    <phoneticPr fontId="2"/>
  </si>
  <si>
    <t>部署名</t>
    <phoneticPr fontId="2"/>
  </si>
  <si>
    <t>建築主事名</t>
    <phoneticPr fontId="2"/>
  </si>
  <si>
    <t>■ 連絡先構造担当者1リスト</t>
    <rPh sb="2" eb="5">
      <t>レンラクサキ</t>
    </rPh>
    <rPh sb="5" eb="7">
      <t>コウゾウ</t>
    </rPh>
    <rPh sb="7" eb="10">
      <t>タントウシャ</t>
    </rPh>
    <phoneticPr fontId="2"/>
  </si>
  <si>
    <t>選択した社員をリストで検索した結果</t>
    <rPh sb="0" eb="2">
      <t>センタク</t>
    </rPh>
    <rPh sb="4" eb="6">
      <t>シャイン</t>
    </rPh>
    <rPh sb="11" eb="13">
      <t>ケンサク</t>
    </rPh>
    <rPh sb="15" eb="17">
      <t>ケッカ</t>
    </rPh>
    <phoneticPr fontId="2"/>
  </si>
  <si>
    <t>cst_RENRAKUSAKI_KOUZOU_TANTOU__search</t>
    <phoneticPr fontId="2"/>
  </si>
  <si>
    <t>●</t>
    <phoneticPr fontId="2"/>
  </si>
  <si>
    <t>リストに登録したE-Mailアドレス</t>
    <rPh sb="4" eb="6">
      <t>トウロク</t>
    </rPh>
    <phoneticPr fontId="2"/>
  </si>
  <si>
    <t>● 最終決定した担当者</t>
    <rPh sb="2" eb="4">
      <t>サイシュウ</t>
    </rPh>
    <rPh sb="4" eb="6">
      <t>ケッテイ</t>
    </rPh>
    <rPh sb="8" eb="11">
      <t>タントウシャ</t>
    </rPh>
    <phoneticPr fontId="2"/>
  </si>
  <si>
    <t>cst_RENRAKUSAKI_KOUZOU_TANTOU</t>
    <phoneticPr fontId="2"/>
  </si>
  <si>
    <t>リストボックスのリンク先</t>
    <rPh sb="11" eb="12">
      <t>サキ</t>
    </rPh>
    <phoneticPr fontId="2"/>
  </si>
  <si>
    <t>リスト範囲</t>
    <rPh sb="3" eb="5">
      <t>ハンイ</t>
    </rPh>
    <phoneticPr fontId="2"/>
  </si>
  <si>
    <t>cst_RENRAKUSAKI_KOUZOU_TANTOU_Erea</t>
    <phoneticPr fontId="2"/>
  </si>
  <si>
    <t>← システムで設定した社内担当者とリンクしている。</t>
    <rPh sb="7" eb="9">
      <t>セッテイ</t>
    </rPh>
    <rPh sb="11" eb="13">
      <t>シャナイ</t>
    </rPh>
    <rPh sb="13" eb="16">
      <t>タントウシャ</t>
    </rPh>
    <phoneticPr fontId="2"/>
  </si>
  <si>
    <t>安藤　一弘</t>
    <rPh sb="0" eb="2">
      <t>アンドウ</t>
    </rPh>
    <rPh sb="3" eb="5">
      <t>カズヒロ</t>
    </rPh>
    <phoneticPr fontId="2"/>
  </si>
  <si>
    <t>ando@hlpa.or.jp</t>
    <phoneticPr fontId="2"/>
  </si>
  <si>
    <t>ここから手入力した担当者</t>
    <rPh sb="4" eb="5">
      <t>テ</t>
    </rPh>
    <rPh sb="5" eb="7">
      <t>ニュウリョク</t>
    </rPh>
    <rPh sb="9" eb="12">
      <t>タントウシャ</t>
    </rPh>
    <phoneticPr fontId="2"/>
  </si>
  <si>
    <t>cst_RENRAKUSAKI_KOUZOU_TANTOU_EMAILcheck_Erea</t>
    <phoneticPr fontId="2"/>
  </si>
  <si>
    <t>福澤　榮治</t>
    <rPh sb="0" eb="2">
      <t>フクザワ</t>
    </rPh>
    <rPh sb="3" eb="4">
      <t>エイ</t>
    </rPh>
    <rPh sb="4" eb="5">
      <t>ジ</t>
    </rPh>
    <phoneticPr fontId="2"/>
  </si>
  <si>
    <t>fukuzawa@hlpa.or.jp</t>
    <phoneticPr fontId="2"/>
  </si>
  <si>
    <t>岩田　賢蔵</t>
    <phoneticPr fontId="2"/>
  </si>
  <si>
    <t>iwata@hlpa.or.jp</t>
    <phoneticPr fontId="2"/>
  </si>
  <si>
    <t>飯山　滋人</t>
    <rPh sb="0" eb="2">
      <t>イイヤマ</t>
    </rPh>
    <rPh sb="3" eb="5">
      <t>シゲト</t>
    </rPh>
    <phoneticPr fontId="2"/>
  </si>
  <si>
    <t>iiyama@hlpa.or.jp</t>
    <phoneticPr fontId="2"/>
  </si>
  <si>
    <t>山本　嘉孝</t>
    <rPh sb="0" eb="2">
      <t>ヤマモト</t>
    </rPh>
    <rPh sb="3" eb="5">
      <t>ヨシタカ</t>
    </rPh>
    <phoneticPr fontId="2"/>
  </si>
  <si>
    <t>yamamoto@hlpa.or.jp</t>
    <phoneticPr fontId="2"/>
  </si>
  <si>
    <t>■ 番号表記カスタマイズ</t>
    <rPh sb="2" eb="4">
      <t>バンゴウ</t>
    </rPh>
    <rPh sb="4" eb="6">
      <t>ヒョウキ</t>
    </rPh>
    <phoneticPr fontId="2"/>
  </si>
  <si>
    <t>記号のみ表記</t>
    <rPh sb="0" eb="2">
      <t>キゴウ</t>
    </rPh>
    <rPh sb="4" eb="6">
      <t>ヒョウキ</t>
    </rPh>
    <phoneticPr fontId="2"/>
  </si>
  <si>
    <t>cst_shinsei_UKETUKE_NO_sign</t>
    <phoneticPr fontId="2"/>
  </si>
  <si>
    <t>交付番号</t>
    <rPh sb="0" eb="2">
      <t>コウフ</t>
    </rPh>
    <phoneticPr fontId="2"/>
  </si>
  <si>
    <t>cst_shinsei_ISSUE_NO_sign</t>
    <phoneticPr fontId="2"/>
  </si>
  <si>
    <t>シリアル番号のみ表記</t>
    <rPh sb="4" eb="6">
      <t>バンゴウ</t>
    </rPh>
    <rPh sb="8" eb="10">
      <t>ヒョウキ</t>
    </rPh>
    <phoneticPr fontId="2"/>
  </si>
  <si>
    <t>cst_shinsei_UKETUKE_NO_serial</t>
    <phoneticPr fontId="2"/>
  </si>
  <si>
    <t>cst_shinsei_UKETUKE_NO_serial_dsp</t>
    <phoneticPr fontId="2"/>
  </si>
  <si>
    <t>号表記</t>
    <rPh sb="0" eb="1">
      <t>ゴウ</t>
    </rPh>
    <rPh sb="1" eb="3">
      <t>ヒョウキ</t>
    </rPh>
    <phoneticPr fontId="2"/>
  </si>
  <si>
    <t>cst_shinsei_ISSUE_NO_serial</t>
    <phoneticPr fontId="2"/>
  </si>
  <si>
    <t>cst_shinsei_ISSUE_NO_serial_dsp</t>
    <phoneticPr fontId="2"/>
  </si>
  <si>
    <t>■ 請求書カスタマイズ</t>
    <rPh sb="2" eb="5">
      <t>セイキュウショ</t>
    </rPh>
    <phoneticPr fontId="2"/>
  </si>
  <si>
    <t>申請手数料</t>
    <rPh sb="0" eb="2">
      <t>シンセイ</t>
    </rPh>
    <rPh sb="2" eb="5">
      <t>テスウリョウ</t>
    </rPh>
    <phoneticPr fontId="2"/>
  </si>
  <si>
    <t>手数料表記</t>
    <rPh sb="0" eb="3">
      <t>テスウリョウ</t>
    </rPh>
    <rPh sb="3" eb="5">
      <t>ヒョウキ</t>
    </rPh>
    <phoneticPr fontId="2"/>
  </si>
  <si>
    <t>cst_shinsei_CHARGE_flag</t>
    <phoneticPr fontId="2"/>
  </si>
  <si>
    <t>GBRC用 無視</t>
    <rPh sb="4" eb="5">
      <t>ヨウ</t>
    </rPh>
    <rPh sb="6" eb="8">
      <t>ムシ</t>
    </rPh>
    <phoneticPr fontId="2"/>
  </si>
  <si>
    <t>※下記、文章が通知書に反映されます。</t>
    <rPh sb="1" eb="3">
      <t>カキ</t>
    </rPh>
    <rPh sb="4" eb="6">
      <t>ブンショウ</t>
    </rPh>
    <rPh sb="7" eb="10">
      <t>ツウチショ</t>
    </rPh>
    <rPh sb="11" eb="13">
      <t>ハンエイ</t>
    </rPh>
    <phoneticPr fontId="2"/>
  </si>
  <si>
    <t>適合するかどうかを決定することができない旨の通知書</t>
    <phoneticPr fontId="2"/>
  </si>
  <si>
    <t>　下記による確認申請書は、下記の理由により建築基準法第６条第１項（同法第６条の３第１項の規定により読み替えて適用される同法第６条第１項）の建築基準関係規定に適合するかどうかを決定することができないので、同法第６条の２第９項（同法第87条第１項、第87条の２又は第88条第１項若しくは第２項において準用する場合を含む。）の規定により通知します。</t>
    <phoneticPr fontId="2"/>
  </si>
  <si>
    <t>適合しない旨の通知書</t>
    <phoneticPr fontId="2"/>
  </si>
  <si>
    <t>　別添の確認申請書及び添付図書に記載の計画は、下記の理由により建築基準法第６条第１項（
同法第６条の３第１項の規定により読み替えて適用される同法第６条第１項）の建築基準関係規定に適合しないことを認めましたので、同条第９項（同法第87条第１項、第87条の２又は第88条第１項若しくは第２項において準用する場合を含む。）の規定により通知します。</t>
    <phoneticPr fontId="2"/>
  </si>
  <si>
    <t>中間検査合格証を交付できない旨の通知書</t>
    <phoneticPr fontId="2"/>
  </si>
  <si>
    <t>　下記による特定工程に係る工事は、建築基準法第７条の４第１項（同法第87条の２又は第88条第１項において準用する場合を含む。）の規定による検査の結果、下記の理由により同法第７条の４第３項に規定する中間検査合格証を交付できないので、通知します。</t>
    <phoneticPr fontId="2"/>
  </si>
  <si>
    <t>検査済証を交付できない旨の通知書</t>
    <phoneticPr fontId="2"/>
  </si>
  <si>
    <t>　下記に係る工事は、建築基準法第７条の２第１項（同法第87条の２又は第88条第１項若しくは第２項において準用する場合を含む。）の規定による検査の結果、下記の理由により同法第７条の２第５項に規定する検査済証を交付できないので、通知します。</t>
    <phoneticPr fontId="2"/>
  </si>
  <si>
    <t>共通項目</t>
    <rPh sb="0" eb="2">
      <t>キョウツウ</t>
    </rPh>
    <rPh sb="2" eb="4">
      <t>コウモク</t>
    </rPh>
    <phoneticPr fontId="2"/>
  </si>
  <si>
    <t>　なお、この処分に不服があるときは、この通知を受けた日の翌日から起算して60日以内に</t>
    <phoneticPr fontId="2"/>
  </si>
  <si>
    <t>に対して審査請求をすることができます（なお、この通知を受けた日の翌日から起算して60日以内であつても、処分の日から１年を経過すると審査請求をすることができなくなります。）。また、当該審査請求に対する裁決の送達を受けた日の翌日から起算して６か月以内に</t>
    <phoneticPr fontId="2"/>
  </si>
  <si>
    <t>を被告として（訴訟において</t>
    <phoneticPr fontId="2"/>
  </si>
  <si>
    <t>を代表する者は</t>
    <phoneticPr fontId="2"/>
  </si>
  <si>
    <t>cst_Suit_config_PRESENTER_DAIHYOSYA　より変更</t>
    <rPh sb="38" eb="40">
      <t>ヘンコウ</t>
    </rPh>
    <phoneticPr fontId="2"/>
  </si>
  <si>
    <t xml:space="preserve">
ただし、当該処分の取消しの訴えは、当該裁決を経た後でなければ、提起することができません（①審査請求があつた日から３か月を経過しても裁決がないとき②処分、処分の執行又は手続の続行により生ずる著しい損害を避けるため緊急の必要があるとき③その他裁決を経ないことにつき正当な理由があるときを除きます。）。</t>
    <phoneticPr fontId="2"/>
  </si>
  <si>
    <t>共通項目（リンク用）</t>
    <rPh sb="0" eb="2">
      <t>キョウツウ</t>
    </rPh>
    <rPh sb="2" eb="4">
      <t>コウモク</t>
    </rPh>
    <rPh sb="8" eb="9">
      <t>ヨウ</t>
    </rPh>
    <phoneticPr fontId="2"/>
  </si>
  <si>
    <t>■消防署名取得処理シート：</t>
    <rPh sb="1" eb="3">
      <t>ショウボウ</t>
    </rPh>
    <rPh sb="3" eb="5">
      <t>ショメイ</t>
    </rPh>
    <rPh sb="5" eb="7">
      <t>シュトク</t>
    </rPh>
    <rPh sb="7" eb="9">
      <t>ショリ</t>
    </rPh>
    <phoneticPr fontId="2"/>
  </si>
  <si>
    <t>市区町村マスタ登録ルール：</t>
    <rPh sb="0" eb="2">
      <t>シク</t>
    </rPh>
    <rPh sb="2" eb="4">
      <t>チョウソン</t>
    </rPh>
    <rPh sb="7" eb="9">
      <t>トウロク</t>
    </rPh>
    <phoneticPr fontId="2"/>
  </si>
  <si>
    <t>選択（決定しきれない）：ブランク&lt;Excelシートで選択してください&gt;（例：町域、番地でも不確かな場合など。実際東京都では実在する。後、旧***町等は決定できない分類にはいる）</t>
    <rPh sb="0" eb="2">
      <t>センタク</t>
    </rPh>
    <rPh sb="3" eb="5">
      <t>ケッテイ</t>
    </rPh>
    <rPh sb="26" eb="28">
      <t>センタク</t>
    </rPh>
    <rPh sb="36" eb="37">
      <t>レイ</t>
    </rPh>
    <rPh sb="38" eb="40">
      <t>チョウイキ</t>
    </rPh>
    <rPh sb="41" eb="43">
      <t>バンチ</t>
    </rPh>
    <rPh sb="45" eb="47">
      <t>フタシ</t>
    </rPh>
    <rPh sb="49" eb="51">
      <t>バアイ</t>
    </rPh>
    <rPh sb="54" eb="56">
      <t>ジッサイ</t>
    </rPh>
    <rPh sb="56" eb="59">
      <t>トウキョウト</t>
    </rPh>
    <rPh sb="61" eb="63">
      <t>ジツザイ</t>
    </rPh>
    <rPh sb="66" eb="67">
      <t>アト</t>
    </rPh>
    <rPh sb="68" eb="69">
      <t>キュウ</t>
    </rPh>
    <rPh sb="72" eb="73">
      <t>チョウ</t>
    </rPh>
    <rPh sb="73" eb="74">
      <t>ナド</t>
    </rPh>
    <rPh sb="75" eb="77">
      <t>ケッテイ</t>
    </rPh>
    <rPh sb="81" eb="83">
      <t>ブンルイ</t>
    </rPh>
    <phoneticPr fontId="2"/>
  </si>
  <si>
    <t>条件（4号, 住宅, 3000以上）：条件に合致しない場合の所轄消防署情報を登録</t>
    <rPh sb="0" eb="2">
      <t>ジョウケン</t>
    </rPh>
    <rPh sb="4" eb="5">
      <t>ゴウ</t>
    </rPh>
    <rPh sb="7" eb="9">
      <t>ジュウタク</t>
    </rPh>
    <rPh sb="15" eb="17">
      <t>イジョウ</t>
    </rPh>
    <rPh sb="19" eb="21">
      <t>ジョウケン</t>
    </rPh>
    <rPh sb="22" eb="24">
      <t>ガッチ</t>
    </rPh>
    <rPh sb="27" eb="29">
      <t>バアイ</t>
    </rPh>
    <rPh sb="30" eb="32">
      <t>ショカツ</t>
    </rPh>
    <rPh sb="32" eb="35">
      <t>ショウボウショ</t>
    </rPh>
    <rPh sb="35" eb="37">
      <t>ジョウホウ</t>
    </rPh>
    <rPh sb="38" eb="40">
      <t>トウロク</t>
    </rPh>
    <phoneticPr fontId="2"/>
  </si>
  <si>
    <t>通常：所轄を登録（例：区毎に消防署が異なれば市区町村マスタで区毎に登録。条件により市の所轄になるのをここで登録）</t>
    <rPh sb="0" eb="2">
      <t>ツウジョウ</t>
    </rPh>
    <rPh sb="3" eb="5">
      <t>ショカツ</t>
    </rPh>
    <rPh sb="6" eb="8">
      <t>トウロク</t>
    </rPh>
    <rPh sb="9" eb="10">
      <t>レイ</t>
    </rPh>
    <rPh sb="11" eb="12">
      <t>ク</t>
    </rPh>
    <rPh sb="12" eb="13">
      <t>ゴト</t>
    </rPh>
    <rPh sb="14" eb="17">
      <t>ショウボウショ</t>
    </rPh>
    <rPh sb="18" eb="19">
      <t>コト</t>
    </rPh>
    <rPh sb="30" eb="31">
      <t>ク</t>
    </rPh>
    <rPh sb="31" eb="32">
      <t>ゴト</t>
    </rPh>
    <rPh sb="33" eb="35">
      <t>トウロク</t>
    </rPh>
    <rPh sb="36" eb="38">
      <t>ジョウケン</t>
    </rPh>
    <rPh sb="41" eb="42">
      <t>シ</t>
    </rPh>
    <rPh sb="43" eb="45">
      <t>ショカツ</t>
    </rPh>
    <rPh sb="53" eb="55">
      <t>トウロク</t>
    </rPh>
    <phoneticPr fontId="2"/>
  </si>
  <si>
    <t>登録方法：</t>
    <rPh sb="0" eb="2">
      <t>トウロク</t>
    </rPh>
    <rPh sb="2" eb="4">
      <t>ホウホウ</t>
    </rPh>
    <phoneticPr fontId="2"/>
  </si>
  <si>
    <t>●市区町村名欄にイレギュラー時の住所チェックの値（都道府県から）を入力します。</t>
    <rPh sb="1" eb="3">
      <t>シク</t>
    </rPh>
    <rPh sb="3" eb="5">
      <t>チョウソン</t>
    </rPh>
    <rPh sb="5" eb="6">
      <t>メイ</t>
    </rPh>
    <rPh sb="6" eb="7">
      <t>ラン</t>
    </rPh>
    <rPh sb="14" eb="15">
      <t>ジ</t>
    </rPh>
    <rPh sb="16" eb="18">
      <t>ジュウショ</t>
    </rPh>
    <rPh sb="23" eb="24">
      <t>アタイ</t>
    </rPh>
    <rPh sb="25" eb="29">
      <t>トドウフケン</t>
    </rPh>
    <rPh sb="33" eb="35">
      <t>ニュウリョク</t>
    </rPh>
    <phoneticPr fontId="2"/>
  </si>
  <si>
    <t>システムから取得した住所チェックの値と同じ場合は条件・リストが確定します。</t>
    <rPh sb="6" eb="8">
      <t>シュトク</t>
    </rPh>
    <rPh sb="10" eb="12">
      <t>ジュウショ</t>
    </rPh>
    <rPh sb="17" eb="18">
      <t>アタイ</t>
    </rPh>
    <rPh sb="19" eb="20">
      <t>オナ</t>
    </rPh>
    <rPh sb="21" eb="23">
      <t>バアイ</t>
    </rPh>
    <rPh sb="24" eb="26">
      <t>ジョウケン</t>
    </rPh>
    <rPh sb="31" eb="33">
      <t>カクテイ</t>
    </rPh>
    <phoneticPr fontId="2"/>
  </si>
  <si>
    <t>●条件の場合は条件に条件に見合った関数を作成します。結果は判定不可状態：-, 条件に合致：1, 条件ではない：0とします。</t>
    <rPh sb="1" eb="3">
      <t>ジョウケン</t>
    </rPh>
    <rPh sb="4" eb="6">
      <t>バアイ</t>
    </rPh>
    <rPh sb="7" eb="9">
      <t>ジョウケン</t>
    </rPh>
    <rPh sb="10" eb="12">
      <t>ジョウケン</t>
    </rPh>
    <rPh sb="13" eb="15">
      <t>ミア</t>
    </rPh>
    <rPh sb="17" eb="19">
      <t>カンスウ</t>
    </rPh>
    <rPh sb="20" eb="22">
      <t>サクセイ</t>
    </rPh>
    <rPh sb="26" eb="28">
      <t>ケッカ</t>
    </rPh>
    <rPh sb="29" eb="31">
      <t>ハンテイ</t>
    </rPh>
    <rPh sb="31" eb="33">
      <t>フカ</t>
    </rPh>
    <rPh sb="33" eb="35">
      <t>ジョウタイ</t>
    </rPh>
    <rPh sb="39" eb="41">
      <t>ジョウケン</t>
    </rPh>
    <rPh sb="42" eb="44">
      <t>ガッチ</t>
    </rPh>
    <rPh sb="48" eb="50">
      <t>ジョウケン</t>
    </rPh>
    <phoneticPr fontId="2"/>
  </si>
  <si>
    <t>●リストの場合はリスト～リスト５に登録した値がリストに表示されます。</t>
    <rPh sb="5" eb="7">
      <t>バアイ</t>
    </rPh>
    <rPh sb="17" eb="19">
      <t>トウロク</t>
    </rPh>
    <rPh sb="21" eb="22">
      <t>アタイ</t>
    </rPh>
    <rPh sb="27" eb="29">
      <t>ヒョウジ</t>
    </rPh>
    <phoneticPr fontId="2"/>
  </si>
  <si>
    <t>判定概要：</t>
    <rPh sb="0" eb="2">
      <t>ハンテイ</t>
    </rPh>
    <rPh sb="2" eb="4">
      <t>ガイヨウ</t>
    </rPh>
    <phoneticPr fontId="2"/>
  </si>
  <si>
    <t>市区町村名に登録した都道府県＋市区町村名とシステムが取得した住所チェックの値が合致するか判定します。</t>
    <rPh sb="0" eb="2">
      <t>シク</t>
    </rPh>
    <rPh sb="2" eb="4">
      <t>チョウソン</t>
    </rPh>
    <rPh sb="4" eb="5">
      <t>メイ</t>
    </rPh>
    <rPh sb="6" eb="8">
      <t>トウロク</t>
    </rPh>
    <rPh sb="10" eb="14">
      <t>トドウフケン</t>
    </rPh>
    <rPh sb="15" eb="17">
      <t>シク</t>
    </rPh>
    <rPh sb="17" eb="19">
      <t>チョウソン</t>
    </rPh>
    <rPh sb="19" eb="20">
      <t>メイ</t>
    </rPh>
    <rPh sb="26" eb="28">
      <t>シュトク</t>
    </rPh>
    <rPh sb="30" eb="32">
      <t>ジュウショ</t>
    </rPh>
    <rPh sb="37" eb="38">
      <t>アタイ</t>
    </rPh>
    <rPh sb="39" eb="41">
      <t>ガッチ</t>
    </rPh>
    <rPh sb="44" eb="46">
      <t>ハンテイ</t>
    </rPh>
    <phoneticPr fontId="2"/>
  </si>
  <si>
    <t>合致した場合、条件により所轄消防署が異なる、又は特定できずリストから手動で選択する事が確定します。</t>
    <rPh sb="0" eb="2">
      <t>ガッチ</t>
    </rPh>
    <rPh sb="4" eb="6">
      <t>バアイ</t>
    </rPh>
    <rPh sb="7" eb="9">
      <t>ジョウケン</t>
    </rPh>
    <rPh sb="12" eb="14">
      <t>ショカツ</t>
    </rPh>
    <rPh sb="14" eb="17">
      <t>ショウボウショ</t>
    </rPh>
    <rPh sb="18" eb="19">
      <t>コト</t>
    </rPh>
    <rPh sb="22" eb="23">
      <t>マタ</t>
    </rPh>
    <rPh sb="24" eb="26">
      <t>トクテイ</t>
    </rPh>
    <rPh sb="34" eb="36">
      <t>シュドウ</t>
    </rPh>
    <rPh sb="37" eb="39">
      <t>センタク</t>
    </rPh>
    <rPh sb="41" eb="42">
      <t>コト</t>
    </rPh>
    <rPh sb="43" eb="45">
      <t>カクテイ</t>
    </rPh>
    <phoneticPr fontId="2"/>
  </si>
  <si>
    <t>条件を登録しているかを調べ、その値で条件に記載している情報かシステム情報かを決定します。</t>
    <rPh sb="0" eb="2">
      <t>ジョウケン</t>
    </rPh>
    <rPh sb="3" eb="5">
      <t>トウロク</t>
    </rPh>
    <rPh sb="11" eb="12">
      <t>シラ</t>
    </rPh>
    <rPh sb="16" eb="17">
      <t>アタイ</t>
    </rPh>
    <rPh sb="18" eb="20">
      <t>ジョウケン</t>
    </rPh>
    <rPh sb="21" eb="23">
      <t>キサイ</t>
    </rPh>
    <rPh sb="27" eb="29">
      <t>ジョウホウ</t>
    </rPh>
    <rPh sb="34" eb="36">
      <t>ジョウホウ</t>
    </rPh>
    <rPh sb="38" eb="40">
      <t>ケッテイ</t>
    </rPh>
    <phoneticPr fontId="2"/>
  </si>
  <si>
    <t>条件が記載されていない場合はリストから手動で選択する事が確定します。</t>
    <rPh sb="0" eb="2">
      <t>ジョウケン</t>
    </rPh>
    <rPh sb="3" eb="5">
      <t>キサイ</t>
    </rPh>
    <rPh sb="11" eb="13">
      <t>バアイ</t>
    </rPh>
    <rPh sb="19" eb="21">
      <t>シュドウ</t>
    </rPh>
    <rPh sb="22" eb="24">
      <t>センタク</t>
    </rPh>
    <rPh sb="26" eb="27">
      <t>コト</t>
    </rPh>
    <rPh sb="28" eb="30">
      <t>カクテイ</t>
    </rPh>
    <phoneticPr fontId="2"/>
  </si>
  <si>
    <t>システム情報</t>
    <rPh sb="4" eb="6">
      <t>ジョウホウ</t>
    </rPh>
    <phoneticPr fontId="2"/>
  </si>
  <si>
    <t>住所チェック値</t>
    <rPh sb="0" eb="2">
      <t>ジュウショ</t>
    </rPh>
    <rPh sb="6" eb="7">
      <t>アタイ</t>
    </rPh>
    <phoneticPr fontId="2"/>
  </si>
  <si>
    <t>cst_CityInfo</t>
  </si>
  <si>
    <t>消防署部署名</t>
    <phoneticPr fontId="2"/>
  </si>
  <si>
    <t>cst_city_FIRE_STATION_ID__DEPART_NAME</t>
    <phoneticPr fontId="2"/>
  </si>
  <si>
    <t>消防署宛名</t>
    <rPh sb="3" eb="5">
      <t>アテナ</t>
    </rPh>
    <phoneticPr fontId="2"/>
  </si>
  <si>
    <t>cst_city_FIRE_STATION_ID__DEST_NAME</t>
    <phoneticPr fontId="2"/>
  </si>
  <si>
    <t>cst_shinsei_INSPECTION_TYPE</t>
  </si>
  <si>
    <t>法区分</t>
    <rPh sb="0" eb="1">
      <t>ホウ</t>
    </rPh>
    <rPh sb="1" eb="3">
      <t>クブン</t>
    </rPh>
    <phoneticPr fontId="2"/>
  </si>
  <si>
    <t>cst_shinsei_build_STAT_HOU6__firestation</t>
  </si>
  <si>
    <t>主要用途(CODE)</t>
    <rPh sb="0" eb="2">
      <t>シュヨウ</t>
    </rPh>
    <rPh sb="2" eb="4">
      <t>ヨウト</t>
    </rPh>
    <phoneticPr fontId="2"/>
  </si>
  <si>
    <t>cst_shinsei_build_YOUTO_CODE</t>
  </si>
  <si>
    <t>延面積</t>
    <rPh sb="0" eb="1">
      <t>ノベ</t>
    </rPh>
    <rPh sb="1" eb="3">
      <t>メンセキ</t>
    </rPh>
    <phoneticPr fontId="2"/>
  </si>
  <si>
    <t>消防署名：</t>
    <rPh sb="0" eb="2">
      <t>ショウボウ</t>
    </rPh>
    <rPh sb="2" eb="4">
      <t>ショメイ</t>
    </rPh>
    <phoneticPr fontId="2"/>
  </si>
  <si>
    <t>リスト一覧：</t>
    <rPh sb="3" eb="5">
      <t>イチラン</t>
    </rPh>
    <phoneticPr fontId="2"/>
  </si>
  <si>
    <t>帳票宛名</t>
    <rPh sb="0" eb="2">
      <t>チョウヒョウ</t>
    </rPh>
    <rPh sb="2" eb="4">
      <t>アテナ</t>
    </rPh>
    <phoneticPr fontId="2"/>
  </si>
  <si>
    <t>cst_FIRE_CombList_Point</t>
    <phoneticPr fontId="2"/>
  </si>
  <si>
    <t>基準位置</t>
    <rPh sb="0" eb="2">
      <t>キジュン</t>
    </rPh>
    <rPh sb="2" eb="4">
      <t>イチ</t>
    </rPh>
    <phoneticPr fontId="2"/>
  </si>
  <si>
    <t>cst_FIRE__base_point</t>
  </si>
  <si>
    <t>市町村登録範囲</t>
    <rPh sb="0" eb="3">
      <t>シチョウソン</t>
    </rPh>
    <rPh sb="3" eb="5">
      <t>トウロク</t>
    </rPh>
    <rPh sb="5" eb="7">
      <t>ハンイ</t>
    </rPh>
    <phoneticPr fontId="2"/>
  </si>
  <si>
    <t>cst_FIRE__city_erea</t>
  </si>
  <si>
    <t>処理：</t>
    <rPh sb="0" eb="2">
      <t>ショリ</t>
    </rPh>
    <phoneticPr fontId="2"/>
  </si>
  <si>
    <t>System Check</t>
    <phoneticPr fontId="2"/>
  </si>
  <si>
    <t>cst_FIRE_SystemCheck</t>
    <phoneticPr fontId="2"/>
  </si>
  <si>
    <t>CheckError：住所チェックエラー, Error：該当無, OK：該当</t>
    <rPh sb="11" eb="13">
      <t>ジュウショ</t>
    </rPh>
    <rPh sb="28" eb="30">
      <t>ガイトウ</t>
    </rPh>
    <rPh sb="30" eb="31">
      <t>ナシ</t>
    </rPh>
    <rPh sb="36" eb="38">
      <t>ガイトウ</t>
    </rPh>
    <phoneticPr fontId="2"/>
  </si>
  <si>
    <t>市町村登録位置：</t>
    <rPh sb="0" eb="3">
      <t>シチョウソン</t>
    </rPh>
    <rPh sb="3" eb="5">
      <t>トウロク</t>
    </rPh>
    <rPh sb="5" eb="7">
      <t>イチ</t>
    </rPh>
    <phoneticPr fontId="2"/>
  </si>
  <si>
    <t>cst_FIRE_CityInfo_Num</t>
    <phoneticPr fontId="2"/>
  </si>
  <si>
    <t>基準位置からの相対距離</t>
    <rPh sb="0" eb="2">
      <t>キジュン</t>
    </rPh>
    <rPh sb="2" eb="4">
      <t>イチ</t>
    </rPh>
    <rPh sb="7" eb="9">
      <t>ソウタイ</t>
    </rPh>
    <rPh sb="9" eb="11">
      <t>キョリ</t>
    </rPh>
    <phoneticPr fontId="2"/>
  </si>
  <si>
    <t>条件の有無を判定：</t>
    <rPh sb="0" eb="2">
      <t>ジョウケン</t>
    </rPh>
    <rPh sb="3" eb="5">
      <t>ウム</t>
    </rPh>
    <rPh sb="6" eb="8">
      <t>ハンテイ</t>
    </rPh>
    <phoneticPr fontId="2"/>
  </si>
  <si>
    <t>cst_FIRE_IrregularJudge</t>
    <phoneticPr fontId="2"/>
  </si>
  <si>
    <t>0：リスト, 1：条件, 2：通常, 3：住所チェックエラー</t>
    <rPh sb="9" eb="11">
      <t>ジョウケン</t>
    </rPh>
    <rPh sb="15" eb="17">
      <t>ツウジョウ</t>
    </rPh>
    <rPh sb="21" eb="23">
      <t>ジュウショ</t>
    </rPh>
    <phoneticPr fontId="2"/>
  </si>
  <si>
    <t>　条件時の結果：</t>
    <rPh sb="1" eb="3">
      <t>ジョウケン</t>
    </rPh>
    <rPh sb="3" eb="4">
      <t>ジ</t>
    </rPh>
    <rPh sb="5" eb="7">
      <t>ケッカ</t>
    </rPh>
    <phoneticPr fontId="2"/>
  </si>
  <si>
    <t>cst_FIRE_ConditionJudge</t>
    <phoneticPr fontId="2"/>
  </si>
  <si>
    <t>← 0：条件に合致せず, 1：条件に合致, －：判定不可状態</t>
    <rPh sb="4" eb="6">
      <t>ジョウケン</t>
    </rPh>
    <rPh sb="7" eb="9">
      <t>ガッチ</t>
    </rPh>
    <rPh sb="15" eb="17">
      <t>ジョウケン</t>
    </rPh>
    <rPh sb="18" eb="20">
      <t>ガッチ</t>
    </rPh>
    <phoneticPr fontId="2"/>
  </si>
  <si>
    <t>移動量 - 条件：</t>
    <rPh sb="0" eb="2">
      <t>イドウ</t>
    </rPh>
    <rPh sb="2" eb="3">
      <t>リョウ</t>
    </rPh>
    <rPh sb="6" eb="8">
      <t>ジョウケン</t>
    </rPh>
    <phoneticPr fontId="2"/>
  </si>
  <si>
    <t>cst_FIRE_JoukenMovement</t>
    <phoneticPr fontId="2"/>
  </si>
  <si>
    <t>移動量 - リスト間：</t>
    <rPh sb="0" eb="2">
      <t>イドウ</t>
    </rPh>
    <rPh sb="2" eb="3">
      <t>リョウ</t>
    </rPh>
    <rPh sb="9" eb="10">
      <t>カン</t>
    </rPh>
    <phoneticPr fontId="2"/>
  </si>
  <si>
    <t>cst_FIRE_ListKanMovement</t>
    <phoneticPr fontId="2"/>
  </si>
  <si>
    <t>リスト選択値：</t>
    <rPh sb="3" eb="5">
      <t>センタク</t>
    </rPh>
    <rPh sb="5" eb="6">
      <t>アタイ</t>
    </rPh>
    <phoneticPr fontId="2"/>
  </si>
  <si>
    <t>cst_FIRE_CombList_value</t>
    <phoneticPr fontId="2"/>
  </si>
  <si>
    <t>● 最終決定名称</t>
    <rPh sb="2" eb="4">
      <t>サイシュウ</t>
    </rPh>
    <rPh sb="4" eb="6">
      <t>ケッテイ</t>
    </rPh>
    <rPh sb="6" eb="8">
      <t>メイショウ</t>
    </rPh>
    <phoneticPr fontId="2"/>
  </si>
  <si>
    <t>最終決定名称：</t>
    <rPh sb="0" eb="2">
      <t>サイシュウ</t>
    </rPh>
    <rPh sb="2" eb="4">
      <t>ケッテイ</t>
    </rPh>
    <rPh sb="4" eb="6">
      <t>メイショウ</t>
    </rPh>
    <phoneticPr fontId="2"/>
  </si>
  <si>
    <t>cst_city_FIRE_STATION_ID__NAME_Decision</t>
    <phoneticPr fontId="2"/>
  </si>
  <si>
    <t>cst_city_FIRE_STATION_ID__DEST_NAME_Decision</t>
    <phoneticPr fontId="2"/>
  </si>
  <si>
    <t>cst_city_FIRE_STATION_ID__DEST_NAME_Decision__add_code</t>
    <phoneticPr fontId="2"/>
  </si>
  <si>
    <t>イレギュラーの市区町村登録表</t>
    <rPh sb="7" eb="9">
      <t>シク</t>
    </rPh>
    <rPh sb="9" eb="11">
      <t>チョウソン</t>
    </rPh>
    <rPh sb="11" eb="13">
      <t>トウロク</t>
    </rPh>
    <rPh sb="13" eb="14">
      <t>ヒョウ</t>
    </rPh>
    <phoneticPr fontId="2"/>
  </si>
  <si>
    <t>市区町村名</t>
    <rPh sb="0" eb="2">
      <t>シク</t>
    </rPh>
    <rPh sb="2" eb="4">
      <t>チョウソン</t>
    </rPh>
    <rPh sb="4" eb="5">
      <t>メイ</t>
    </rPh>
    <phoneticPr fontId="2"/>
  </si>
  <si>
    <t>条件</t>
    <rPh sb="0" eb="2">
      <t>ジョウケン</t>
    </rPh>
    <phoneticPr fontId="2"/>
  </si>
  <si>
    <t>リスト</t>
    <phoneticPr fontId="2"/>
  </si>
  <si>
    <t>リスト２</t>
    <phoneticPr fontId="2"/>
  </si>
  <si>
    <t>リスト３</t>
    <phoneticPr fontId="2"/>
  </si>
  <si>
    <t>リスト４</t>
    <phoneticPr fontId="2"/>
  </si>
  <si>
    <t>リスト５</t>
    <phoneticPr fontId="2"/>
  </si>
  <si>
    <t>部署</t>
    <rPh sb="0" eb="2">
      <t>ブショ</t>
    </rPh>
    <phoneticPr fontId="2"/>
  </si>
  <si>
    <t>主要用途：08010(戸建住宅), 08020(長屋)</t>
    <rPh sb="0" eb="2">
      <t>シュヨウ</t>
    </rPh>
    <rPh sb="2" eb="4">
      <t>ヨウト</t>
    </rPh>
    <rPh sb="11" eb="13">
      <t>コダ</t>
    </rPh>
    <rPh sb="13" eb="15">
      <t>ジュウタク</t>
    </rPh>
    <rPh sb="24" eb="26">
      <t>ナガヤ</t>
    </rPh>
    <phoneticPr fontId="2"/>
  </si>
  <si>
    <t>兵庫県神戸市</t>
    <rPh sb="0" eb="3">
      <t>ヒョウゴケン</t>
    </rPh>
    <rPh sb="3" eb="6">
      <t>コウベシ</t>
    </rPh>
    <phoneticPr fontId="2"/>
  </si>
  <si>
    <t>神戸市消防局</t>
    <rPh sb="0" eb="3">
      <t>コウベシ</t>
    </rPh>
    <rPh sb="3" eb="5">
      <t>ショウボウ</t>
    </rPh>
    <rPh sb="5" eb="6">
      <t>キョク</t>
    </rPh>
    <phoneticPr fontId="2"/>
  </si>
  <si>
    <t>神戸市消防局消防長</t>
    <rPh sb="6" eb="8">
      <t>ショウボウ</t>
    </rPh>
    <rPh sb="8" eb="9">
      <t>チョウ</t>
    </rPh>
    <phoneticPr fontId="2"/>
  </si>
  <si>
    <t>兵庫県神戸市東灘区</t>
    <rPh sb="0" eb="3">
      <t>ヒョウゴケン</t>
    </rPh>
    <rPh sb="3" eb="6">
      <t>コウベシ</t>
    </rPh>
    <phoneticPr fontId="2"/>
  </si>
  <si>
    <t>兵庫県神戸市灘区</t>
    <rPh sb="0" eb="3">
      <t>ヒョウゴケン</t>
    </rPh>
    <rPh sb="3" eb="6">
      <t>コウベシ</t>
    </rPh>
    <phoneticPr fontId="2"/>
  </si>
  <si>
    <t>兵庫県神戸市中央区</t>
    <rPh sb="0" eb="3">
      <t>ヒョウゴケン</t>
    </rPh>
    <rPh sb="3" eb="6">
      <t>コウベシ</t>
    </rPh>
    <phoneticPr fontId="2"/>
  </si>
  <si>
    <t>兵庫県神戸市兵庫区</t>
    <rPh sb="0" eb="3">
      <t>ヒョウゴケン</t>
    </rPh>
    <rPh sb="3" eb="6">
      <t>コウベシ</t>
    </rPh>
    <phoneticPr fontId="2"/>
  </si>
  <si>
    <t>兵庫県神戸市北区</t>
    <rPh sb="0" eb="3">
      <t>ヒョウゴケン</t>
    </rPh>
    <rPh sb="3" eb="6">
      <t>コウベシ</t>
    </rPh>
    <phoneticPr fontId="2"/>
  </si>
  <si>
    <t>兵庫県神戸市長田区</t>
    <rPh sb="0" eb="3">
      <t>ヒョウゴケン</t>
    </rPh>
    <rPh sb="3" eb="6">
      <t>コウベシ</t>
    </rPh>
    <phoneticPr fontId="2"/>
  </si>
  <si>
    <t>兵庫県神戸市須磨区</t>
    <rPh sb="0" eb="3">
      <t>ヒョウゴケン</t>
    </rPh>
    <rPh sb="3" eb="6">
      <t>コウベシ</t>
    </rPh>
    <phoneticPr fontId="2"/>
  </si>
  <si>
    <t>兵庫県神戸市垂水区</t>
    <rPh sb="0" eb="3">
      <t>ヒョウゴケン</t>
    </rPh>
    <rPh sb="3" eb="6">
      <t>コウベシ</t>
    </rPh>
    <phoneticPr fontId="2"/>
  </si>
  <si>
    <t>兵庫県神戸市西区</t>
    <rPh sb="0" eb="3">
      <t>ヒョウゴケン</t>
    </rPh>
    <rPh sb="3" eb="6">
      <t>コウベシ</t>
    </rPh>
    <phoneticPr fontId="2"/>
  </si>
  <si>
    <t>兵庫県神戸市水上区</t>
    <rPh sb="0" eb="3">
      <t>ヒョウゴケン</t>
    </rPh>
    <rPh sb="3" eb="6">
      <t>コウベシ</t>
    </rPh>
    <phoneticPr fontId="2"/>
  </si>
  <si>
    <t>法区分,：４号, 延べ面積：3000以上, ※計画変更以外</t>
    <rPh sb="0" eb="1">
      <t>ホウ</t>
    </rPh>
    <rPh sb="1" eb="3">
      <t>クブン</t>
    </rPh>
    <rPh sb="6" eb="7">
      <t>ゴウ</t>
    </rPh>
    <rPh sb="9" eb="10">
      <t>ノ</t>
    </rPh>
    <rPh sb="11" eb="13">
      <t>メンセキ</t>
    </rPh>
    <rPh sb="18" eb="20">
      <t>イジョウ</t>
    </rPh>
    <rPh sb="23" eb="25">
      <t>ケイカク</t>
    </rPh>
    <rPh sb="25" eb="27">
      <t>ヘンコウ</t>
    </rPh>
    <rPh sb="27" eb="29">
      <t>イガイ</t>
    </rPh>
    <phoneticPr fontId="2"/>
  </si>
  <si>
    <t>愛知県名古屋市</t>
    <rPh sb="0" eb="3">
      <t>アイチケン</t>
    </rPh>
    <rPh sb="3" eb="7">
      <t>ナゴヤシ</t>
    </rPh>
    <phoneticPr fontId="2"/>
  </si>
  <si>
    <t>名古屋市消防局</t>
    <rPh sb="0" eb="4">
      <t>ナゴヤシ</t>
    </rPh>
    <rPh sb="4" eb="6">
      <t>ショウボウ</t>
    </rPh>
    <rPh sb="6" eb="7">
      <t>キョク</t>
    </rPh>
    <phoneticPr fontId="2"/>
  </si>
  <si>
    <t>名古屋市消防局消防長</t>
    <rPh sb="0" eb="4">
      <t>ナゴヤシ</t>
    </rPh>
    <rPh sb="7" eb="9">
      <t>ショウボウ</t>
    </rPh>
    <rPh sb="9" eb="10">
      <t>チョウ</t>
    </rPh>
    <phoneticPr fontId="2"/>
  </si>
  <si>
    <t>セル出力情報：</t>
    <rPh sb="2" eb="4">
      <t>シュツリョク</t>
    </rPh>
    <rPh sb="4" eb="6">
      <t>ジョウホウ</t>
    </rPh>
    <phoneticPr fontId="2"/>
  </si>
  <si>
    <t>判定機関</t>
    <rPh sb="0" eb="2">
      <t>ハンテイ</t>
    </rPh>
    <rPh sb="2" eb="4">
      <t>キカン</t>
    </rPh>
    <phoneticPr fontId="2"/>
  </si>
  <si>
    <t>shinsei_TEKIHAN_KIKAN_CODE</t>
  </si>
  <si>
    <t>新方式の代表者取得処理</t>
    <rPh sb="0" eb="3">
      <t>シンホウシキ</t>
    </rPh>
    <rPh sb="4" eb="7">
      <t>ダイヒョウシャ</t>
    </rPh>
    <rPh sb="7" eb="9">
      <t>シュトク</t>
    </rPh>
    <rPh sb="9" eb="11">
      <t>ショリ</t>
    </rPh>
    <phoneticPr fontId="2"/>
  </si>
  <si>
    <t>機関記号用範囲</t>
    <rPh sb="0" eb="2">
      <t>キカン</t>
    </rPh>
    <rPh sb="2" eb="4">
      <t>キゴウ</t>
    </rPh>
    <rPh sb="4" eb="5">
      <t>ヨウ</t>
    </rPh>
    <rPh sb="5" eb="7">
      <t>ハンイ</t>
    </rPh>
    <phoneticPr fontId="2"/>
  </si>
  <si>
    <t>cst_JUDGE_OFFICE__erea__SIGN</t>
    <phoneticPr fontId="2"/>
  </si>
  <si>
    <t>完全一致検索用範囲</t>
    <rPh sb="0" eb="2">
      <t>カンゼン</t>
    </rPh>
    <rPh sb="2" eb="4">
      <t>イッチ</t>
    </rPh>
    <rPh sb="4" eb="7">
      <t>ケンサクヨウ</t>
    </rPh>
    <rPh sb="7" eb="9">
      <t>ハンイ</t>
    </rPh>
    <phoneticPr fontId="2"/>
  </si>
  <si>
    <t>cst_JUDGE_OFFICE__erea__SEARCH_VALUE</t>
    <phoneticPr fontId="2"/>
  </si>
  <si>
    <t>処理 - 履歴範囲の取得(AI15):</t>
  </si>
  <si>
    <t>cst_JUDGE_OFFICE_READ___date_erea</t>
    <phoneticPr fontId="2"/>
  </si>
  <si>
    <t>処理 - 基準位置の取得(AJ15):</t>
  </si>
  <si>
    <t>cst_JUDGE_OFFICE_READ___base_point</t>
    <phoneticPr fontId="2"/>
  </si>
  <si>
    <t>処理 - 適判機関 - 会社名の取得:</t>
  </si>
  <si>
    <t>cst_JUDGE_OFFICE_CORP</t>
    <phoneticPr fontId="2"/>
  </si>
  <si>
    <t>判定事前通知日</t>
    <rPh sb="0" eb="2">
      <t>ハンテイ</t>
    </rPh>
    <rPh sb="2" eb="4">
      <t>ジゼン</t>
    </rPh>
    <rPh sb="4" eb="6">
      <t>ツウチ</t>
    </rPh>
    <rPh sb="6" eb="7">
      <t>ビ</t>
    </rPh>
    <phoneticPr fontId="2"/>
  </si>
  <si>
    <t>決定した代表者名（様付)</t>
    <rPh sb="0" eb="2">
      <t>ケッテイ</t>
    </rPh>
    <rPh sb="4" eb="7">
      <t>ダイヒョウシャ</t>
    </rPh>
    <rPh sb="7" eb="8">
      <t>メイ</t>
    </rPh>
    <rPh sb="9" eb="10">
      <t>サマ</t>
    </rPh>
    <rPh sb="10" eb="11">
      <t>ツ</t>
    </rPh>
    <phoneticPr fontId="2"/>
  </si>
  <si>
    <r>
      <t>cst_JUDGE_OFFICE_DAIHYOUSHA</t>
    </r>
    <r>
      <rPr>
        <sz val="10"/>
        <color indexed="8"/>
        <rFont val="ＭＳ Ｐゴシック"/>
        <family val="3"/>
        <charset val="128"/>
      </rPr>
      <t>__jizentuuti</t>
    </r>
    <phoneticPr fontId="2"/>
  </si>
  <si>
    <t>● 決定した適判 会社名＋代表者名</t>
    <rPh sb="2" eb="4">
      <t>ケッテイ</t>
    </rPh>
    <rPh sb="6" eb="8">
      <t>テキハン</t>
    </rPh>
    <rPh sb="9" eb="12">
      <t>カイシャメイ</t>
    </rPh>
    <rPh sb="13" eb="16">
      <t>ダイヒョウシャ</t>
    </rPh>
    <rPh sb="16" eb="17">
      <t>メイ</t>
    </rPh>
    <phoneticPr fontId="2"/>
  </si>
  <si>
    <t>cst_JUDGE_OFFICE_CORP_DAIHYOUSHA__jizentuuti</t>
    <phoneticPr fontId="2"/>
  </si>
  <si>
    <t>● 決定した適判 会社名＋代表者名（改行）</t>
    <rPh sb="2" eb="4">
      <t>ケッテイ</t>
    </rPh>
    <rPh sb="6" eb="8">
      <t>テキハン</t>
    </rPh>
    <rPh sb="9" eb="12">
      <t>カイシャメイ</t>
    </rPh>
    <rPh sb="13" eb="16">
      <t>ダイヒョウシャ</t>
    </rPh>
    <rPh sb="16" eb="17">
      <t>メイ</t>
    </rPh>
    <rPh sb="18" eb="20">
      <t>カイギョウ</t>
    </rPh>
    <phoneticPr fontId="2"/>
  </si>
  <si>
    <t>cst_JUDGE_OFFICE_CORP_DAIHYOUSHA__jizentuuti_add_code</t>
    <phoneticPr fontId="2"/>
  </si>
  <si>
    <t>決定した構造責任者名</t>
    <rPh sb="0" eb="2">
      <t>ケッテイ</t>
    </rPh>
    <rPh sb="4" eb="6">
      <t>コウゾウ</t>
    </rPh>
    <rPh sb="6" eb="9">
      <t>セキニンシャ</t>
    </rPh>
    <rPh sb="9" eb="10">
      <t>メイ</t>
    </rPh>
    <phoneticPr fontId="2"/>
  </si>
  <si>
    <t>cst_JUDGE_OFFICE_KOUZOUSEKININSHA__jizentuuti</t>
    <phoneticPr fontId="2"/>
  </si>
  <si>
    <t>■ 決定した適判 会社名＋代表者名</t>
    <rPh sb="2" eb="4">
      <t>ケッテイ</t>
    </rPh>
    <rPh sb="6" eb="8">
      <t>テキハン</t>
    </rPh>
    <rPh sb="9" eb="12">
      <t>カイシャメイ</t>
    </rPh>
    <rPh sb="13" eb="16">
      <t>ダイヒョウシャ</t>
    </rPh>
    <rPh sb="16" eb="17">
      <t>メイ</t>
    </rPh>
    <phoneticPr fontId="2"/>
  </si>
  <si>
    <t>cst_JUDGE_OFFICE_CORP_KOUZOUSEKININSHA__jizentuuti</t>
    <phoneticPr fontId="2"/>
  </si>
  <si>
    <t>■ 決定した適判 会社名＋代表者名（改行）</t>
    <rPh sb="2" eb="4">
      <t>ケッテイ</t>
    </rPh>
    <rPh sb="6" eb="8">
      <t>テキハン</t>
    </rPh>
    <rPh sb="9" eb="12">
      <t>カイシャメイ</t>
    </rPh>
    <rPh sb="13" eb="16">
      <t>ダイヒョウシャ</t>
    </rPh>
    <rPh sb="16" eb="17">
      <t>メイ</t>
    </rPh>
    <rPh sb="18" eb="20">
      <t>カイギョウ</t>
    </rPh>
    <phoneticPr fontId="2"/>
  </si>
  <si>
    <t>cst_JUDGE_OFFICE_CORP_KOUZOUSEKININSHA__jizentuuti_add_code</t>
    <phoneticPr fontId="2"/>
  </si>
  <si>
    <r>
      <t>cst_JUDGE_OFFICE_DAIHYOUSHA</t>
    </r>
    <r>
      <rPr>
        <sz val="10"/>
        <color indexed="8"/>
        <rFont val="ＭＳ Ｐゴシック"/>
        <family val="3"/>
        <charset val="128"/>
      </rPr>
      <t>__irai</t>
    </r>
    <phoneticPr fontId="2"/>
  </si>
  <si>
    <t>cst_JUDGE_OFFICE_CORP_DAIHYOUSHA__irai</t>
    <phoneticPr fontId="2"/>
  </si>
  <si>
    <t>cst_JUDGE_OFFICE_CORP_DAIHYOUSHA__irai_add_code</t>
    <phoneticPr fontId="2"/>
  </si>
  <si>
    <t>cst_JUDGE_OFFICE_KOUZOUSEKININSHA__irai</t>
    <phoneticPr fontId="2"/>
  </si>
  <si>
    <t>cst_JUDGE_OFFICE_CORP_KOUZOUSEKININSHA__irai</t>
    <phoneticPr fontId="2"/>
  </si>
  <si>
    <t>cst_JUDGE_OFFICE_CORP_KOUZOUSEKININSHA__irai_add_code</t>
    <phoneticPr fontId="2"/>
  </si>
  <si>
    <t>延長通知日</t>
    <rPh sb="0" eb="2">
      <t>エンチョウ</t>
    </rPh>
    <rPh sb="2" eb="5">
      <t>ツウチビ</t>
    </rPh>
    <phoneticPr fontId="2"/>
  </si>
  <si>
    <r>
      <t>cst_JUDGE_OFFICE_DAIHYOUSHA</t>
    </r>
    <r>
      <rPr>
        <sz val="10"/>
        <color indexed="8"/>
        <rFont val="ＭＳ Ｐゴシック"/>
        <family val="3"/>
        <charset val="128"/>
      </rPr>
      <t>__enchou</t>
    </r>
    <phoneticPr fontId="2"/>
  </si>
  <si>
    <t>cst_JUDGE_OFFICE_CORP_DAIHYOUSHA__enchou</t>
    <phoneticPr fontId="2"/>
  </si>
  <si>
    <t>cst_JUDGE_OFFICE_CORP_DAIHYOUSHA__enchou_add_code</t>
    <phoneticPr fontId="2"/>
  </si>
  <si>
    <t>cst_JUDGE_OFFICE_KOUZOUSEKININSHA__enchou</t>
    <phoneticPr fontId="2"/>
  </si>
  <si>
    <t>cst_JUDGE_OFFICE_CORP_KOUZOUSEKININSHA__enchou</t>
    <phoneticPr fontId="2"/>
  </si>
  <si>
    <t>cst_JUDGE_OFFICE_CORP_KOUZOUSEKININSHA__enchou_add_code</t>
    <phoneticPr fontId="2"/>
  </si>
  <si>
    <t>適判への取下日</t>
    <rPh sb="0" eb="2">
      <t>テキハン</t>
    </rPh>
    <rPh sb="4" eb="6">
      <t>トリサ</t>
    </rPh>
    <rPh sb="6" eb="7">
      <t>ビ</t>
    </rPh>
    <phoneticPr fontId="2"/>
  </si>
  <si>
    <r>
      <t>cst_JUDGE_OFFICE_DAIHYOUSHA</t>
    </r>
    <r>
      <rPr>
        <sz val="10"/>
        <color indexed="8"/>
        <rFont val="ＭＳ Ｐゴシック"/>
        <family val="3"/>
        <charset val="128"/>
      </rPr>
      <t>__torisage</t>
    </r>
    <phoneticPr fontId="2"/>
  </si>
  <si>
    <t>cst_JUDGE_OFFICE_CORP_DAIHYOUSHA__torisage</t>
    <phoneticPr fontId="2"/>
  </si>
  <si>
    <t>cst_JUDGE_OFFICE_CORP_DAIHYOUSHA__torisage_add_code</t>
    <phoneticPr fontId="2"/>
  </si>
  <si>
    <t>cst_JUDGE_OFFICE_KOUZOUSEKININSHA__torisage</t>
    <phoneticPr fontId="2"/>
  </si>
  <si>
    <t>cst_JUDGE_OFFICE_CORP_KOUZOUSEKININSHA__torisage</t>
    <phoneticPr fontId="2"/>
  </si>
  <si>
    <t>cst_JUDGE_OFFICE_CORP_KOUZOUSEKININSHA__torisage_add_code</t>
    <phoneticPr fontId="2"/>
  </si>
  <si>
    <t>適判への追加図書通知日</t>
    <rPh sb="0" eb="2">
      <t>テキハン</t>
    </rPh>
    <rPh sb="4" eb="6">
      <t>ツイカ</t>
    </rPh>
    <rPh sb="6" eb="8">
      <t>トショ</t>
    </rPh>
    <rPh sb="8" eb="10">
      <t>ツウチ</t>
    </rPh>
    <rPh sb="10" eb="11">
      <t>ビ</t>
    </rPh>
    <phoneticPr fontId="2"/>
  </si>
  <si>
    <r>
      <t>cst_JUDGE_OFFICE_DAIHYOUSHA</t>
    </r>
    <r>
      <rPr>
        <sz val="10"/>
        <color indexed="8"/>
        <rFont val="ＭＳ Ｐゴシック"/>
        <family val="3"/>
        <charset val="128"/>
      </rPr>
      <t>__tuikatosho</t>
    </r>
    <phoneticPr fontId="2"/>
  </si>
  <si>
    <t>cst_JUDGE_OFFICE_CORP_DAIHYOUSHA__tuikatosho</t>
    <phoneticPr fontId="2"/>
  </si>
  <si>
    <t>cst_JUDGE_OFFICE_CORP_DAIHYOUSHA__tuikatosho_add_code</t>
    <phoneticPr fontId="2"/>
  </si>
  <si>
    <t>cst_JUDGE_OFFICE_KOUZOUSEKININSHA__tuikatosho</t>
    <phoneticPr fontId="2"/>
  </si>
  <si>
    <t>cst_JUDGE_OFFICE_CORP_KOUZOUSEKININSHA__tuikatosho</t>
    <phoneticPr fontId="2"/>
  </si>
  <si>
    <t>cst_JUDGE_OFFICE_CORP_KOUZOUSEKININSHA__tuikatosho_add_code</t>
    <phoneticPr fontId="2"/>
  </si>
  <si>
    <t>追加説明提出日変更通知日</t>
  </si>
  <si>
    <t>cst_JUDGE_OFFICE_DAIHYOUSHA__tuikatosho_henkou</t>
    <phoneticPr fontId="2"/>
  </si>
  <si>
    <t>cst_JUDGE_OFFICE_CORP_DAIHYOUSHA__tuikatosho_henkou</t>
    <phoneticPr fontId="2"/>
  </si>
  <si>
    <t>cst_JUDGE_OFFICE_CORP_DAIHYOUSHA__tuikatosho_henkou_add_code</t>
    <phoneticPr fontId="2"/>
  </si>
  <si>
    <t>cst_JUDGE_OFFICE_KOUZOUSEKININSHA__tuikatosho_henkou</t>
    <phoneticPr fontId="2"/>
  </si>
  <si>
    <t>cst_JUDGE_OFFICE_CORP_KOUZOUSEKININSHA__tuikatosho_henkou</t>
    <phoneticPr fontId="2"/>
  </si>
  <si>
    <t>cst_JUDGE_OFFICE_CORP_KOUZOUSEKININSHA__tuikatosho_henkou_add_code</t>
    <phoneticPr fontId="2"/>
  </si>
  <si>
    <t>報告日（交付・交付不可共通）（確認結果報告書用）</t>
    <rPh sb="15" eb="17">
      <t>カクニン</t>
    </rPh>
    <rPh sb="17" eb="19">
      <t>ケッカ</t>
    </rPh>
    <rPh sb="19" eb="22">
      <t>ホウコクショ</t>
    </rPh>
    <rPh sb="22" eb="23">
      <t>ヨウ</t>
    </rPh>
    <phoneticPr fontId="2"/>
  </si>
  <si>
    <t>cst_JUDGE_OFFICE_DAIHYOUSHA__HOUKOKU__disp</t>
    <phoneticPr fontId="2"/>
  </si>
  <si>
    <t>● 決定した適判 会社名＋代表者名（様付）</t>
    <rPh sb="2" eb="4">
      <t>ケッテイ</t>
    </rPh>
    <rPh sb="6" eb="8">
      <t>テキハン</t>
    </rPh>
    <rPh sb="9" eb="12">
      <t>カイシャメイ</t>
    </rPh>
    <rPh sb="13" eb="16">
      <t>ダイヒョウシャ</t>
    </rPh>
    <rPh sb="16" eb="17">
      <t>メイ</t>
    </rPh>
    <rPh sb="18" eb="19">
      <t>サマ</t>
    </rPh>
    <rPh sb="19" eb="20">
      <t>ツキ</t>
    </rPh>
    <phoneticPr fontId="2"/>
  </si>
  <si>
    <t>cst_JUDGE_OFFICE_CORP_DAIHYOUSHA__HOUKOKU__disp</t>
    <phoneticPr fontId="2"/>
  </si>
  <si>
    <t>● 決定した適判 会社名＋代表者名（改行）（様付）</t>
    <rPh sb="2" eb="4">
      <t>ケッテイ</t>
    </rPh>
    <rPh sb="6" eb="8">
      <t>テキハン</t>
    </rPh>
    <rPh sb="9" eb="12">
      <t>カイシャメイ</t>
    </rPh>
    <rPh sb="13" eb="16">
      <t>ダイヒョウシャ</t>
    </rPh>
    <rPh sb="16" eb="17">
      <t>メイ</t>
    </rPh>
    <rPh sb="18" eb="20">
      <t>カイギョウ</t>
    </rPh>
    <rPh sb="22" eb="23">
      <t>サマ</t>
    </rPh>
    <rPh sb="23" eb="24">
      <t>ツキ</t>
    </rPh>
    <phoneticPr fontId="2"/>
  </si>
  <si>
    <t>cst_JUDGE_OFFICE_CORP_DAIHYOUSHA__HOUKOKU__disp_code</t>
    <phoneticPr fontId="2"/>
  </si>
  <si>
    <t>決定した代表者名</t>
    <rPh sb="0" eb="2">
      <t>ケッテイ</t>
    </rPh>
    <rPh sb="4" eb="7">
      <t>ダイヒョウシャ</t>
    </rPh>
    <rPh sb="7" eb="8">
      <t>メイ</t>
    </rPh>
    <phoneticPr fontId="2"/>
  </si>
  <si>
    <t>cst_JUDGE_OFFICE_DAIHYOUSHA__HOUKOKU</t>
    <phoneticPr fontId="2"/>
  </si>
  <si>
    <t>cst_JUDGE_OFFICE_CORP_DAIHYOUSHA__HOUKOKU</t>
    <phoneticPr fontId="2"/>
  </si>
  <si>
    <t>cst_JUDGE_OFFICE_CORP_DAIHYOUSHA__HOUKOKU_code</t>
    <phoneticPr fontId="2"/>
  </si>
  <si>
    <t>下記、旧式用</t>
    <rPh sb="0" eb="2">
      <t>カキ</t>
    </rPh>
    <rPh sb="3" eb="5">
      <t>キュウシキ</t>
    </rPh>
    <rPh sb="5" eb="6">
      <t>ヨウ</t>
    </rPh>
    <phoneticPr fontId="2"/>
  </si>
  <si>
    <t>機関名範囲</t>
    <rPh sb="0" eb="2">
      <t>キカン</t>
    </rPh>
    <rPh sb="2" eb="3">
      <t>メイ</t>
    </rPh>
    <rPh sb="3" eb="5">
      <t>ハンイ</t>
    </rPh>
    <phoneticPr fontId="2"/>
  </si>
  <si>
    <t>cst_JUDGE_OFFICE__name_area</t>
  </si>
  <si>
    <t>機関名の登録範囲</t>
    <rPh sb="0" eb="2">
      <t>キカン</t>
    </rPh>
    <rPh sb="2" eb="3">
      <t>メイ</t>
    </rPh>
    <rPh sb="4" eb="6">
      <t>トウロク</t>
    </rPh>
    <rPh sb="6" eb="8">
      <t>ハンイ</t>
    </rPh>
    <phoneticPr fontId="2"/>
  </si>
  <si>
    <t>位置調整用加算数値</t>
    <rPh sb="0" eb="2">
      <t>イチ</t>
    </rPh>
    <rPh sb="2" eb="5">
      <t>チョウセイヨウ</t>
    </rPh>
    <rPh sb="5" eb="7">
      <t>カサン</t>
    </rPh>
    <rPh sb="7" eb="9">
      <t>スウチ</t>
    </rPh>
    <phoneticPr fontId="2"/>
  </si>
  <si>
    <t>cst_JUDGE_OFFICE__add_num</t>
  </si>
  <si>
    <t>処理用適判記号</t>
    <rPh sb="0" eb="3">
      <t>ショリヨウ</t>
    </rPh>
    <rPh sb="3" eb="5">
      <t>テキハン</t>
    </rPh>
    <rPh sb="5" eb="7">
      <t>キゴウ</t>
    </rPh>
    <phoneticPr fontId="2"/>
  </si>
  <si>
    <t>cst_JUDGE_OFFICE_***</t>
    <phoneticPr fontId="2"/>
  </si>
  <si>
    <t>検索結果の位置を特定するため、適判毎の記号をセル名でつける。</t>
    <rPh sb="0" eb="2">
      <t>ケンサク</t>
    </rPh>
    <rPh sb="2" eb="4">
      <t>ケッカ</t>
    </rPh>
    <rPh sb="5" eb="7">
      <t>イチ</t>
    </rPh>
    <rPh sb="8" eb="10">
      <t>トクテイ</t>
    </rPh>
    <rPh sb="15" eb="17">
      <t>テキハン</t>
    </rPh>
    <rPh sb="17" eb="18">
      <t>ゴト</t>
    </rPh>
    <rPh sb="19" eb="21">
      <t>キゴウ</t>
    </rPh>
    <rPh sb="24" eb="25">
      <t>メイ</t>
    </rPh>
    <phoneticPr fontId="2"/>
  </si>
  <si>
    <t>機関毎の日付範囲</t>
    <rPh sb="0" eb="2">
      <t>キカン</t>
    </rPh>
    <rPh sb="2" eb="3">
      <t>ゴト</t>
    </rPh>
    <rPh sb="4" eb="6">
      <t>ヒヅケ</t>
    </rPh>
    <rPh sb="6" eb="8">
      <t>ハンイ</t>
    </rPh>
    <phoneticPr fontId="2"/>
  </si>
  <si>
    <t>cst_JUDGE_OFFICE_date_erea__***</t>
    <phoneticPr fontId="2"/>
  </si>
  <si>
    <t>適判名最終検索用、基準位置</t>
    <rPh sb="0" eb="2">
      <t>テキハン</t>
    </rPh>
    <rPh sb="2" eb="3">
      <t>メイ</t>
    </rPh>
    <rPh sb="3" eb="5">
      <t>サイシュウ</t>
    </rPh>
    <rPh sb="5" eb="7">
      <t>ケンサク</t>
    </rPh>
    <rPh sb="7" eb="8">
      <t>ヨウ</t>
    </rPh>
    <rPh sb="9" eb="11">
      <t>キジュン</t>
    </rPh>
    <rPh sb="11" eb="13">
      <t>イチ</t>
    </rPh>
    <phoneticPr fontId="2"/>
  </si>
  <si>
    <t>cst_JUDGE_OFFICE__base_point</t>
    <phoneticPr fontId="2"/>
  </si>
  <si>
    <t>cst_JUDGE_OFFICE__next_erea</t>
    <phoneticPr fontId="2"/>
  </si>
  <si>
    <t>記号</t>
    <rPh sb="0" eb="2">
      <t>キゴウ</t>
    </rPh>
    <phoneticPr fontId="2"/>
  </si>
  <si>
    <t>機関名</t>
    <rPh sb="0" eb="2">
      <t>キカン</t>
    </rPh>
    <rPh sb="2" eb="3">
      <t>メイ</t>
    </rPh>
    <phoneticPr fontId="2"/>
  </si>
  <si>
    <t>履歴</t>
    <rPh sb="0" eb="2">
      <t>リレキ</t>
    </rPh>
    <phoneticPr fontId="2"/>
  </si>
  <si>
    <t>代表者</t>
    <rPh sb="0" eb="3">
      <t>ダイヒョウシャ</t>
    </rPh>
    <phoneticPr fontId="2"/>
  </si>
  <si>
    <t>**shinsei_strtower24_PROGRAM_KIND__hyouka__box</t>
  </si>
  <si>
    <t>**shinsei_strtower24_PROGRAM_KIND__sonota__box</t>
  </si>
  <si>
    <t>**shinsei_strtower24_prgo01_NAME</t>
  </si>
  <si>
    <t>**shinsei_strtower24_prgo01_VER</t>
  </si>
  <si>
    <t>cst_shinsei_strtower24_prgo01_NINTEI__umu</t>
    <phoneticPr fontId="2"/>
  </si>
  <si>
    <t>**shinsei_strtower24_prgo01_NINTEI_NO</t>
  </si>
  <si>
    <t>cst_shinsei_strtower24_prgo01_NINTEI_NO</t>
    <phoneticPr fontId="2"/>
  </si>
  <si>
    <t>**shinsei_strtower24_prgo01_NINTEI_DATE</t>
  </si>
  <si>
    <t>cst_shinsei_strtower24_prgo01_NINTEI_DATE_dsp</t>
    <phoneticPr fontId="2"/>
  </si>
  <si>
    <t>**shinsei_strtower24_prgo01_MAKER_NAME</t>
  </si>
  <si>
    <t>cst_shinsei_strtower24_prgo01_NAME_VER</t>
    <phoneticPr fontId="2"/>
  </si>
  <si>
    <t>cst_shinsei_strtower24_prgo01_NAME_VER__SP</t>
    <phoneticPr fontId="2"/>
  </si>
  <si>
    <t>cst_shinsei_strtower24_prgo01_MAKER__NINTEI_ari</t>
    <phoneticPr fontId="2"/>
  </si>
  <si>
    <t>cst_shinsei_strtower24_prgo01_NAME_VER__NINTEI_ari</t>
    <phoneticPr fontId="2"/>
  </si>
  <si>
    <t>cst_shinsei_strtower24_prgo01_MAKER__NINTEI_non</t>
    <phoneticPr fontId="2"/>
  </si>
  <si>
    <t>cst_shinsei_strtower24_prgo01_NAME_VER__NINTEI_non</t>
    <phoneticPr fontId="2"/>
  </si>
  <si>
    <t>**shinsei_strtower24_prgo02_NAME</t>
  </si>
  <si>
    <t>**shinsei_strtower24_prgo02_VER</t>
  </si>
  <si>
    <t>cst_shinsei_strtower24_prgo02_NINTEI__umu</t>
    <phoneticPr fontId="2"/>
  </si>
  <si>
    <t>**shinsei_strtower24_prgo02_NINTEI_NO</t>
  </si>
  <si>
    <t>cst_shinsei_strtower24_prgo02_NINTEI_NO</t>
    <phoneticPr fontId="2"/>
  </si>
  <si>
    <t>**shinsei_strtower24_prgo02_NINTEI_DATE</t>
  </si>
  <si>
    <t>cst_shinsei_strtower24_prgo02_NINTEI_DATE_dsp</t>
    <phoneticPr fontId="2"/>
  </si>
  <si>
    <t>**shinsei_strtower24_prgo02_MAKER_NAME</t>
  </si>
  <si>
    <t>cst_shinsei_strtower24_prgo02_NAME_VER</t>
    <phoneticPr fontId="2"/>
  </si>
  <si>
    <t>cst_shinsei_strtower24_prgo02_NAME_VER__SP</t>
    <phoneticPr fontId="2"/>
  </si>
  <si>
    <t>cst_shinsei_strtower24_prgo02_MAKER__NINTEI_ari</t>
    <phoneticPr fontId="2"/>
  </si>
  <si>
    <t>cst_shinsei_strtower24_prgo02_NAME_VER__NINTEI_ari</t>
    <phoneticPr fontId="2"/>
  </si>
  <si>
    <t>cst_shinsei_strtower24_prgo02_MAKER__NINTEI_non</t>
    <phoneticPr fontId="2"/>
  </si>
  <si>
    <t>cst_shinsei_strtower24_prgo02_NAME_VER__NINTEI_non</t>
    <phoneticPr fontId="2"/>
  </si>
  <si>
    <t>**shinsei_strtower24_prgo03_NAME</t>
  </si>
  <si>
    <t>**shinsei_strtower24_prgo03_VER</t>
  </si>
  <si>
    <t>cst_shinsei_strtower24_prgo03_NINTEI__umu</t>
    <phoneticPr fontId="2"/>
  </si>
  <si>
    <t>**shinsei_strtower24_prgo03_NINTEI_NO</t>
  </si>
  <si>
    <t>**shinsei_strtower24_prgo03_NINTEI_DATE</t>
  </si>
  <si>
    <t>cst_shinsei_strtower24_prgo03_NINTEI_DATE_dsp</t>
    <phoneticPr fontId="2"/>
  </si>
  <si>
    <t>**shinsei_strtower24_prgo03_MAKER_NAME</t>
  </si>
  <si>
    <t>cst_shinsei_strtower24_prgo03_NAME_VER</t>
    <phoneticPr fontId="2"/>
  </si>
  <si>
    <t>cst_shinsei_strtower24_prgo03_NAME_VER__SP</t>
    <phoneticPr fontId="2"/>
  </si>
  <si>
    <t>cst_shinsei_strtower24_prgo03_MAKER__NINTEI_ari</t>
    <phoneticPr fontId="2"/>
  </si>
  <si>
    <t>cst_shinsei_strtower24_prgo03_NAME_VER__NINTEI_ari</t>
    <phoneticPr fontId="2"/>
  </si>
  <si>
    <t>cst_shinsei_strtower24_prgo03_MAKER__NINTEI_non</t>
    <phoneticPr fontId="2"/>
  </si>
  <si>
    <t>cst_shinsei_strtower24_prgo03_NAME_VER__NINTEI_non</t>
    <phoneticPr fontId="2"/>
  </si>
  <si>
    <t>**shinsei_strtower24_prgo04_NAME</t>
  </si>
  <si>
    <t>**shinsei_strtower24_prgo04_VER</t>
  </si>
  <si>
    <t>cst_shinsei_strtower24_prgo04_NINTEI__umu</t>
    <phoneticPr fontId="2"/>
  </si>
  <si>
    <t>**shinsei_strtower24_prgo04_NINTEI_NO</t>
  </si>
  <si>
    <t>**shinsei_strtower24_prgo04_NINTEI_DATE</t>
  </si>
  <si>
    <t>cst_shinsei_strtower24_prgo04_NINTEI_DATE_dsp</t>
    <phoneticPr fontId="2"/>
  </si>
  <si>
    <t>**shinsei_strtower24_prgo04_MAKER_NAME</t>
  </si>
  <si>
    <t>cst_shinsei_strtower24_prgo04_MAKER_NAME</t>
    <phoneticPr fontId="2"/>
  </si>
  <si>
    <t>cst_shinsei_strtower24_prgo04_NAME_VER</t>
    <phoneticPr fontId="2"/>
  </si>
  <si>
    <t>cst_shinsei_strtower24_prgo04_NAME_VER__SP</t>
    <phoneticPr fontId="2"/>
  </si>
  <si>
    <t>cst_shinsei_strtower24_prgo04_MAKER__NINTEI_ari</t>
    <phoneticPr fontId="2"/>
  </si>
  <si>
    <t>cst_shinsei_strtower24_prgo04_NAME_VER__NINTEI_ari</t>
    <phoneticPr fontId="2"/>
  </si>
  <si>
    <t>cst_shinsei_strtower24_prgo04_MAKER__NINTEI_non</t>
    <phoneticPr fontId="2"/>
  </si>
  <si>
    <t>cst_shinsei_strtower24_prgo04_NAME_VER__NINTEI_non</t>
    <phoneticPr fontId="2"/>
  </si>
  <si>
    <t>**shinsei_strtower24_prgo05_NAME</t>
  </si>
  <si>
    <t>**shinsei_strtower24_prgo05_VER</t>
  </si>
  <si>
    <t>cst_shinsei_strtower24_prgo05_NINTEI__umu</t>
    <phoneticPr fontId="2"/>
  </si>
  <si>
    <t>**shinsei_strtower24_prgo05_NINTEI_NO</t>
  </si>
  <si>
    <t>**shinsei_strtower24_prgo05_NINTEI_DATE</t>
  </si>
  <si>
    <t>cst_shinsei_strtower24_prgo05_NINTEI_DATE_dsp</t>
    <phoneticPr fontId="2"/>
  </si>
  <si>
    <t>**shinsei_strtower24_prgo05_MAKER_NAME</t>
  </si>
  <si>
    <t>cst_shinsei_strtower24_prgo05_NAME_VER</t>
    <phoneticPr fontId="2"/>
  </si>
  <si>
    <t>cst_shinsei_strtower24_prgo05_NAME_VER__SP</t>
    <phoneticPr fontId="2"/>
  </si>
  <si>
    <t>cst_shinsei_strtower24_prgo05_MAKER__NINTEI_ari</t>
    <phoneticPr fontId="2"/>
  </si>
  <si>
    <t>cst_shinsei_strtower24_prgo05_NAME_VER__NINTEI_ari</t>
    <phoneticPr fontId="2"/>
  </si>
  <si>
    <t>cst_shinsei_strtower24_prgo05_MAKER__NINTEI_non</t>
    <phoneticPr fontId="2"/>
  </si>
  <si>
    <t>cst_shinsei_strtower24_prgo05_NAME_VER__NINTEI_non</t>
    <phoneticPr fontId="2"/>
  </si>
  <si>
    <t>cst_shinsei_strtower24_PROG_NAME_VER__CHAR</t>
    <phoneticPr fontId="2"/>
  </si>
  <si>
    <t>cst_shinsei_strtower24_PROG_NAME_VER__CHAR__SP</t>
    <phoneticPr fontId="2"/>
  </si>
  <si>
    <t>cst_shinsei_strtower24_PROG_MAKER__NINTEI_ari_SP</t>
    <phoneticPr fontId="2"/>
  </si>
  <si>
    <t>cst_shinsei_strtower24_PROG_NAME_VER__NINTEI_ari_SP</t>
    <phoneticPr fontId="2"/>
  </si>
  <si>
    <t>cst_shinsei_strtower24_PROG_NINTEI_DATE_SP</t>
    <phoneticPr fontId="2"/>
  </si>
  <si>
    <t>cst_shinsei_strtower24_PROG_MAKER__NINTEI_no_SP</t>
    <phoneticPr fontId="2"/>
  </si>
  <si>
    <t>cst_shinsei_strtower24_PROG_NAME_VER__NINTEI_non_SP</t>
    <phoneticPr fontId="2"/>
  </si>
  <si>
    <t>**shinsei_strtower24_DISK_FLAG</t>
  </si>
  <si>
    <t>cst_shinsei_strtower24_DISK_FLAG</t>
    <phoneticPr fontId="2"/>
  </si>
  <si>
    <t>**shinsei_strtower24_CHARGE</t>
  </si>
  <si>
    <t>cst_shinsei_strtower24_CHARGE</t>
    <phoneticPr fontId="2"/>
  </si>
  <si>
    <t>cst_shinsei_strtower24_CHARGE__dsp</t>
    <phoneticPr fontId="2"/>
  </si>
  <si>
    <t>**shinsei_strtower24_CHARGE_WARIMASHI</t>
  </si>
  <si>
    <t>cst_shinsei_strtower24_CHARGE_WARIMASHI</t>
    <phoneticPr fontId="2"/>
  </si>
  <si>
    <t>**shinsei_strtower24_CHARGE_TOTAL</t>
  </si>
  <si>
    <t>cst_shinsei_strtower24_CHARGE_TOTAL</t>
    <phoneticPr fontId="2"/>
  </si>
  <si>
    <t>**shinsei_strtower24_CHARGE_KEISAN_NOTE</t>
  </si>
  <si>
    <t>cst_shinsei_strtower24_CHARGE_KEISAN_NOTE</t>
    <phoneticPr fontId="2"/>
  </si>
  <si>
    <t>cst_shinsei_strtower24_CHARGE_KEISAN_NOTE__alter</t>
    <phoneticPr fontId="2"/>
  </si>
  <si>
    <t>**shinsei_strtower24_KEISAN_X_ROUTE</t>
  </si>
  <si>
    <t>cst_shinsei_strtower24_KEISAN_X_ROUTE</t>
    <phoneticPr fontId="2"/>
  </si>
  <si>
    <t>**shinsei_strtower24_KEISAN_Y_ROUTE</t>
  </si>
  <si>
    <t>cst_shinsei_strtower24_KEISAN_Y_ROUTE</t>
    <phoneticPr fontId="2"/>
  </si>
  <si>
    <t>cst_shinsei_strtower24_XY_select</t>
    <phoneticPr fontId="2"/>
  </si>
  <si>
    <t>**shinsei_strtower24_PROGRAM_KIND_SONOTA</t>
  </si>
  <si>
    <t>cst_shinsei_strtower24_PROGRAM_KIND_SONOTA</t>
    <phoneticPr fontId="2"/>
  </si>
  <si>
    <t>**shinsei_strtower25_TOWER_NO</t>
  </si>
  <si>
    <t>cst_shinsei_strtower25_TOWER_NO</t>
    <phoneticPr fontId="2"/>
  </si>
  <si>
    <t>**shinsei_strtower25_STR_TOWER_NO</t>
  </si>
  <si>
    <t>cst_shinsei_strtower25_STR_TOWER_NO</t>
    <phoneticPr fontId="2"/>
  </si>
  <si>
    <t>cst_shinsei_strtower25__TOWER_NO_STR_TOWER_NO</t>
    <phoneticPr fontId="2"/>
  </si>
  <si>
    <t>cst_shinsei_strtower25__TOWER_NO_STR_TOWERS</t>
    <phoneticPr fontId="2"/>
  </si>
  <si>
    <t>**shinsei_strtower25_STR_TOWER_NAME</t>
  </si>
  <si>
    <t>cst_shinsei_strtower25_STR_TOWER_NAME</t>
    <phoneticPr fontId="2"/>
  </si>
  <si>
    <t>**shinsei_strtower25_JUDGE</t>
  </si>
  <si>
    <t>cst_shinsei_strtower25_JUDGE</t>
    <phoneticPr fontId="2"/>
  </si>
  <si>
    <t>**shinsei_strtower25_STR_TOWER_YOUTO_TEXT</t>
  </si>
  <si>
    <t>cst_shinsei_strtower25_STR_TOWER_YOUTO_TEXT</t>
    <phoneticPr fontId="2"/>
  </si>
  <si>
    <t>**shinsei_strtower25_KOUJI_TEXT</t>
  </si>
  <si>
    <t>cst_shinsei_strtower25_KOUJI_TEXT</t>
    <phoneticPr fontId="2"/>
  </si>
  <si>
    <t>**shinsei_strtower25_KOUZOU</t>
  </si>
  <si>
    <t>cst_shinsei_strtower25_KOUZOU</t>
    <phoneticPr fontId="2"/>
  </si>
  <si>
    <t>**shinsei_strtower25_KOUZOU_TEXT</t>
  </si>
  <si>
    <t>cst_shinsei_strtower25_KOUZOU_TEXT</t>
    <phoneticPr fontId="2"/>
  </si>
  <si>
    <t>**shinsei_strtower25_KOUZOU_KEISAN</t>
  </si>
  <si>
    <t>cst_shinsei_strtower25_KOUZOU_KEISAN</t>
    <phoneticPr fontId="2"/>
  </si>
  <si>
    <t>**shinsei_strtower25_KOUZOU_KEISAN_TEXT</t>
  </si>
  <si>
    <t>cst_shinsei_strtower25_KOUZOU_KEISAN_TEXT</t>
    <phoneticPr fontId="2"/>
  </si>
  <si>
    <t>**shinsei_strtower25_MENSEKI</t>
  </si>
  <si>
    <t>cst_shinsei_strtower25_MENSEKI</t>
    <phoneticPr fontId="2"/>
  </si>
  <si>
    <t>cst_shinsei_strtower25_MENSEKI__dsp</t>
    <phoneticPr fontId="2"/>
  </si>
  <si>
    <t>**shinsei_strtower25_MAX_TAKASA</t>
  </si>
  <si>
    <t>cst_shinsei_strtower25_MAX_TAKASA</t>
    <phoneticPr fontId="2"/>
  </si>
  <si>
    <t>**shinsei_strtower25_MAX_NOKI_TAKASA</t>
  </si>
  <si>
    <t>cst_shinsei_strtower25_MAX_NOKI_TAKASA</t>
    <phoneticPr fontId="2"/>
  </si>
  <si>
    <t>**shinsei_strtower25_KAISU_TIJYOU</t>
  </si>
  <si>
    <t>cst_shinsei_strtower25_KAISU_TIJYOU</t>
    <phoneticPr fontId="2"/>
  </si>
  <si>
    <t>**shinsei_strtower25_KAISU_TIKA</t>
  </si>
  <si>
    <t>cst_shinsei_strtower25_KAISU_TIKA</t>
    <phoneticPr fontId="2"/>
  </si>
  <si>
    <t>**shinsei_strtower25_KAISU_TOUYA</t>
  </si>
  <si>
    <t>cst_shinsei_strtower25_KAISU_TOUYA</t>
    <phoneticPr fontId="2"/>
  </si>
  <si>
    <t>**shinsei_strtower25_BUILD_KUBUN</t>
  </si>
  <si>
    <t>cst_shinsei_strtower25_BUILD_KUBUN</t>
    <phoneticPr fontId="2"/>
  </si>
  <si>
    <t>**shinsei_strtower25_BUILD_KUBUN_TEXT</t>
  </si>
  <si>
    <t>cst_shinsei_strtower25_BUILD_KUBUN_TEXT</t>
    <phoneticPr fontId="2"/>
  </si>
  <si>
    <t>cst_shinsei_strtower25_HOU20_2_select</t>
    <phoneticPr fontId="2"/>
  </si>
  <si>
    <t>cst_shinsei_strtower25_HOU20_3_select</t>
    <phoneticPr fontId="2"/>
  </si>
  <si>
    <t>**shinsei_strtower25_MENJYO_TEXT</t>
  </si>
  <si>
    <t>cst_shinsei_strtower25_MENJYO</t>
    <phoneticPr fontId="2"/>
  </si>
  <si>
    <t>**shinsei_strtower25_PROGRAM_KIND</t>
  </si>
  <si>
    <t>cst_shinsei_strtower25_PROGRAM_KIND</t>
    <phoneticPr fontId="2"/>
  </si>
  <si>
    <t>**shinsei_strtower25_REI80_2_KOKUJI_TEXT</t>
  </si>
  <si>
    <t>cst_shinsei_strtower25_REI80_2_KOKUJI</t>
    <phoneticPr fontId="2"/>
  </si>
  <si>
    <t>**shinsei_strtower25_PROGRAM_KIND__nintei__box</t>
  </si>
  <si>
    <t>cst_shinsei_strtower25_NINTEI</t>
    <phoneticPr fontId="2"/>
  </si>
  <si>
    <t>**shinsei_strtower25_PROGRAM_KIND__hyouka__box</t>
  </si>
  <si>
    <t>**shinsei_strtower25_PROGRAM_KIND__sonota__box</t>
  </si>
  <si>
    <t>**shinsei_strtower25_prgo01_NAME</t>
  </si>
  <si>
    <t>**shinsei_strtower25_prgo01_VER</t>
  </si>
  <si>
    <t>cst_shinsei_strtower25_prgo01_NINTEI__umu</t>
    <phoneticPr fontId="2"/>
  </si>
  <si>
    <t>**shinsei_strtower25_prgo01_NINTEI_NO</t>
  </si>
  <si>
    <t>cst_shinsei_strtower25_prgo01_NINTEI_NO</t>
    <phoneticPr fontId="2"/>
  </si>
  <si>
    <t>**shinsei_strtower25_prgo01_NINTEI_DATE</t>
  </si>
  <si>
    <t>cst_shinsei_strtower25_prgo01_NINTEI_DATE_dsp</t>
    <phoneticPr fontId="2"/>
  </si>
  <si>
    <t>**shinsei_strtower25_prgo01_MAKER_NAME</t>
  </si>
  <si>
    <t>cst_shinsei_strtower25_prgo01_NAME_VER</t>
    <phoneticPr fontId="2"/>
  </si>
  <si>
    <t>cst_shinsei_strtower25_prgo01_NAME_VER__SP</t>
    <phoneticPr fontId="2"/>
  </si>
  <si>
    <t>cst_shinsei_strtower25_prgo01_MAKER__NINTEI_ari</t>
    <phoneticPr fontId="2"/>
  </si>
  <si>
    <t>cst_shinsei_strtower25_prgo01_NAME_VER__NINTEI_ari</t>
    <phoneticPr fontId="2"/>
  </si>
  <si>
    <t>cst_shinsei_strtower25_prgo01_MAKER__NINTEI_non</t>
    <phoneticPr fontId="2"/>
  </si>
  <si>
    <t>cst_shinsei_strtower25_prgo01_NAME_VER__NINTEI_non</t>
    <phoneticPr fontId="2"/>
  </si>
  <si>
    <t>**shinsei_strtower25_prgo02_NAME</t>
  </si>
  <si>
    <t>**shinsei_strtower25_prgo02_VER</t>
  </si>
  <si>
    <t>cst_shinsei_strtower25_prgo02_NINTEI__umu</t>
    <phoneticPr fontId="2"/>
  </si>
  <si>
    <t>**shinsei_strtower25_prgo02_NINTEI_NO</t>
  </si>
  <si>
    <t>cst_shinsei_strtower25_prgo02_NINTEI_NO</t>
    <phoneticPr fontId="2"/>
  </si>
  <si>
    <t>**shinsei_strtower25_prgo02_NINTEI_DATE</t>
  </si>
  <si>
    <t>cst_shinsei_strtower25_prgo02_NINTEI_DATE_dsp</t>
    <phoneticPr fontId="2"/>
  </si>
  <si>
    <t>**shinsei_strtower25_prgo02_MAKER_NAME</t>
  </si>
  <si>
    <t>cst_shinsei_strtower25_prgo02_MAKER_NAME</t>
    <phoneticPr fontId="2"/>
  </si>
  <si>
    <t>cst_shinsei_strtower25_prgo02_NAME_VER</t>
    <phoneticPr fontId="2"/>
  </si>
  <si>
    <t>cst_shinsei_strtower25_prgo02_NAME_VER__SP</t>
    <phoneticPr fontId="2"/>
  </si>
  <si>
    <t>cst_shinsei_strtower25_prgo02_MAKER__NINTEI_ari</t>
    <phoneticPr fontId="2"/>
  </si>
  <si>
    <t>cst_shinsei_strtower25_prgo02_NAME_VER__NINTEI_ari</t>
    <phoneticPr fontId="2"/>
  </si>
  <si>
    <t>cst_shinsei_strtower25_prgo02_MAKER__NINTEI_non</t>
    <phoneticPr fontId="2"/>
  </si>
  <si>
    <t>cst_shinsei_strtower25_prgo02_NAME_VER__NINTEI_non</t>
    <phoneticPr fontId="2"/>
  </si>
  <si>
    <t>**shinsei_strtower25_prgo03_NAME</t>
  </si>
  <si>
    <t>**shinsei_strtower25_prgo03_VER</t>
  </si>
  <si>
    <t>cst_shinsei_strtower25_prgo03_NINTEI__umu</t>
    <phoneticPr fontId="2"/>
  </si>
  <si>
    <t>**shinsei_strtower25_prgo03_NINTEI_NO</t>
  </si>
  <si>
    <t>**shinsei_strtower25_prgo03_NINTEI_DATE</t>
  </si>
  <si>
    <t>cst_shinsei_strtower25_prgo03_NINTEI_DATE_dsp</t>
    <phoneticPr fontId="2"/>
  </si>
  <si>
    <t>**shinsei_strtower25_prgo03_MAKER_NAME</t>
  </si>
  <si>
    <t>cst_shinsei_strtower25_prgo03_NAME_VER</t>
    <phoneticPr fontId="2"/>
  </si>
  <si>
    <t>cst_shinsei_strtower25_prgo03_NAME_VER__SP</t>
    <phoneticPr fontId="2"/>
  </si>
  <si>
    <t>cst_shinsei_strtower25_prgo03_MAKER__NINTEI_ari</t>
    <phoneticPr fontId="2"/>
  </si>
  <si>
    <t>cst_shinsei_strtower25_prgo03_NAME_VER__NINTEI_ari</t>
    <phoneticPr fontId="2"/>
  </si>
  <si>
    <t>cst_shinsei_strtower25_prgo03_MAKER__NINTEI_non</t>
    <phoneticPr fontId="2"/>
  </si>
  <si>
    <t>cst_shinsei_strtower25_prgo03_NAME_VER__NINTEI_non</t>
    <phoneticPr fontId="2"/>
  </si>
  <si>
    <t>**shinsei_strtower25_prgo04_NAME</t>
  </si>
  <si>
    <t>**shinsei_strtower25_prgo04_VER</t>
  </si>
  <si>
    <t>cst_shinsei_strtower25_prgo04_NINTEI__umu</t>
    <phoneticPr fontId="2"/>
  </si>
  <si>
    <t>**shinsei_strtower25_prgo04_NINTEI_NO</t>
  </si>
  <si>
    <t>**shinsei_strtower25_prgo04_NINTEI_DATE</t>
  </si>
  <si>
    <t>cst_shinsei_strtower25_prgo04_NINTEI_DATE_dsp</t>
    <phoneticPr fontId="2"/>
  </si>
  <si>
    <t>**shinsei_strtower25_prgo04_MAKER_NAME</t>
  </si>
  <si>
    <t>cst_shinsei_strtower25_prgo04_NAME_VER</t>
    <phoneticPr fontId="2"/>
  </si>
  <si>
    <t>cst_shinsei_strtower25_prgo04_NAME_VER__SP</t>
    <phoneticPr fontId="2"/>
  </si>
  <si>
    <t>cst_shinsei_strtower25_prgo04_MAKER__NINTEI_ari</t>
    <phoneticPr fontId="2"/>
  </si>
  <si>
    <t>cst_shinsei_strtower25_prgo04_NAME_VER__NINTEI_ari</t>
    <phoneticPr fontId="2"/>
  </si>
  <si>
    <t>cst_shinsei_strtower25_prgo04_MAKER__NINTEI_non</t>
    <phoneticPr fontId="2"/>
  </si>
  <si>
    <t>cst_shinsei_strtower25_prgo04_NAME_VER__NINTEI_non</t>
    <phoneticPr fontId="2"/>
  </si>
  <si>
    <t>**shinsei_strtower25_prgo05_NAME</t>
  </si>
  <si>
    <t>**shinsei_strtower25_prgo05_VER</t>
  </si>
  <si>
    <t>cst_shinsei_strtower25_prgo05_NINTEI__umu</t>
    <phoneticPr fontId="2"/>
  </si>
  <si>
    <t>**shinsei_strtower25_prgo05_NINTEI_NO</t>
  </si>
  <si>
    <t>**shinsei_strtower25_prgo05_NINTEI_DATE</t>
  </si>
  <si>
    <t>cst_shinsei_strtower25_prgo05_NINTEI_DATE_dsp</t>
    <phoneticPr fontId="2"/>
  </si>
  <si>
    <t>**shinsei_strtower25_prgo05_MAKER_NAME</t>
  </si>
  <si>
    <t>cst_shinsei_strtower25_prgo05_NAME_VER</t>
    <phoneticPr fontId="2"/>
  </si>
  <si>
    <t>cst_shinsei_strtower25_prgo05_NAME_VER__SP</t>
    <phoneticPr fontId="2"/>
  </si>
  <si>
    <t>cst_shinsei_strtower25_prgo05_MAKER__NINTEI_ari</t>
    <phoneticPr fontId="2"/>
  </si>
  <si>
    <t>cst_shinsei_strtower25_prgo05_NAME_VER__NINTEI_ari</t>
    <phoneticPr fontId="2"/>
  </si>
  <si>
    <t>cst_shinsei_strtower25_prgo05_MAKER__NINTEI_non</t>
    <phoneticPr fontId="2"/>
  </si>
  <si>
    <t>cst_shinsei_strtower25_prgo05_NAME_VER__NINTEI_non</t>
    <phoneticPr fontId="2"/>
  </si>
  <si>
    <t>cst_shinsei_strtower25_PROG_NAME_VER__CHAR</t>
    <phoneticPr fontId="2"/>
  </si>
  <si>
    <t>cst_shinsei_strtower25_PROG_NAME_VER__CHAR__SP</t>
    <phoneticPr fontId="2"/>
  </si>
  <si>
    <t>cst_shinsei_strtower25_PROG_MAKER__NINTEI_ari_SP</t>
    <phoneticPr fontId="2"/>
  </si>
  <si>
    <t>cst_shinsei_strtower25_PROG_NAME_VER__NINTEI_ari_SP</t>
    <phoneticPr fontId="2"/>
  </si>
  <si>
    <t>cst_shinsei_strtower25_PROG_NINTEI_DATE_SP</t>
    <phoneticPr fontId="2"/>
  </si>
  <si>
    <t>cst_shinsei_strtower25_PROG_MAKER__NINTEI_no_SP</t>
    <phoneticPr fontId="2"/>
  </si>
  <si>
    <t>cst_shinsei_strtower25_PROG_NAME_VER__NINTEI_non_SP</t>
    <phoneticPr fontId="2"/>
  </si>
  <si>
    <t>**shinsei_strtower25_DISK_FLAG</t>
  </si>
  <si>
    <t>cst_shinsei_strtower25_DISK_FLAG</t>
    <phoneticPr fontId="2"/>
  </si>
  <si>
    <t>**shinsei_strtower25_CHARGE</t>
  </si>
  <si>
    <t>cst_shinsei_strtower25_CHARGE</t>
    <phoneticPr fontId="2"/>
  </si>
  <si>
    <t>cst_shinsei_strtower25_CHARGE__dsp</t>
    <phoneticPr fontId="2"/>
  </si>
  <si>
    <t>**shinsei_strtower25_CHARGE_WARIMASHI</t>
  </si>
  <si>
    <t>cst_shinsei_strtower25_CHARGE_WARIMASHI</t>
    <phoneticPr fontId="2"/>
  </si>
  <si>
    <t>**shinsei_strtower25_CHARGE_TOTAL</t>
  </si>
  <si>
    <t>cst_shinsei_strtower25_CHARGE_TOTAL</t>
    <phoneticPr fontId="2"/>
  </si>
  <si>
    <t>**shinsei_strtower25_CHARGE_KEISAN_NOTE</t>
  </si>
  <si>
    <t>cst_shinsei_strtower25_CHARGE_KEISAN_NOTE</t>
    <phoneticPr fontId="2"/>
  </si>
  <si>
    <t>cst_shinsei_strtower25_CHARGE_KEISAN_NOTE__alter</t>
    <phoneticPr fontId="2"/>
  </si>
  <si>
    <t>**shinsei_strtower25_KEISAN_X_ROUTE</t>
  </si>
  <si>
    <t>cst_shinsei_strtower25_KEISAN_X_ROUTE</t>
    <phoneticPr fontId="2"/>
  </si>
  <si>
    <t>**shinsei_strtower25_KEISAN_Y_ROUTE</t>
  </si>
  <si>
    <t>cst_shinsei_strtower25_KEISAN_Y_ROUTE</t>
    <phoneticPr fontId="2"/>
  </si>
  <si>
    <t>cst_shinsei_strtower25_XY_select</t>
    <phoneticPr fontId="2"/>
  </si>
  <si>
    <t>**shinsei_strtower25_PROGRAM_KIND_SONOTA</t>
  </si>
  <si>
    <t>cst_shinsei_strtower25_PROGRAM_KIND_SONOTA</t>
    <phoneticPr fontId="2"/>
  </si>
  <si>
    <t>**shinsei_strtower26_TOWER_NO</t>
  </si>
  <si>
    <t>cst_shinsei_strtower26_TOWER_NO</t>
    <phoneticPr fontId="2"/>
  </si>
  <si>
    <t>**shinsei_strtower26_STR_TOWER_NO</t>
  </si>
  <si>
    <t>cst_shinsei_strtower26_STR_TOWER_NO</t>
    <phoneticPr fontId="2"/>
  </si>
  <si>
    <t>cst_shinsei_strtower26__TOWER_NO_STR_TOWER_NO</t>
    <phoneticPr fontId="2"/>
  </si>
  <si>
    <t>cst_shinsei_strtower26__TOWER_NO_STR_TOWERS</t>
    <phoneticPr fontId="2"/>
  </si>
  <si>
    <t>**shinsei_strtower26_STR_TOWER_NAME</t>
  </si>
  <si>
    <t>cst_shinsei_strtower26_STR_TOWER_NAME</t>
    <phoneticPr fontId="2"/>
  </si>
  <si>
    <t>**shinsei_strtower26_JUDGE</t>
  </si>
  <si>
    <t>cst_shinsei_strtower26_JUDGE</t>
    <phoneticPr fontId="2"/>
  </si>
  <si>
    <t>**shinsei_strtower26_STR_TOWER_YOUTO_TEXT</t>
  </si>
  <si>
    <t>cst_shinsei_strtower26_STR_TOWER_YOUTO_TEXT</t>
    <phoneticPr fontId="2"/>
  </si>
  <si>
    <t>**shinsei_strtower26_KOUJI_TEXT</t>
  </si>
  <si>
    <t>cst_shinsei_strtower26_KOUJI_TEXT</t>
    <phoneticPr fontId="2"/>
  </si>
  <si>
    <t>**shinsei_strtower26_KOUZOU</t>
  </si>
  <si>
    <t>cst_shinsei_strtower26_KOUZOU</t>
    <phoneticPr fontId="2"/>
  </si>
  <si>
    <t>**shinsei_strtower26_KOUZOU_TEXT</t>
  </si>
  <si>
    <t>cst_shinsei_strtower26_KOUZOU_TEXT</t>
    <phoneticPr fontId="2"/>
  </si>
  <si>
    <t>**shinsei_strtower26_KOUZOU_KEISAN</t>
  </si>
  <si>
    <t>cst_shinsei_strtower26_KOUZOU_KEISAN</t>
    <phoneticPr fontId="2"/>
  </si>
  <si>
    <t>**shinsei_strtower26_KOUZOU_KEISAN_TEXT</t>
  </si>
  <si>
    <t>cst_shinsei_strtower26_KOUZOU_KEISAN_TEXT</t>
    <phoneticPr fontId="2"/>
  </si>
  <si>
    <t>**shinsei_strtower26_MENSEKI</t>
  </si>
  <si>
    <t>cst_shinsei_strtower26_MENSEKI</t>
    <phoneticPr fontId="2"/>
  </si>
  <si>
    <t>cst_shinsei_strtower26_MENSEKI__dsp</t>
    <phoneticPr fontId="2"/>
  </si>
  <si>
    <t>**shinsei_strtower26_MAX_TAKASA</t>
  </si>
  <si>
    <t>cst_shinsei_strtower26_MAX_TAKASA</t>
    <phoneticPr fontId="2"/>
  </si>
  <si>
    <t>**shinsei_strtower26_MAX_NOKI_TAKASA</t>
  </si>
  <si>
    <t>cst_shinsei_strtower26_MAX_NOKI_TAKASA</t>
    <phoneticPr fontId="2"/>
  </si>
  <si>
    <t>**shinsei_strtower26_KAISU_TIJYOU</t>
  </si>
  <si>
    <t>cst_shinsei_strtower26_KAISU_TIJYOU</t>
    <phoneticPr fontId="2"/>
  </si>
  <si>
    <t>**shinsei_strtower26_KAISU_TIKA</t>
  </si>
  <si>
    <t>cst_shinsei_strtower26_KAISU_TIKA</t>
    <phoneticPr fontId="2"/>
  </si>
  <si>
    <t>**shinsei_strtower26_KAISU_TOUYA</t>
  </si>
  <si>
    <t>cst_shinsei_strtower26_KAISU_TOUYA</t>
    <phoneticPr fontId="2"/>
  </si>
  <si>
    <t>**shinsei_strtower26_BUILD_KUBUN</t>
  </si>
  <si>
    <t>cst_shinsei_strtower26_BUILD_KUBUN</t>
    <phoneticPr fontId="2"/>
  </si>
  <si>
    <t>**shinsei_strtower26_BUILD_KUBUN_TEXT</t>
  </si>
  <si>
    <t>cst_shinsei_strtower26_BUILD_KUBUN_TEXT</t>
    <phoneticPr fontId="2"/>
  </si>
  <si>
    <t>cst_shinsei_strtower26_HOU20_2_select</t>
    <phoneticPr fontId="2"/>
  </si>
  <si>
    <t>cst_shinsei_strtower26_HOU20_3_select</t>
    <phoneticPr fontId="2"/>
  </si>
  <si>
    <t>**shinsei_strtower26_MENJYO_TEXT</t>
  </si>
  <si>
    <t>cst_shinsei_strtower26_MENJYO</t>
    <phoneticPr fontId="2"/>
  </si>
  <si>
    <t>**shinsei_strtower26_PROGRAM_KIND</t>
  </si>
  <si>
    <t>cst_shinsei_strtower26_PROGRAM_KIND</t>
    <phoneticPr fontId="2"/>
  </si>
  <si>
    <t>**shinsei_strtower26_REI80_2_KOKUJI_TEXT</t>
  </si>
  <si>
    <t>cst_shinsei_strtower26_REI80_2_KOKUJI</t>
    <phoneticPr fontId="2"/>
  </si>
  <si>
    <t>**shinsei_strtower26_PROGRAM_KIND__nintei__box</t>
  </si>
  <si>
    <t>cst_shinsei_strtower26_NINTEI</t>
    <phoneticPr fontId="2"/>
  </si>
  <si>
    <t>**shinsei_strtower26_PROGRAM_KIND__hyouka__box</t>
  </si>
  <si>
    <t>**shinsei_strtower26_PROGRAM_KIND__sonota__box</t>
  </si>
  <si>
    <t>**shinsei_strtower26_prgo01_NAME</t>
  </si>
  <si>
    <t>**shinsei_strtower26_prgo01_VER</t>
  </si>
  <si>
    <t>cst_shinsei_strtower26_prgo01_NINTEI__umu</t>
    <phoneticPr fontId="2"/>
  </si>
  <si>
    <t>**shinsei_strtower26_prgo01_NINTEI_NO</t>
  </si>
  <si>
    <t>cst_shinsei_strtower26_prgo01_NINTEI_NO</t>
    <phoneticPr fontId="2"/>
  </si>
  <si>
    <t>**shinsei_strtower26_prgo01_NINTEI_DATE</t>
  </si>
  <si>
    <t>cst_shinsei_strtower26_prgo01_NINTEI_DATE_dsp</t>
    <phoneticPr fontId="2"/>
  </si>
  <si>
    <t>**shinsei_strtower26_prgo01_MAKER_NAME</t>
  </si>
  <si>
    <t>cst_shinsei_strtower26_prgo01_NAME_VER</t>
    <phoneticPr fontId="2"/>
  </si>
  <si>
    <t>cst_shinsei_strtower26_prgo01_NAME_VER__SP</t>
    <phoneticPr fontId="2"/>
  </si>
  <si>
    <t>cst_shinsei_strtower26_prgo01_MAKER__NINTEI_ari</t>
    <phoneticPr fontId="2"/>
  </si>
  <si>
    <t>cst_shinsei_strtower26_prgo01_NAME_VER__NINTEI_ari</t>
    <phoneticPr fontId="2"/>
  </si>
  <si>
    <t>cst_shinsei_strtower26_prgo01_MAKER__NINTEI_non</t>
    <phoneticPr fontId="2"/>
  </si>
  <si>
    <t>cst_shinsei_strtower26_prgo01_NAME_VER__NINTEI_non</t>
    <phoneticPr fontId="2"/>
  </si>
  <si>
    <t>**shinsei_strtower26_prgo02_NAME</t>
  </si>
  <si>
    <t>**shinsei_strtower26_prgo02_VER</t>
  </si>
  <si>
    <t>cst_shinsei_strtower26_prgo02_NINTEI__umu</t>
    <phoneticPr fontId="2"/>
  </si>
  <si>
    <t>**shinsei_strtower26_prgo02_NINTEI_NO</t>
  </si>
  <si>
    <t>cst_shinsei_strtower26_prgo02_NINTEI_NO</t>
    <phoneticPr fontId="2"/>
  </si>
  <si>
    <t>**shinsei_strtower26_prgo02_NINTEI_DATE</t>
  </si>
  <si>
    <t>cst_shinsei_strtower26_prgo02_NINTEI_DATE_dsp</t>
    <phoneticPr fontId="2"/>
  </si>
  <si>
    <t>**shinsei_strtower26_prgo02_MAKER_NAME</t>
  </si>
  <si>
    <t>cst_shinsei_strtower26_prgo02_NAME_VER</t>
    <phoneticPr fontId="2"/>
  </si>
  <si>
    <t>理事長 宮地　謙一</t>
    <rPh sb="0" eb="3">
      <t>リジチョウ</t>
    </rPh>
    <phoneticPr fontId="2"/>
  </si>
  <si>
    <t>構造適合判定部</t>
    <rPh sb="0" eb="2">
      <t>コウゾウ</t>
    </rPh>
    <rPh sb="2" eb="4">
      <t>テキゴウ</t>
    </rPh>
    <rPh sb="4" eb="6">
      <t>ハンテイ</t>
    </rPh>
    <rPh sb="6" eb="7">
      <t>ブ</t>
    </rPh>
    <phoneticPr fontId="2"/>
  </si>
  <si>
    <t>日本建築設備</t>
    <rPh sb="0" eb="2">
      <t>ニホン</t>
    </rPh>
    <rPh sb="2" eb="4">
      <t>ケンチク</t>
    </rPh>
    <rPh sb="4" eb="6">
      <t>セツビ</t>
    </rPh>
    <phoneticPr fontId="2"/>
  </si>
  <si>
    <t>昇降機2</t>
  </si>
  <si>
    <t>理事長 杉山　義孝</t>
    <rPh sb="0" eb="3">
      <t>リジチョウ</t>
    </rPh>
    <rPh sb="4" eb="6">
      <t>スギヤマ</t>
    </rPh>
    <rPh sb="7" eb="9">
      <t>ヨシタカ</t>
    </rPh>
    <phoneticPr fontId="2"/>
  </si>
  <si>
    <t>構造適合判定部</t>
  </si>
  <si>
    <t>昇降機</t>
  </si>
  <si>
    <t>理事長 那珂  正</t>
    <rPh sb="0" eb="3">
      <t>リジチョウ</t>
    </rPh>
    <rPh sb="4" eb="6">
      <t>ナカ</t>
    </rPh>
    <rPh sb="8" eb="9">
      <t>タダシ</t>
    </rPh>
    <phoneticPr fontId="2"/>
  </si>
  <si>
    <t>ベターリビング</t>
  </si>
  <si>
    <t>ベターリビ2</t>
  </si>
  <si>
    <t>ﾍﾞﾀｰ</t>
  </si>
  <si>
    <t>常務理事　高田　英生</t>
  </si>
  <si>
    <t>審査本部長　和里　博保</t>
  </si>
  <si>
    <t>住宅金融普及協会</t>
  </si>
  <si>
    <t>HLPA2</t>
  </si>
  <si>
    <t>会長　八野 行正</t>
  </si>
  <si>
    <t>住宅金融</t>
    <rPh sb="0" eb="2">
      <t>ジュウタク</t>
    </rPh>
    <rPh sb="2" eb="4">
      <t>キンユウ</t>
    </rPh>
    <phoneticPr fontId="2"/>
  </si>
  <si>
    <t>理事長 戸田　敬里</t>
  </si>
  <si>
    <t>構造計算適合性判定主務部長</t>
  </si>
  <si>
    <t>東京都防災・建築まちづくりセンター</t>
  </si>
  <si>
    <t>まちづくり2</t>
  </si>
  <si>
    <t>理事長　町田　修二</t>
    <rPh sb="0" eb="3">
      <t>リジチョウ</t>
    </rPh>
    <rPh sb="4" eb="6">
      <t>マチダ</t>
    </rPh>
    <rPh sb="7" eb="9">
      <t>シュウジ</t>
    </rPh>
    <phoneticPr fontId="2"/>
  </si>
  <si>
    <t>東京都防災</t>
    <rPh sb="0" eb="3">
      <t>トウキョウト</t>
    </rPh>
    <rPh sb="3" eb="5">
      <t>ボウサイ</t>
    </rPh>
    <phoneticPr fontId="2"/>
  </si>
  <si>
    <t>会長 花方　威之</t>
  </si>
  <si>
    <t>会長  長田　善樹</t>
  </si>
  <si>
    <t>神奈川県建築安全協会</t>
  </si>
  <si>
    <t>KKAK2</t>
  </si>
  <si>
    <t>安全協会</t>
    <rPh sb="0" eb="2">
      <t>アンゼン</t>
    </rPh>
    <rPh sb="2" eb="4">
      <t>キョウカイ</t>
    </rPh>
    <phoneticPr fontId="2"/>
  </si>
  <si>
    <t>理事長 鳥羽山　伸夫</t>
  </si>
  <si>
    <t>構造判定部長</t>
  </si>
  <si>
    <t>さいたま住宅検査</t>
  </si>
  <si>
    <t>さいたま2</t>
  </si>
  <si>
    <t>理事長 強瀬　良雄</t>
  </si>
  <si>
    <t>住宅検査</t>
    <rPh sb="0" eb="2">
      <t>ジュウタク</t>
    </rPh>
    <rPh sb="2" eb="4">
      <t>ケンサ</t>
    </rPh>
    <phoneticPr fontId="2"/>
  </si>
  <si>
    <t>理事長 成田　武志</t>
    <rPh sb="0" eb="3">
      <t>リジチョウ</t>
    </rPh>
    <rPh sb="4" eb="6">
      <t>ナリタ</t>
    </rPh>
    <rPh sb="7" eb="9">
      <t>タケシ</t>
    </rPh>
    <phoneticPr fontId="2"/>
  </si>
  <si>
    <t>理事長 小髙　俊和</t>
  </si>
  <si>
    <t>千葉県建設技術</t>
  </si>
  <si>
    <t>千葉県建技2</t>
  </si>
  <si>
    <t>理事長 石田　秀司</t>
    <rPh sb="4" eb="6">
      <t>イシダ</t>
    </rPh>
    <rPh sb="7" eb="8">
      <t>ヒデ</t>
    </rPh>
    <rPh sb="8" eb="9">
      <t>ツカサ</t>
    </rPh>
    <phoneticPr fontId="2"/>
  </si>
  <si>
    <t>千葉県建設技術</t>
    <rPh sb="0" eb="3">
      <t>チバケン</t>
    </rPh>
    <rPh sb="3" eb="5">
      <t>ケンセツ</t>
    </rPh>
    <rPh sb="5" eb="7">
      <t>ギジュツ</t>
    </rPh>
    <phoneticPr fontId="2"/>
  </si>
  <si>
    <t>理事長 下原　慶啓</t>
  </si>
  <si>
    <t>理事長　鯉渕　彰</t>
  </si>
  <si>
    <t>代表理事 春田　茂桂</t>
  </si>
  <si>
    <t>構造部長</t>
  </si>
  <si>
    <t>茨城県建築</t>
  </si>
  <si>
    <t>茨城県建築2</t>
  </si>
  <si>
    <t>理事長　野澤　謙次</t>
  </si>
  <si>
    <t>茨城県</t>
    <rPh sb="0" eb="3">
      <t>イバラキケン</t>
    </rPh>
    <phoneticPr fontId="2"/>
  </si>
  <si>
    <t>群馬県知事</t>
    <rPh sb="3" eb="5">
      <t>チジ</t>
    </rPh>
    <phoneticPr fontId="2"/>
  </si>
  <si>
    <t>大澤 正明</t>
  </si>
  <si>
    <t>GUNMA</t>
  </si>
  <si>
    <t>理事長 生田　宮一</t>
  </si>
  <si>
    <t>構造計算適合性判定 ご担当者</t>
  </si>
  <si>
    <t>静岡県建築技術安心支援センター</t>
  </si>
  <si>
    <t>静岡県建技</t>
  </si>
  <si>
    <t>理事長 山崎　善利</t>
  </si>
  <si>
    <t>安心支援</t>
    <rPh sb="0" eb="2">
      <t>アンシン</t>
    </rPh>
    <rPh sb="2" eb="4">
      <t>シエン</t>
    </rPh>
    <phoneticPr fontId="2"/>
  </si>
  <si>
    <t>理事長 稲葉　孝</t>
    <rPh sb="0" eb="3">
      <t>リジチョウ</t>
    </rPh>
    <rPh sb="4" eb="6">
      <t>イナバ</t>
    </rPh>
    <rPh sb="7" eb="8">
      <t>タカシ</t>
    </rPh>
    <phoneticPr fontId="2"/>
  </si>
  <si>
    <t>理事長　立道　幸男</t>
    <phoneticPr fontId="2"/>
  </si>
  <si>
    <t>構造計算適合性判定 ご担当者</t>
    <phoneticPr fontId="2"/>
  </si>
  <si>
    <t>代表取締役社長 加藤　義雄</t>
  </si>
  <si>
    <t>構造判定部長  高橋　克夫</t>
  </si>
  <si>
    <t>ハウスプラス</t>
  </si>
  <si>
    <t>代表取締役社長　栁澤　恒雄</t>
  </si>
  <si>
    <t>ﾊｳｽﾌﾟﾗｽ</t>
  </si>
  <si>
    <t>代表取締役　矢ヶ部　英夫</t>
    <rPh sb="0" eb="2">
      <t>ダイヒョウ</t>
    </rPh>
    <rPh sb="2" eb="5">
      <t>トリシマリヤク</t>
    </rPh>
    <rPh sb="6" eb="9">
      <t>ヤガベ</t>
    </rPh>
    <rPh sb="10" eb="12">
      <t>ヒデオ</t>
    </rPh>
    <phoneticPr fontId="2"/>
  </si>
  <si>
    <t>代表取締役社長　川股　孝志</t>
  </si>
  <si>
    <t>代表取締役 中澤 芳樹</t>
  </si>
  <si>
    <t>日本ＥＲＩ</t>
  </si>
  <si>
    <t>ERI</t>
  </si>
  <si>
    <t>代表取締役社長 小栁  義雄</t>
    <rPh sb="0" eb="2">
      <t>ダイヒョウ</t>
    </rPh>
    <rPh sb="2" eb="5">
      <t>トリシマリヤク</t>
    </rPh>
    <rPh sb="5" eb="7">
      <t>シャチョウ</t>
    </rPh>
    <rPh sb="8" eb="9">
      <t>ショウ</t>
    </rPh>
    <rPh sb="9" eb="10">
      <t>ヤナギ</t>
    </rPh>
    <rPh sb="12" eb="14">
      <t>ヨシオ</t>
    </rPh>
    <phoneticPr fontId="2"/>
  </si>
  <si>
    <t>構造判定事業部</t>
  </si>
  <si>
    <t>都市居住評価</t>
  </si>
  <si>
    <t>都市居住</t>
  </si>
  <si>
    <t>代表取締役副社長　唐澤　徹</t>
  </si>
  <si>
    <t>居住評価</t>
    <rPh sb="0" eb="2">
      <t>キョジュウ</t>
    </rPh>
    <rPh sb="2" eb="4">
      <t>ヒョウカ</t>
    </rPh>
    <phoneticPr fontId="2"/>
  </si>
  <si>
    <t>代表取締役　唐澤　徹</t>
  </si>
  <si>
    <t>代表取締役社長　唐澤　徹</t>
    <rPh sb="5" eb="7">
      <t>シャチョウ</t>
    </rPh>
    <phoneticPr fontId="2"/>
  </si>
  <si>
    <t>代表取締役社長 佐々木  泰介</t>
    <rPh sb="5" eb="7">
      <t>シャチョウ</t>
    </rPh>
    <rPh sb="8" eb="11">
      <t>ササキ</t>
    </rPh>
    <rPh sb="13" eb="15">
      <t>ヤススケ</t>
    </rPh>
    <phoneticPr fontId="2"/>
  </si>
  <si>
    <t>ビューローベリタスジャパン</t>
  </si>
  <si>
    <t>ビューロ</t>
  </si>
  <si>
    <t>ﾋﾞｭｰﾛ</t>
  </si>
  <si>
    <t>建築構造</t>
  </si>
  <si>
    <t>代表取締役 山田　耕藏</t>
  </si>
  <si>
    <t>構造判定部</t>
  </si>
  <si>
    <t>国際確認検査</t>
  </si>
  <si>
    <t>CIAS</t>
  </si>
  <si>
    <t>国際確認</t>
  </si>
  <si>
    <t>代表取締役 藤田　孝行</t>
  </si>
  <si>
    <t>グッド・アイズ建築検査機構</t>
  </si>
  <si>
    <t>GES</t>
  </si>
  <si>
    <t>ｱｲｽﾞ</t>
  </si>
  <si>
    <t>代表取締役社長 早田　平</t>
  </si>
  <si>
    <t>東京建築検査機構</t>
  </si>
  <si>
    <t>東京建築</t>
  </si>
  <si>
    <t>代表取締役社長 小林　勝一</t>
  </si>
  <si>
    <t>検査機構</t>
    <rPh sb="0" eb="2">
      <t>ケンサ</t>
    </rPh>
    <rPh sb="2" eb="4">
      <t>キコウ</t>
    </rPh>
    <phoneticPr fontId="2"/>
  </si>
  <si>
    <t>代表取締役社長 吉川　充</t>
  </si>
  <si>
    <t>構造判定部長  佐野　和彦</t>
  </si>
  <si>
    <t>評価ネット</t>
    <rPh sb="0" eb="2">
      <t>ヒョウカ</t>
    </rPh>
    <phoneticPr fontId="2"/>
  </si>
  <si>
    <t>アウェイ</t>
  </si>
  <si>
    <t>評価ﾈｯﾄ</t>
    <rPh sb="0" eb="2">
      <t>ヒョウカ</t>
    </rPh>
    <phoneticPr fontId="2"/>
  </si>
  <si>
    <t>代表取締役 古田土　勉</t>
  </si>
  <si>
    <t>構造センター　判定業務部長  清水　俊雄</t>
  </si>
  <si>
    <t>神奈川建築確認検査機関</t>
  </si>
  <si>
    <t>KBI</t>
  </si>
  <si>
    <t>代表取締役　齋藤　泰太郎</t>
    <rPh sb="0" eb="2">
      <t>ダイヒョウ</t>
    </rPh>
    <rPh sb="2" eb="5">
      <t>トリシマリヤク</t>
    </rPh>
    <rPh sb="6" eb="8">
      <t>サイトウ</t>
    </rPh>
    <rPh sb="9" eb="10">
      <t>タイ</t>
    </rPh>
    <rPh sb="10" eb="12">
      <t>タロウ</t>
    </rPh>
    <phoneticPr fontId="2"/>
  </si>
  <si>
    <t>確認検査機関</t>
    <rPh sb="0" eb="2">
      <t>カクニン</t>
    </rPh>
    <rPh sb="2" eb="4">
      <t>ケンサ</t>
    </rPh>
    <rPh sb="4" eb="6">
      <t>キカン</t>
    </rPh>
    <phoneticPr fontId="2"/>
  </si>
  <si>
    <t>日本膜構造協会</t>
  </si>
  <si>
    <t>膜構造</t>
  </si>
  <si>
    <t>日本膜構造</t>
  </si>
  <si>
    <t>理事長 山北 康雄</t>
  </si>
  <si>
    <t>愛知県建築住宅</t>
  </si>
  <si>
    <t>愛知県住宅2</t>
  </si>
  <si>
    <t>理事長 勢力 常史</t>
  </si>
  <si>
    <t>建築住宅</t>
    <rPh sb="0" eb="2">
      <t>ケンチク</t>
    </rPh>
    <rPh sb="2" eb="4">
      <t>ジュウタク</t>
    </rPh>
    <phoneticPr fontId="2"/>
  </si>
  <si>
    <t>岐阜県知事</t>
  </si>
  <si>
    <t>古田 肇</t>
    <rPh sb="0" eb="2">
      <t>フルタ</t>
    </rPh>
    <rPh sb="3" eb="4">
      <t>ハジメ</t>
    </rPh>
    <phoneticPr fontId="2"/>
  </si>
  <si>
    <t>岐阜</t>
    <rPh sb="0" eb="2">
      <t>ギフ</t>
    </rPh>
    <phoneticPr fontId="2"/>
  </si>
  <si>
    <t>公益財団法人 日本住宅・木材技術センター</t>
    <rPh sb="0" eb="2">
      <t>コウエキ</t>
    </rPh>
    <phoneticPr fontId="2"/>
  </si>
  <si>
    <t>理事長 岸  純夫</t>
  </si>
  <si>
    <t>木材技術</t>
  </si>
  <si>
    <t>木材</t>
  </si>
  <si>
    <t>理事長  野田素延</t>
  </si>
  <si>
    <t>三重県建設技術</t>
  </si>
  <si>
    <t>理事長 森田　司郎</t>
  </si>
  <si>
    <t>日本建築総合試験所</t>
  </si>
  <si>
    <t>GBRC2</t>
  </si>
  <si>
    <t>総合試験所</t>
    <rPh sb="0" eb="2">
      <t>ソウゴウ</t>
    </rPh>
    <rPh sb="2" eb="4">
      <t>シケン</t>
    </rPh>
    <rPh sb="4" eb="5">
      <t>ジョ</t>
    </rPh>
    <phoneticPr fontId="2"/>
  </si>
  <si>
    <t>理事長 結城  恭昌</t>
  </si>
  <si>
    <t>大阪建築防災センター</t>
    <rPh sb="0" eb="2">
      <t>オオサカ</t>
    </rPh>
    <rPh sb="2" eb="4">
      <t>ケンチク</t>
    </rPh>
    <rPh sb="4" eb="6">
      <t>ボウサイ</t>
    </rPh>
    <phoneticPr fontId="2"/>
  </si>
  <si>
    <t>OKBC2</t>
  </si>
  <si>
    <t>理事長　吉田　敏昭</t>
  </si>
  <si>
    <t>大阪建築</t>
    <rPh sb="0" eb="2">
      <t>オオサカ</t>
    </rPh>
    <rPh sb="2" eb="4">
      <t>ケンチク</t>
    </rPh>
    <phoneticPr fontId="2"/>
  </si>
  <si>
    <t>理事長 荒木　憲昭</t>
  </si>
  <si>
    <t>兵庫県住宅建築総合</t>
  </si>
  <si>
    <t>理事長　依藤　庸正</t>
  </si>
  <si>
    <t>住宅建築総合</t>
    <rPh sb="0" eb="2">
      <t>ジュウタク</t>
    </rPh>
    <rPh sb="2" eb="4">
      <t>ケンチク</t>
    </rPh>
    <rPh sb="4" eb="6">
      <t>ソウゴウ</t>
    </rPh>
    <phoneticPr fontId="2"/>
  </si>
  <si>
    <t>理事長 江守　克彦</t>
  </si>
  <si>
    <t>群馬県建築構造技術センター</t>
  </si>
  <si>
    <t>群馬県建築</t>
  </si>
  <si>
    <t>代表取締役　山﨑　哲</t>
  </si>
  <si>
    <t>日本建築検査</t>
  </si>
  <si>
    <t>建築検査協会</t>
    <rPh sb="4" eb="6">
      <t>キョウカイ</t>
    </rPh>
    <phoneticPr fontId="2"/>
  </si>
  <si>
    <t>JCIA</t>
  </si>
  <si>
    <t>理事長　山岸　善太郎</t>
  </si>
  <si>
    <t>長野県建築住宅センター</t>
  </si>
  <si>
    <t>長野県住宅</t>
  </si>
  <si>
    <t>株式会社 山形県建築サポートセンター</t>
  </si>
  <si>
    <t>山形県建築</t>
  </si>
  <si>
    <t>理事長　照田　繁隆</t>
  </si>
  <si>
    <t>石川県建築</t>
  </si>
  <si>
    <t>理事長 相浦　政士</t>
    <rPh sb="0" eb="3">
      <t>リジチョウ</t>
    </rPh>
    <rPh sb="4" eb="6">
      <t>アイウラ</t>
    </rPh>
    <rPh sb="7" eb="8">
      <t>マサ</t>
    </rPh>
    <rPh sb="8" eb="9">
      <t>シ</t>
    </rPh>
    <phoneticPr fontId="2"/>
  </si>
  <si>
    <t>福岡県建築住宅センター</t>
  </si>
  <si>
    <t>SGSジャパン株式会社</t>
    <rPh sb="7" eb="9">
      <t>カブシキ</t>
    </rPh>
    <rPh sb="9" eb="11">
      <t>カイシャ</t>
    </rPh>
    <phoneticPr fontId="2"/>
  </si>
  <si>
    <t>代表取締役　鈴木　信治</t>
    <rPh sb="0" eb="2">
      <t>ダイヒョウ</t>
    </rPh>
    <rPh sb="2" eb="5">
      <t>トリシマリヤク</t>
    </rPh>
    <rPh sb="6" eb="8">
      <t>スズキ</t>
    </rPh>
    <phoneticPr fontId="2"/>
  </si>
  <si>
    <t>SGSジャパン</t>
    <phoneticPr fontId="2"/>
  </si>
  <si>
    <t>SGS</t>
    <phoneticPr fontId="2"/>
  </si>
  <si>
    <t>PackShinsei を作り直し</t>
    <rPh sb="13" eb="14">
      <t>ツク</t>
    </rPh>
    <rPh sb="15" eb="16">
      <t>ナオ</t>
    </rPh>
    <phoneticPr fontId="2"/>
  </si>
  <si>
    <t>**prule_officeid__01</t>
    <phoneticPr fontId="2"/>
  </si>
  <si>
    <t>東京</t>
    <rPh sb="0" eb="2">
      <t>トウキョウ</t>
    </rPh>
    <phoneticPr fontId="2"/>
  </si>
  <si>
    <t>大阪</t>
    <rPh sb="0" eb="2">
      <t>オオサカ</t>
    </rPh>
    <phoneticPr fontId="2"/>
  </si>
  <si>
    <t>阪神</t>
    <rPh sb="0" eb="2">
      <t>ハンシン</t>
    </rPh>
    <phoneticPr fontId="2"/>
  </si>
  <si>
    <t>九州</t>
    <rPh sb="0" eb="2">
      <t>キュウシュウ</t>
    </rPh>
    <phoneticPr fontId="2"/>
  </si>
  <si>
    <t>東北</t>
    <rPh sb="0" eb="2">
      <t>トウホク</t>
    </rPh>
    <phoneticPr fontId="2"/>
  </si>
  <si>
    <t>**prule_officeid__02</t>
    <phoneticPr fontId="2"/>
  </si>
  <si>
    <t>**prule_officeid__03</t>
    <phoneticPr fontId="2"/>
  </si>
  <si>
    <t>**prule_officeid__04</t>
    <phoneticPr fontId="2"/>
  </si>
  <si>
    <t>**prule_officeid__05</t>
    <phoneticPr fontId="2"/>
  </si>
  <si>
    <t>支店別のpruleに則って、請求書出力を振り分け</t>
    <rPh sb="0" eb="2">
      <t>シテン</t>
    </rPh>
    <rPh sb="2" eb="3">
      <t>ベツ</t>
    </rPh>
    <rPh sb="10" eb="11">
      <t>ノット</t>
    </rPh>
    <rPh sb="14" eb="17">
      <t>セイキュウショ</t>
    </rPh>
    <rPh sb="17" eb="19">
      <t>シュツリョク</t>
    </rPh>
    <rPh sb="20" eb="21">
      <t>フ</t>
    </rPh>
    <rPh sb="22" eb="23">
      <t>ワ</t>
    </rPh>
    <phoneticPr fontId="2"/>
  </si>
  <si>
    <t>大阪市中央区北浜3丁目7番12号</t>
    <phoneticPr fontId="2"/>
  </si>
  <si>
    <t>代表取締役　　山 田  耕 藏</t>
  </si>
  <si>
    <t>交付者に付加する住所</t>
  </si>
  <si>
    <t>交付者に付加する住所</t>
    <rPh sb="0" eb="3">
      <t>コウフシャ</t>
    </rPh>
    <rPh sb="4" eb="6">
      <t>フカ</t>
    </rPh>
    <rPh sb="8" eb="10">
      <t>ジュウショ</t>
    </rPh>
    <phoneticPr fontId="2"/>
  </si>
  <si>
    <t>don_OFFICE_cst_ADDRESS__hikiuke_date</t>
  </si>
  <si>
    <t>don_OFFICE_cst_ADDRESS__issue_date</t>
  </si>
  <si>
    <t>don_OFFICE_cst_ADDRESS__notify_date</t>
  </si>
  <si>
    <t>don_OFFICE_cst_ADDRESS__hikiuke_tuuti_date</t>
  </si>
  <si>
    <t>don_OFFICE_cst_ADDRESS__report_date</t>
  </si>
  <si>
    <t>don_OFFICE_cst_ADDRESS__provo_date</t>
  </si>
  <si>
    <t>don_OFFICE_cst_ADDRESS__fire_submit_date</t>
  </si>
  <si>
    <t>don_OFFICE_cst_ADDRESS__fire_notify_date</t>
  </si>
  <si>
    <t>don_OFFICE_cst_ADDRESS__health_notify_date</t>
  </si>
  <si>
    <t>don_OFFICE_cst_ADDRESS__str_prove_notify_date</t>
  </si>
  <si>
    <t>don_OFFICE_cst_ADDRESS__str_irai_date</t>
  </si>
  <si>
    <t>don_OFFICE_cst_ADDRESS__str_encyou_tuuti_date</t>
  </si>
  <si>
    <t>don_OFFICE_cst_ADDRESS__income_date</t>
  </si>
  <si>
    <t>don_OFFICE_cst_ADDRESS__charge_base_date</t>
  </si>
  <si>
    <t>cst_shinsei_strtower28_PROG_NINTEI_DATE_SP</t>
    <phoneticPr fontId="2"/>
  </si>
  <si>
    <t>cst_shinsei_strtower28_PROG_MAKER__NINTEI_no_SP</t>
    <phoneticPr fontId="2"/>
  </si>
  <si>
    <t>cst_shinsei_strtower28_PROG_NAME_VER__NINTEI_non_SP</t>
    <phoneticPr fontId="2"/>
  </si>
  <si>
    <t>**shinsei_strtower28_DISK_FLAG</t>
  </si>
  <si>
    <t>cst_shinsei_strtower28_DISK_FLAG</t>
    <phoneticPr fontId="2"/>
  </si>
  <si>
    <t>**shinsei_strtower28_CHARGE</t>
  </si>
  <si>
    <t>cst_shinsei_strtower28_CHARGE</t>
    <phoneticPr fontId="2"/>
  </si>
  <si>
    <t>cst_shinsei_strtower28_CHARGE__dsp</t>
    <phoneticPr fontId="2"/>
  </si>
  <si>
    <t>**shinsei_strtower28_CHARGE_WARIMASHI</t>
  </si>
  <si>
    <t>cst_shinsei_strtower28_CHARGE_WARIMASHI</t>
    <phoneticPr fontId="2"/>
  </si>
  <si>
    <t>**shinsei_strtower28_CHARGE_TOTAL</t>
  </si>
  <si>
    <t>cst_shinsei_strtower28_CHARGE_TOTAL</t>
    <phoneticPr fontId="2"/>
  </si>
  <si>
    <t>**shinsei_strtower28_CHARGE_KEISAN_NOTE</t>
  </si>
  <si>
    <t>cst_shinsei_strtower28_CHARGE_KEISAN_NOTE</t>
    <phoneticPr fontId="2"/>
  </si>
  <si>
    <t>cst_shinsei_strtower28_CHARGE_KEISAN_NOTE__alter</t>
    <phoneticPr fontId="2"/>
  </si>
  <si>
    <t>**shinsei_strtower28_KEISAN_X_ROUTE</t>
  </si>
  <si>
    <t>cst_shinsei_strtower28_KEISAN_X_ROUTE</t>
    <phoneticPr fontId="2"/>
  </si>
  <si>
    <t>**shinsei_strtower28_KEISAN_Y_ROUTE</t>
  </si>
  <si>
    <t>cst_shinsei_strtower28_KEISAN_Y_ROUTE</t>
    <phoneticPr fontId="2"/>
  </si>
  <si>
    <t>cst_shinsei_strtower28_XY_select</t>
    <phoneticPr fontId="2"/>
  </si>
  <si>
    <t>**shinsei_strtower28_PROGRAM_KIND_SONOTA</t>
  </si>
  <si>
    <t>cst_shinsei_strtower28_PROGRAM_KIND_SONOTA</t>
    <phoneticPr fontId="2"/>
  </si>
  <si>
    <t>**shinsei_strtower29_TOWER_NO</t>
  </si>
  <si>
    <t>cst_shinsei_strtower29_TOWER_NO</t>
    <phoneticPr fontId="2"/>
  </si>
  <si>
    <t>text</t>
    <phoneticPr fontId="2"/>
  </si>
  <si>
    <t>**shinsei_strtower29_STR_TOWER_NO</t>
  </si>
  <si>
    <t>cst_shinsei_strtower29_STR_TOWER_NO</t>
    <phoneticPr fontId="2"/>
  </si>
  <si>
    <t>cst_shinsei_strtower29__TOWER_NO_STR_TOWER_NO</t>
    <phoneticPr fontId="2"/>
  </si>
  <si>
    <t>cst_shinsei_strtower29__TOWER_NO_STR_TOWERS</t>
    <phoneticPr fontId="2"/>
  </si>
  <si>
    <t>棟別情報の構造棟名称</t>
    <phoneticPr fontId="2"/>
  </si>
  <si>
    <t>**shinsei_strtower29_STR_TOWER_NAME</t>
  </si>
  <si>
    <t>cst_shinsei_strtower29_STR_TOWER_NAME</t>
    <phoneticPr fontId="2"/>
  </si>
  <si>
    <t>構造判定（判定が必要なもの）</t>
    <phoneticPr fontId="2"/>
  </si>
  <si>
    <t>**shinsei_strtower29_JUDGE</t>
  </si>
  <si>
    <t>cst_shinsei_strtower29_JUDGE</t>
    <phoneticPr fontId="2"/>
  </si>
  <si>
    <t>1：有, 0：無</t>
    <phoneticPr fontId="2"/>
  </si>
  <si>
    <t>**shinsei_strtower29_STR_TOWER_YOUTO_TEXT</t>
  </si>
  <si>
    <t>cst_shinsei_strtower29_STR_TOWER_YOUTO_TEXT</t>
    <phoneticPr fontId="2"/>
  </si>
  <si>
    <t>**shinsei_strtower29_KOUJI_TEXT</t>
  </si>
  <si>
    <t>cst_shinsei_strtower29_KOUJI_TEXT</t>
    <phoneticPr fontId="2"/>
  </si>
  <si>
    <t>構造</t>
    <phoneticPr fontId="2"/>
  </si>
  <si>
    <t>**shinsei_strtower29_KOUZOU</t>
  </si>
  <si>
    <t>cst_shinsei_strtower29_KOUZOU</t>
    <phoneticPr fontId="2"/>
  </si>
  <si>
    <t>**shinsei_strtower29_KOUZOU_TEXT</t>
  </si>
  <si>
    <t>cst_shinsei_strtower29_KOUZOU_TEXT</t>
    <phoneticPr fontId="2"/>
  </si>
  <si>
    <t>**shinsei_strtower29_KOUZOU_KEISAN</t>
  </si>
  <si>
    <t>cst_shinsei_strtower29_KOUZOU_KEISAN</t>
    <phoneticPr fontId="2"/>
  </si>
  <si>
    <t>**shinsei_strtower29_KOUZOU_KEISAN_TEXT</t>
  </si>
  <si>
    <t>cst_shinsei_strtower29_KOUZOU_KEISAN_TEXT</t>
    <phoneticPr fontId="2"/>
  </si>
  <si>
    <t>延床面積</t>
    <phoneticPr fontId="2"/>
  </si>
  <si>
    <t>**shinsei_strtower29_MENSEKI</t>
  </si>
  <si>
    <t>cst_shinsei_strtower29_MENSEKI</t>
    <phoneticPr fontId="2"/>
  </si>
  <si>
    <t>cst_shinsei_strtower29_MENSEKI__dsp</t>
    <phoneticPr fontId="2"/>
  </si>
  <si>
    <t>**shinsei_strtower29_MAX_TAKASA</t>
  </si>
  <si>
    <t>cst_shinsei_strtower29_MAX_TAKASA</t>
    <phoneticPr fontId="2"/>
  </si>
  <si>
    <t>**shinsei_strtower29_MAX_NOKI_TAKASA</t>
  </si>
  <si>
    <t>cst_shinsei_strtower29_MAX_NOKI_TAKASA</t>
    <phoneticPr fontId="2"/>
  </si>
  <si>
    <t>**shinsei_strtower29_KAISU_TIJYOU</t>
  </si>
  <si>
    <t>cst_shinsei_strtower29_KAISU_TIJYOU</t>
    <phoneticPr fontId="2"/>
  </si>
  <si>
    <t xml:space="preserve">#,##0_ </t>
    <phoneticPr fontId="2"/>
  </si>
  <si>
    <t>**shinsei_strtower29_KAISU_TIKA</t>
  </si>
  <si>
    <t>cst_shinsei_strtower29_KAISU_TIKA</t>
    <phoneticPr fontId="2"/>
  </si>
  <si>
    <t>**shinsei_strtower29_KAISU_TOUYA</t>
  </si>
  <si>
    <t>cst_shinsei_strtower29_KAISU_TOUYA</t>
    <phoneticPr fontId="2"/>
  </si>
  <si>
    <t>**shinsei_strtower29_BUILD_KUBUN</t>
  </si>
  <si>
    <t>cst_shinsei_strtower29_BUILD_KUBUN</t>
    <phoneticPr fontId="2"/>
  </si>
  <si>
    <t>**shinsei_strtower29_BUILD_KUBUN_TEXT</t>
  </si>
  <si>
    <t>cst_shinsei_strtower29_BUILD_KUBUN_TEXT</t>
    <phoneticPr fontId="2"/>
  </si>
  <si>
    <t>cst_shinsei_strtower29_HOU20_2_select</t>
    <phoneticPr fontId="2"/>
  </si>
  <si>
    <t>cst_shinsei_strtower29_HOU20_3_select</t>
    <phoneticPr fontId="2"/>
  </si>
  <si>
    <t>構造計算免除の規定</t>
    <phoneticPr fontId="2"/>
  </si>
  <si>
    <t>**shinsei_strtower29_MENJYO_TEXT</t>
  </si>
  <si>
    <t>cst_shinsei_strtower29_MENJYO</t>
    <phoneticPr fontId="2"/>
  </si>
  <si>
    <t>**shinsei_strtower29_PROGRAM_KIND</t>
  </si>
  <si>
    <t>cst_shinsei_strtower29_PROGRAM_KIND</t>
    <phoneticPr fontId="2"/>
  </si>
  <si>
    <t>**shinsei_strtower29_REI80_2_KOKUJI_TEXT</t>
  </si>
  <si>
    <t>cst_shinsei_strtower29_REI80_2_KOKUJI</t>
    <phoneticPr fontId="2"/>
  </si>
  <si>
    <t>**shinsei_strtower29_PROGRAM_KIND__nintei__box</t>
  </si>
  <si>
    <t>cst_shinsei_strtower29_NINTEI</t>
    <phoneticPr fontId="2"/>
  </si>
  <si>
    <t>**shinsei_strtower29_PROGRAM_KIND__hyouka__box</t>
  </si>
  <si>
    <t>**shinsei_strtower29_PROGRAM_KIND__sonota__box</t>
  </si>
  <si>
    <t>プログラム01</t>
    <phoneticPr fontId="2"/>
  </si>
  <si>
    <t>プログラム名01</t>
    <rPh sb="5" eb="6">
      <t>メイ</t>
    </rPh>
    <phoneticPr fontId="2"/>
  </si>
  <si>
    <t>**shinsei_strtower29_prgo01_NAME</t>
  </si>
  <si>
    <t xml:space="preserve"> - バージョン</t>
    <phoneticPr fontId="2"/>
  </si>
  <si>
    <t>**shinsei_strtower29_prgo01_VER</t>
  </si>
  <si>
    <t>cst_shinsei_strtower29_prgo01_NINTEI__umu</t>
    <phoneticPr fontId="2"/>
  </si>
  <si>
    <t>**shinsei_strtower29_prgo01_NINTEI_NO</t>
  </si>
  <si>
    <t>cst_shinsei_strtower29_prgo01_NINTEI_NO</t>
    <phoneticPr fontId="2"/>
  </si>
  <si>
    <t>text</t>
    <phoneticPr fontId="2"/>
  </si>
  <si>
    <t>**shinsei_strtower29_prgo01_NINTEI_DATE</t>
  </si>
  <si>
    <t>cst_shinsei_strtower29_prgo01_NINTEI_DATE_dsp</t>
    <phoneticPr fontId="2"/>
  </si>
  <si>
    <t xml:space="preserve"> - メーカー</t>
    <phoneticPr fontId="2"/>
  </si>
  <si>
    <t>**shinsei_strtower29_prgo01_MAKER_NAME</t>
  </si>
  <si>
    <t>cst_shinsei_strtower29_prgo01_NAME_VER</t>
    <phoneticPr fontId="2"/>
  </si>
  <si>
    <t>cst_shinsei_strtower29_prgo01_NAME_VER__SP</t>
    <phoneticPr fontId="2"/>
  </si>
  <si>
    <t xml:space="preserve"> - メーカー(SP)</t>
    <phoneticPr fontId="2"/>
  </si>
  <si>
    <t>cst_shinsei_strtower29_prgo01_MAKER__NINTEI_ari</t>
    <phoneticPr fontId="2"/>
  </si>
  <si>
    <t>cst_shinsei_strtower29_prgo01_NAME_VER__NINTEI_ari</t>
    <phoneticPr fontId="2"/>
  </si>
  <si>
    <t>cst_shinsei_strtower29_prgo01_MAKER__NINTEI_non</t>
    <phoneticPr fontId="2"/>
  </si>
  <si>
    <t>cst_shinsei_strtower29_prgo01_NAME_VER__NINTEI_non</t>
    <phoneticPr fontId="2"/>
  </si>
  <si>
    <t>プログラム02</t>
    <phoneticPr fontId="2"/>
  </si>
  <si>
    <t>プログラム名02</t>
    <rPh sb="5" eb="6">
      <t>メイ</t>
    </rPh>
    <phoneticPr fontId="2"/>
  </si>
  <si>
    <t>**shinsei_strtower29_prgo02_NAME</t>
  </si>
  <si>
    <t>**shinsei_strtower29_prgo02_VER</t>
  </si>
  <si>
    <t>cst_shinsei_strtower29_prgo02_NINTEI__umu</t>
    <phoneticPr fontId="2"/>
  </si>
  <si>
    <t>**shinsei_strtower29_prgo02_NINTEI_NO</t>
  </si>
  <si>
    <t>**shinsei_strtower29_prgo02_NINTEI_DATE</t>
  </si>
  <si>
    <t>cst_shinsei_strtower29_prgo02_NINTEI_DATE_dsp</t>
    <phoneticPr fontId="2"/>
  </si>
  <si>
    <t>**shinsei_strtower29_prgo02_MAKER_NAME</t>
  </si>
  <si>
    <t>cst_shinsei_strtower29_prgo02_NAME_VER</t>
    <phoneticPr fontId="2"/>
  </si>
  <si>
    <t>cst_shinsei_strtower29_prgo02_NAME_VER__SP</t>
    <phoneticPr fontId="2"/>
  </si>
  <si>
    <t>cst_shinsei_strtower29_prgo02_MAKER__NINTEI_ari</t>
    <phoneticPr fontId="2"/>
  </si>
  <si>
    <t>cst_shinsei_strtower29_prgo02_NAME_VER__NINTEI_ari</t>
    <phoneticPr fontId="2"/>
  </si>
  <si>
    <t>cst_shinsei_strtower29_prgo02_MAKER__NINTEI_non</t>
    <phoneticPr fontId="2"/>
  </si>
  <si>
    <t>cst_shinsei_strtower29_prgo02_NAME_VER__NINTEI_non</t>
    <phoneticPr fontId="2"/>
  </si>
  <si>
    <t>プログラム03</t>
    <phoneticPr fontId="2"/>
  </si>
  <si>
    <t>プログラム名03</t>
    <rPh sb="5" eb="6">
      <t>メイ</t>
    </rPh>
    <phoneticPr fontId="2"/>
  </si>
  <si>
    <t>**shinsei_strtower29_prgo03_NAME</t>
  </si>
  <si>
    <t>**shinsei_strtower29_prgo03_VER</t>
  </si>
  <si>
    <t>cst_shinsei_strtower29_prgo03_NINTEI__umu</t>
    <phoneticPr fontId="2"/>
  </si>
  <si>
    <t>**shinsei_strtower29_prgo03_NINTEI_NO</t>
  </si>
  <si>
    <t>**shinsei_strtower29_prgo03_NINTEI_DATE</t>
  </si>
  <si>
    <t>cst_shinsei_strtower29_prgo03_NINTEI_DATE_dsp</t>
    <phoneticPr fontId="2"/>
  </si>
  <si>
    <t>**shinsei_strtower29_prgo03_MAKER_NAME</t>
  </si>
  <si>
    <t>cst_shinsei_strtower29_prgo03_NAME_VER</t>
    <phoneticPr fontId="2"/>
  </si>
  <si>
    <t>cst_shinsei_strtower29_prgo03_NAME_VER__SP</t>
    <phoneticPr fontId="2"/>
  </si>
  <si>
    <t>cst_shinsei_strtower29_prgo03_MAKER__NINTEI_ari</t>
    <phoneticPr fontId="2"/>
  </si>
  <si>
    <t>cst_shinsei_strtower29_prgo03_NAME_VER__NINTEI_ari</t>
    <phoneticPr fontId="2"/>
  </si>
  <si>
    <t>cst_shinsei_strtower29_prgo03_MAKER__NINTEI_non</t>
    <phoneticPr fontId="2"/>
  </si>
  <si>
    <t>cst_shinsei_strtower29_prgo03_NAME_VER__NINTEI_non</t>
    <phoneticPr fontId="2"/>
  </si>
  <si>
    <t>プログラム04</t>
    <phoneticPr fontId="2"/>
  </si>
  <si>
    <t>プログラム名04</t>
    <rPh sb="5" eb="6">
      <t>メイ</t>
    </rPh>
    <phoneticPr fontId="2"/>
  </si>
  <si>
    <t>**shinsei_strtower29_prgo04_NAME</t>
  </si>
  <si>
    <t>**shinsei_strtower29_prgo04_VER</t>
  </si>
  <si>
    <t>cst_shinsei_strtower29_prgo04_NINTEI__umu</t>
    <phoneticPr fontId="2"/>
  </si>
  <si>
    <t>**shinsei_strtower29_prgo04_NINTEI_NO</t>
  </si>
  <si>
    <t>text</t>
    <phoneticPr fontId="2"/>
  </si>
  <si>
    <t>**shinsei_strtower29_prgo04_NINTEI_DATE</t>
  </si>
  <si>
    <t>cst_shinsei_strtower29_prgo04_NINTEI_DATE_dsp</t>
    <phoneticPr fontId="2"/>
  </si>
  <si>
    <t xml:space="preserve"> - メーカー</t>
    <phoneticPr fontId="2"/>
  </si>
  <si>
    <t>**shinsei_strtower29_prgo04_MAKER_NAME</t>
  </si>
  <si>
    <t>cst_shinsei_strtower29_prgo04_NAME_VER</t>
    <phoneticPr fontId="2"/>
  </si>
  <si>
    <t>cst_shinsei_strtower29_prgo04_NAME_VER__SP</t>
    <phoneticPr fontId="2"/>
  </si>
  <si>
    <t xml:space="preserve"> - メーカー(SP)</t>
    <phoneticPr fontId="2"/>
  </si>
  <si>
    <t>cst_shinsei_strtower29_prgo04_MAKER__NINTEI_ari</t>
    <phoneticPr fontId="2"/>
  </si>
  <si>
    <t>cst_shinsei_strtower29_prgo04_NAME_VER__NINTEI_ari</t>
    <phoneticPr fontId="2"/>
  </si>
  <si>
    <t>cst_shinsei_strtower29_prgo04_MAKER__NINTEI_non</t>
    <phoneticPr fontId="2"/>
  </si>
  <si>
    <t>cst_shinsei_strtower29_prgo04_NAME_VER__NINTEI_non</t>
    <phoneticPr fontId="2"/>
  </si>
  <si>
    <t>プログラム05</t>
    <phoneticPr fontId="2"/>
  </si>
  <si>
    <t>プログラム名05</t>
    <rPh sb="5" eb="6">
      <t>メイ</t>
    </rPh>
    <phoneticPr fontId="2"/>
  </si>
  <si>
    <t>**shinsei_strtower29_prgo05_NAME</t>
  </si>
  <si>
    <t xml:space="preserve"> - バージョン</t>
    <phoneticPr fontId="2"/>
  </si>
  <si>
    <t>**shinsei_strtower29_prgo05_VER</t>
  </si>
  <si>
    <t>cst_shinsei_strtower29_prgo05_NINTEI__umu</t>
    <phoneticPr fontId="2"/>
  </si>
  <si>
    <t>**shinsei_strtower29_prgo05_NINTEI_NO</t>
  </si>
  <si>
    <t>**shinsei_strtower29_prgo05_NINTEI_DATE</t>
  </si>
  <si>
    <t>cst_shinsei_strtower29_prgo05_NINTEI_DATE_dsp</t>
    <phoneticPr fontId="2"/>
  </si>
  <si>
    <t>**shinsei_strtower29_prgo05_MAKER_NAME</t>
  </si>
  <si>
    <t>cst_shinsei_strtower29_prgo05_NAME_VER</t>
    <phoneticPr fontId="2"/>
  </si>
  <si>
    <t>cst_shinsei_strtower29_prgo05_NAME_VER__SP</t>
    <phoneticPr fontId="2"/>
  </si>
  <si>
    <t>cst_shinsei_strtower29_prgo05_MAKER__NINTEI_ari</t>
    <phoneticPr fontId="2"/>
  </si>
  <si>
    <t>cst_shinsei_strtower29_prgo05_NAME_VER__NINTEI_ari</t>
    <phoneticPr fontId="2"/>
  </si>
  <si>
    <t>cst_shinsei_strtower29_prgo05_MAKER__NINTEI_non</t>
    <phoneticPr fontId="2"/>
  </si>
  <si>
    <t>cst_shinsei_strtower29_prgo05_NAME_VER__NINTEI_non</t>
    <phoneticPr fontId="2"/>
  </si>
  <si>
    <t>プログラム</t>
    <phoneticPr fontId="2"/>
  </si>
  <si>
    <t>cst_shinsei_strtower29_PROG_NAME_VER__CHAR</t>
    <phoneticPr fontId="2"/>
  </si>
  <si>
    <t>cst_shinsei_strtower29_PROG_NAME_VER__CHAR__SP</t>
    <phoneticPr fontId="2"/>
  </si>
  <si>
    <t>cst_shinsei_strtower29_PROG_MAKER__NINTEI_ari_SP</t>
    <phoneticPr fontId="2"/>
  </si>
  <si>
    <t>cst_shinsei_strtower29_PROG_NAME_VER__NINTEI_ari_SP</t>
    <phoneticPr fontId="2"/>
  </si>
  <si>
    <t>cst_shinsei_strtower29_PROG_NINTEI_DATE_SP</t>
    <phoneticPr fontId="2"/>
  </si>
  <si>
    <t>cst_shinsei_strtower29_PROG_MAKER__NINTEI_no_SP</t>
    <phoneticPr fontId="2"/>
  </si>
  <si>
    <t>cst_shinsei_strtower29_PROG_NAME_VER__NINTEI_non_SP</t>
    <phoneticPr fontId="2"/>
  </si>
  <si>
    <t>**shinsei_strtower29_DISK_FLAG</t>
  </si>
  <si>
    <t>cst_shinsei_strtower29_DISK_FLAG</t>
    <phoneticPr fontId="2"/>
  </si>
  <si>
    <t>**shinsei_strtower29_CHARGE</t>
  </si>
  <si>
    <t>cst_shinsei_strtower29_CHARGE</t>
    <phoneticPr fontId="2"/>
  </si>
  <si>
    <t>cst_shinsei_strtower29_CHARGE__dsp</t>
    <phoneticPr fontId="2"/>
  </si>
  <si>
    <t>**shinsei_strtower29_CHARGE_WARIMASHI</t>
  </si>
  <si>
    <t>cst_shinsei_strtower29_CHARGE_WARIMASHI</t>
    <phoneticPr fontId="2"/>
  </si>
  <si>
    <t>**shinsei_strtower29_CHARGE_TOTAL</t>
  </si>
  <si>
    <t>cst_shinsei_strtower29_CHARGE_TOTAL</t>
    <phoneticPr fontId="2"/>
  </si>
  <si>
    <t>**shinsei_strtower29_CHARGE_KEISAN_NOTE</t>
  </si>
  <si>
    <t>cst_shinsei_strtower29_CHARGE_KEISAN_NOTE</t>
    <phoneticPr fontId="2"/>
  </si>
  <si>
    <t>cst_shinsei_strtower29_CHARGE_KEISAN_NOTE__alter</t>
    <phoneticPr fontId="2"/>
  </si>
  <si>
    <t>**shinsei_strtower29_KEISAN_X_ROUTE</t>
  </si>
  <si>
    <t>cst_shinsei_strtower29_KEISAN_X_ROUTE</t>
    <phoneticPr fontId="2"/>
  </si>
  <si>
    <t>**shinsei_strtower29_KEISAN_Y_ROUTE</t>
  </si>
  <si>
    <t>cst_shinsei_strtower29_KEISAN_Y_ROUTE</t>
    <phoneticPr fontId="2"/>
  </si>
  <si>
    <t>cst_shinsei_strtower29_XY_select</t>
    <phoneticPr fontId="2"/>
  </si>
  <si>
    <t>**shinsei_strtower29_PROGRAM_KIND_SONOTA</t>
  </si>
  <si>
    <t>cst_shinsei_strtower29_PROGRAM_KIND_SONOTA</t>
    <phoneticPr fontId="2"/>
  </si>
  <si>
    <t>**shinsei_strtower30_TOWER_NO</t>
  </si>
  <si>
    <t>cst_shinsei_strtower30_TOWER_NO</t>
    <phoneticPr fontId="2"/>
  </si>
  <si>
    <t>**shinsei_strtower30_STR_TOWER_NO</t>
  </si>
  <si>
    <t>cst_shinsei_strtower30_STR_TOWER_NO</t>
    <phoneticPr fontId="2"/>
  </si>
  <si>
    <t>cst_shinsei_strtower30__TOWER_NO_STR_TOWER_NO</t>
    <phoneticPr fontId="2"/>
  </si>
  <si>
    <t>cst_shinsei_strtower30__TOWER_NO_STR_TOWERS</t>
    <phoneticPr fontId="2"/>
  </si>
  <si>
    <t>棟別情報の構造棟名称</t>
    <phoneticPr fontId="2"/>
  </si>
  <si>
    <t>**shinsei_strtower30_STR_TOWER_NAME</t>
  </si>
  <si>
    <t>cst_shinsei_strtower30_STR_TOWER_NAME</t>
    <phoneticPr fontId="2"/>
  </si>
  <si>
    <t>構造判定（判定が必要なもの）</t>
    <phoneticPr fontId="2"/>
  </si>
  <si>
    <t>**shinsei_strtower30_JUDGE</t>
  </si>
  <si>
    <t>cst_shinsei_strtower30_JUDGE</t>
    <phoneticPr fontId="2"/>
  </si>
  <si>
    <t>1：有, 0：無</t>
    <phoneticPr fontId="2"/>
  </si>
  <si>
    <t>**shinsei_strtower30_STR_TOWER_YOUTO_TEXT</t>
  </si>
  <si>
    <t>cst_shinsei_strtower30_STR_TOWER_YOUTO_TEXT</t>
    <phoneticPr fontId="2"/>
  </si>
  <si>
    <t>text</t>
    <phoneticPr fontId="2"/>
  </si>
  <si>
    <t>**shinsei_strtower30_KOUJI_TEXT</t>
  </si>
  <si>
    <t>cst_shinsei_strtower30_KOUJI_TEXT</t>
    <phoneticPr fontId="2"/>
  </si>
  <si>
    <t>構造</t>
    <phoneticPr fontId="2"/>
  </si>
  <si>
    <t>**shinsei_strtower30_KOUZOU</t>
  </si>
  <si>
    <t>cst_shinsei_strtower30_KOUZOU</t>
    <phoneticPr fontId="2"/>
  </si>
  <si>
    <t>**shinsei_strtower30_KOUZOU_TEXT</t>
  </si>
  <si>
    <t>cst_shinsei_strtower30_KOUZOU_TEXT</t>
    <phoneticPr fontId="2"/>
  </si>
  <si>
    <t>**shinsei_strtower30_KOUZOU_KEISAN</t>
  </si>
  <si>
    <t>cst_shinsei_strtower30_KOUZOU_KEISAN</t>
    <phoneticPr fontId="2"/>
  </si>
  <si>
    <t>**shinsei_strtower30_KOUZOU_KEISAN_TEXT</t>
  </si>
  <si>
    <t>cst_shinsei_strtower30_KOUZOU_KEISAN_TEXT</t>
    <phoneticPr fontId="2"/>
  </si>
  <si>
    <t>延床面積</t>
    <phoneticPr fontId="2"/>
  </si>
  <si>
    <t>**shinsei_strtower30_MENSEKI</t>
  </si>
  <si>
    <t>cst_shinsei_strtower30_MENSEKI</t>
    <phoneticPr fontId="2"/>
  </si>
  <si>
    <t>cst_shinsei_strtower30_MENSEKI__dsp</t>
    <phoneticPr fontId="2"/>
  </si>
  <si>
    <t>**shinsei_strtower30_MAX_TAKASA</t>
  </si>
  <si>
    <t>cst_shinsei_strtower30_MAX_TAKASA</t>
    <phoneticPr fontId="2"/>
  </si>
  <si>
    <t>**shinsei_strtower30_MAX_NOKI_TAKASA</t>
  </si>
  <si>
    <t>cst_shinsei_strtower30_MAX_NOKI_TAKASA</t>
    <phoneticPr fontId="2"/>
  </si>
  <si>
    <t>**shinsei_strtower30_KAISU_TIJYOU</t>
  </si>
  <si>
    <t>cst_shinsei_strtower30_KAISU_TIJYOU</t>
    <phoneticPr fontId="2"/>
  </si>
  <si>
    <t xml:space="preserve">#,##0_ </t>
    <phoneticPr fontId="2"/>
  </si>
  <si>
    <t>**shinsei_strtower30_KAISU_TIKA</t>
  </si>
  <si>
    <t>cst_shinsei_strtower30_KAISU_TIKA</t>
    <phoneticPr fontId="2"/>
  </si>
  <si>
    <t>**shinsei_strtower30_KAISU_TOUYA</t>
  </si>
  <si>
    <t>cst_shinsei_strtower30_KAISU_TOUYA</t>
    <phoneticPr fontId="2"/>
  </si>
  <si>
    <t>**shinsei_strtower30_BUILD_KUBUN</t>
  </si>
  <si>
    <t>cst_shinsei_strtower30_BUILD_KUBUN</t>
    <phoneticPr fontId="2"/>
  </si>
  <si>
    <t>**shinsei_strtower30_BUILD_KUBUN_TEXT</t>
  </si>
  <si>
    <t>cst_shinsei_strtower30_BUILD_KUBUN_TEXT</t>
    <phoneticPr fontId="2"/>
  </si>
  <si>
    <t>cst_shinsei_strtower30_HOU20_2_select</t>
    <phoneticPr fontId="2"/>
  </si>
  <si>
    <t>cst_shinsei_strtower30_HOU20_3_select</t>
    <phoneticPr fontId="2"/>
  </si>
  <si>
    <t>構造計算免除の規定</t>
    <phoneticPr fontId="2"/>
  </si>
  <si>
    <t>**shinsei_strtower30_MENJYO_TEXT</t>
  </si>
  <si>
    <t>cst_shinsei_strtower30_MENJYO</t>
    <phoneticPr fontId="2"/>
  </si>
  <si>
    <t>**shinsei_strtower30_PROGRAM_KIND</t>
  </si>
  <si>
    <t>cst_shinsei_strtower30_PROGRAM_KIND</t>
    <phoneticPr fontId="2"/>
  </si>
  <si>
    <t>**shinsei_strtower30_REI80_2_KOKUJI_TEXT</t>
  </si>
  <si>
    <t>cst_shinsei_strtower30_REI80_2_KOKUJI</t>
    <phoneticPr fontId="2"/>
  </si>
  <si>
    <t>**shinsei_strtower30_PROGRAM_KIND__nintei__box</t>
  </si>
  <si>
    <t>cst_shinsei_strtower30_NINTEI</t>
    <phoneticPr fontId="2"/>
  </si>
  <si>
    <t>**shinsei_strtower30_PROGRAM_KIND__hyouka__box</t>
  </si>
  <si>
    <t>**shinsei_strtower30_PROGRAM_KIND__sonota__box</t>
  </si>
  <si>
    <t>**shinsei_strtower30_prgo01_NAME</t>
  </si>
  <si>
    <t>**shinsei_strtower30_prgo01_VER</t>
  </si>
  <si>
    <t>cst_shinsei_strtower30_prgo01_NINTEI__umu</t>
    <phoneticPr fontId="2"/>
  </si>
  <si>
    <t>**shinsei_strtower30_prgo01_NINTEI_NO</t>
  </si>
  <si>
    <t>cst_shinsei_strtower30_prgo01_NINTEI_NO</t>
    <phoneticPr fontId="2"/>
  </si>
  <si>
    <t>**shinsei_strtower30_prgo01_NINTEI_DATE</t>
  </si>
  <si>
    <t>cst_shinsei_strtower30_prgo01_NINTEI_DATE_dsp</t>
    <phoneticPr fontId="2"/>
  </si>
  <si>
    <t xml:space="preserve"> - メーカー</t>
    <phoneticPr fontId="2"/>
  </si>
  <si>
    <t>**shinsei_strtower30_prgo01_MAKER_NAME</t>
  </si>
  <si>
    <t>cst_shinsei_strtower30_prgo01_NAME_VER</t>
    <phoneticPr fontId="2"/>
  </si>
  <si>
    <t>cst_shinsei_strtower30_prgo01_NAME_VER__SP</t>
    <phoneticPr fontId="2"/>
  </si>
  <si>
    <t xml:space="preserve"> - メーカー(SP)</t>
    <phoneticPr fontId="2"/>
  </si>
  <si>
    <t>cst_shinsei_strtower30_prgo01_MAKER__NINTEI_ari</t>
    <phoneticPr fontId="2"/>
  </si>
  <si>
    <t>cst_shinsei_strtower30_prgo01_NAME_VER__NINTEI_ari</t>
    <phoneticPr fontId="2"/>
  </si>
  <si>
    <t>cst_shinsei_strtower30_prgo01_MAKER__NINTEI_non</t>
    <phoneticPr fontId="2"/>
  </si>
  <si>
    <t>cst_shinsei_strtower30_prgo01_NAME_VER__NINTEI_non</t>
    <phoneticPr fontId="2"/>
  </si>
  <si>
    <t>プログラム02</t>
    <phoneticPr fontId="2"/>
  </si>
  <si>
    <t>**shinsei_strtower30_prgo02_NAME</t>
  </si>
  <si>
    <t xml:space="preserve"> - バージョン</t>
    <phoneticPr fontId="2"/>
  </si>
  <si>
    <t>**shinsei_strtower30_prgo02_VER</t>
  </si>
  <si>
    <t>cst_shinsei_strtower30_prgo02_NINTEI__umu</t>
    <phoneticPr fontId="2"/>
  </si>
  <si>
    <t>**shinsei_strtower30_prgo02_NINTEI_NO</t>
  </si>
  <si>
    <t>**shinsei_strtower30_prgo02_NINTEI_DATE</t>
  </si>
  <si>
    <t>cst_shinsei_strtower30_prgo02_NINTEI_DATE_dsp</t>
    <phoneticPr fontId="2"/>
  </si>
  <si>
    <t xml:space="preserve"> - メーカー</t>
    <phoneticPr fontId="2"/>
  </si>
  <si>
    <t>**shinsei_strtower30_prgo02_MAKER_NAME</t>
  </si>
  <si>
    <t>cst_shinsei_strtower30_prgo02_NAME_VER</t>
    <phoneticPr fontId="2"/>
  </si>
  <si>
    <t>cst_shinsei_strtower30_prgo02_NAME_VER__SP</t>
    <phoneticPr fontId="2"/>
  </si>
  <si>
    <t xml:space="preserve"> - メーカー(SP)</t>
    <phoneticPr fontId="2"/>
  </si>
  <si>
    <t>cst_shinsei_strtower30_prgo02_MAKER__NINTEI_ari</t>
    <phoneticPr fontId="2"/>
  </si>
  <si>
    <t>cst_shinsei_strtower30_prgo02_NAME_VER__NINTEI_ari</t>
    <phoneticPr fontId="2"/>
  </si>
  <si>
    <t>cst_shinsei_strtower30_prgo02_MAKER__NINTEI_non</t>
    <phoneticPr fontId="2"/>
  </si>
  <si>
    <t>cst_shinsei_strtower30_prgo02_NAME_VER__NINTEI_non</t>
    <phoneticPr fontId="2"/>
  </si>
  <si>
    <t>プログラム03</t>
    <phoneticPr fontId="2"/>
  </si>
  <si>
    <t>**shinsei_strtower30_prgo03_NAME</t>
  </si>
  <si>
    <t xml:space="preserve"> - バージョン</t>
    <phoneticPr fontId="2"/>
  </si>
  <si>
    <t>**shinsei_strtower30_prgo03_VER</t>
  </si>
  <si>
    <t>cst_shinsei_strtower30_prgo03_NINTEI__umu</t>
    <phoneticPr fontId="2"/>
  </si>
  <si>
    <t>**shinsei_strtower30_prgo03_NINTEI_NO</t>
  </si>
  <si>
    <t>text</t>
    <phoneticPr fontId="2"/>
  </si>
  <si>
    <t>**shinsei_strtower30_prgo03_NINTEI_DATE</t>
  </si>
  <si>
    <t>cst_shinsei_strtower30_prgo03_NINTEI_DATE_dsp</t>
    <phoneticPr fontId="2"/>
  </si>
  <si>
    <t>**shinsei_strtower30_prgo03_MAKER_NAME</t>
  </si>
  <si>
    <t>cst_shinsei_strtower30_prgo03_NAME_VER</t>
    <phoneticPr fontId="2"/>
  </si>
  <si>
    <t>cst_shinsei_strtower30_prgo03_NAME_VER__SP</t>
    <phoneticPr fontId="2"/>
  </si>
  <si>
    <t>cst_shinsei_strtower30_prgo03_MAKER__NINTEI_ari</t>
    <phoneticPr fontId="2"/>
  </si>
  <si>
    <t>cst_shinsei_strtower30_prgo03_NAME_VER__NINTEI_ari</t>
    <phoneticPr fontId="2"/>
  </si>
  <si>
    <t>cst_shinsei_strtower30_prgo03_MAKER__NINTEI_non</t>
    <phoneticPr fontId="2"/>
  </si>
  <si>
    <t>cst_shinsei_strtower30_prgo03_NAME_VER__NINTEI_non</t>
    <phoneticPr fontId="2"/>
  </si>
  <si>
    <t>プログラム04</t>
    <phoneticPr fontId="2"/>
  </si>
  <si>
    <t>**shinsei_strtower30_prgo04_NAME</t>
  </si>
  <si>
    <t>**shinsei_strtower30_prgo04_VER</t>
  </si>
  <si>
    <t>cst_shinsei_strtower30_prgo04_NINTEI__umu</t>
    <phoneticPr fontId="2"/>
  </si>
  <si>
    <t>**shinsei_strtower30_prgo04_NINTEI_NO</t>
  </si>
  <si>
    <t>**shinsei_strtower30_prgo04_NINTEI_DATE</t>
  </si>
  <si>
    <t>cst_shinsei_strtower30_prgo04_NINTEI_DATE_dsp</t>
    <phoneticPr fontId="2"/>
  </si>
  <si>
    <t>**shinsei_strtower30_prgo04_MAKER_NAME</t>
  </si>
  <si>
    <t>cst_shinsei_strtower30_prgo04_NAME_VER</t>
    <phoneticPr fontId="2"/>
  </si>
  <si>
    <t>cst_shinsei_strtower30_prgo04_NAME_VER__SP</t>
    <phoneticPr fontId="2"/>
  </si>
  <si>
    <t>cst_shinsei_strtower30_prgo04_MAKER__NINTEI_ari</t>
    <phoneticPr fontId="2"/>
  </si>
  <si>
    <t>cst_shinsei_strtower30_prgo04_NAME_VER__NINTEI_ari</t>
    <phoneticPr fontId="2"/>
  </si>
  <si>
    <t>cst_shinsei_strtower30_prgo04_MAKER__NINTEI_non</t>
    <phoneticPr fontId="2"/>
  </si>
  <si>
    <t>cst_shinsei_strtower30_prgo04_NAME_VER__NINTEI_non</t>
    <phoneticPr fontId="2"/>
  </si>
  <si>
    <t>プログラム05</t>
    <phoneticPr fontId="2"/>
  </si>
  <si>
    <t>**shinsei_strtower30_prgo05_NAME</t>
  </si>
  <si>
    <t>**shinsei_strtower30_prgo05_VER</t>
  </si>
  <si>
    <t>cst_shinsei_strtower30_prgo05_NINTEI__umu</t>
    <phoneticPr fontId="2"/>
  </si>
  <si>
    <t>**shinsei_strtower30_prgo05_NINTEI_NO</t>
  </si>
  <si>
    <t>**shinsei_strtower30_prgo05_NINTEI_DATE</t>
  </si>
  <si>
    <t>cst_shinsei_strtower30_prgo05_NINTEI_DATE_dsp</t>
    <phoneticPr fontId="2"/>
  </si>
  <si>
    <t>**shinsei_strtower30_prgo05_MAKER_NAME</t>
  </si>
  <si>
    <t>cst_shinsei_strtower30_prgo05_NAME_VER</t>
    <phoneticPr fontId="2"/>
  </si>
  <si>
    <t>cst_shinsei_strtower30_prgo05_NAME_VER__SP</t>
    <phoneticPr fontId="2"/>
  </si>
  <si>
    <t>cst_shinsei_strtower30_prgo05_MAKER__NINTEI_ari</t>
    <phoneticPr fontId="2"/>
  </si>
  <si>
    <t>cst_shinsei_strtower30_prgo05_NAME_VER__NINTEI_ari</t>
    <phoneticPr fontId="2"/>
  </si>
  <si>
    <t>cst_shinsei_strtower30_prgo05_MAKER__NINTEI_non</t>
    <phoneticPr fontId="2"/>
  </si>
  <si>
    <t>cst_shinsei_strtower30_prgo05_NAME_VER__NINTEI_non</t>
    <phoneticPr fontId="2"/>
  </si>
  <si>
    <t>プログラム</t>
    <phoneticPr fontId="2"/>
  </si>
  <si>
    <t>cst_shinsei_strtower30_PROG_NAME_VER__CHAR</t>
    <phoneticPr fontId="2"/>
  </si>
  <si>
    <t>cst_shinsei_strtower30_PROG_NAME_VER__CHAR__SP</t>
    <phoneticPr fontId="2"/>
  </si>
  <si>
    <t xml:space="preserve"> - メーカー(SP)</t>
    <phoneticPr fontId="2"/>
  </si>
  <si>
    <t>cst_shinsei_strtower30_PROG_MAKER__NINTEI_ari_SP</t>
    <phoneticPr fontId="2"/>
  </si>
  <si>
    <t>cst_shinsei_strtower30_PROG_NAME_VER__NINTEI_ari_SP</t>
    <phoneticPr fontId="2"/>
  </si>
  <si>
    <t>cst_shinsei_strtower30_PROG_NINTEI_DATE_SP</t>
    <phoneticPr fontId="2"/>
  </si>
  <si>
    <t>cst_shinsei_strtower30_PROG_MAKER__NINTEI_no_SP</t>
    <phoneticPr fontId="2"/>
  </si>
  <si>
    <t>cst_shinsei_strtower30_PROG_NAME_VER__NINTEI_non_SP</t>
    <phoneticPr fontId="2"/>
  </si>
  <si>
    <t>**shinsei_strtower30_DISK_FLAG</t>
  </si>
  <si>
    <t>cst_shinsei_strtower30_DISK_FLAG</t>
    <phoneticPr fontId="2"/>
  </si>
  <si>
    <t>don_OFFICE_ACCOUNT_TOKYO_01__print_time</t>
    <phoneticPr fontId="2"/>
  </si>
  <si>
    <t>don_OFFICE_ACCOUNT_TOKYO_02__print_time</t>
    <phoneticPr fontId="2"/>
  </si>
  <si>
    <t>don_OFFICE_ACCOUNT_TOKYO_03__print_time</t>
    <phoneticPr fontId="2"/>
  </si>
  <si>
    <t>don_OFFICE_ACCOUNT_OOSAKA_01__print_time</t>
    <phoneticPr fontId="2"/>
  </si>
  <si>
    <t>don_OFFICE_ACCOUNT_OOSAKA_02__print_time</t>
    <phoneticPr fontId="2"/>
  </si>
  <si>
    <t>don_OFFICE_ACCOUNT_OOSAKA_03__print_time</t>
    <phoneticPr fontId="2"/>
  </si>
  <si>
    <t>don_OFFICE_ACCOUNT_HANSHIN_01__print_time</t>
    <phoneticPr fontId="2"/>
  </si>
  <si>
    <t>don_OFFICE_ACCOUNT_HANSHIN_02__print_time</t>
    <phoneticPr fontId="2"/>
  </si>
  <si>
    <t>don_OFFICE_ACCOUNT_HANSHIN_03__print_time</t>
    <phoneticPr fontId="2"/>
  </si>
  <si>
    <t>don_OFFICE_ACCOUNT_KYUSHU_01__print_time</t>
    <phoneticPr fontId="2"/>
  </si>
  <si>
    <t>don_OFFICE_ACCOUNT_KYUSHU_02__print_time</t>
    <phoneticPr fontId="2"/>
  </si>
  <si>
    <t>don_OFFICE_ACCOUNT_KYUSHU_03__print_time</t>
    <phoneticPr fontId="2"/>
  </si>
  <si>
    <t>don_OFFICE_ACCOUNT_TOUHOKU_01__print_time</t>
    <phoneticPr fontId="2"/>
  </si>
  <si>
    <t>don_OFFICE_ACCOUNT_TOUHOKU_02__print_time</t>
    <phoneticPr fontId="2"/>
  </si>
  <si>
    <t>don_OFFICE_ACCOUNT_TOUHOKU_03__print_time</t>
    <phoneticPr fontId="2"/>
  </si>
  <si>
    <t>don_OFFICE_ACCOUNT_01__print_time</t>
    <phoneticPr fontId="2"/>
  </si>
  <si>
    <t>don_OFFICE_ACCOUNT_02__print_time</t>
    <phoneticPr fontId="2"/>
  </si>
  <si>
    <t>don_OFFICE_ACCOUNT_03__print_time</t>
    <phoneticPr fontId="2"/>
  </si>
  <si>
    <t>cst_shinsei_UKETUKE_OFFICE_ID__OFFICE_NAME</t>
    <phoneticPr fontId="2"/>
  </si>
  <si>
    <t>**kakaru_shinsei_ACCEPT_DATE</t>
    <phoneticPr fontId="2"/>
  </si>
  <si>
    <t>**kakaru_shinsei_HIKIUKE_DATE</t>
    <phoneticPr fontId="2"/>
  </si>
  <si>
    <t>**kakaru_shinsei_UKETUKE_NO</t>
    <phoneticPr fontId="2"/>
  </si>
  <si>
    <t>昇工_請求書</t>
    <phoneticPr fontId="2"/>
  </si>
  <si>
    <t>請求書（昇降機・工作物）</t>
    <rPh sb="4" eb="7">
      <t>ショウコウキ</t>
    </rPh>
    <rPh sb="8" eb="11">
      <t>コウサクブツ</t>
    </rPh>
    <phoneticPr fontId="2"/>
  </si>
  <si>
    <t>**kakaru_shinsei_INSPECTION_TYPE</t>
    <phoneticPr fontId="2"/>
  </si>
  <si>
    <t>**kakaru_shinsei_ISSUE_DATE</t>
    <phoneticPr fontId="2"/>
  </si>
  <si>
    <t>**kakaru_shinsei_ISSUE_NO</t>
    <phoneticPr fontId="2"/>
  </si>
  <si>
    <t>**kakaru_shinsei_ISSUE_KOUFU_NAME</t>
    <phoneticPr fontId="2"/>
  </si>
  <si>
    <t>cst_shinsei_ISSUE_DATE__text</t>
    <phoneticPr fontId="2"/>
  </si>
  <si>
    <t>cst_shinsei_build_TOKUREI_56_7__ari</t>
  </si>
  <si>
    <t>cst_shinsei_build_TOKUREI_56_7__nashi</t>
    <phoneticPr fontId="2"/>
  </si>
  <si>
    <t>cst_shinsei_xy_REPORT_DATE__text</t>
    <phoneticPr fontId="2"/>
  </si>
  <si>
    <t>cst_shinsei_HOUKOKU_DATE__text</t>
    <phoneticPr fontId="2"/>
  </si>
  <si>
    <t>cst_shinsei_KAKU_SUMI_KOUFU_DATE__text</t>
    <phoneticPr fontId="2"/>
  </si>
  <si>
    <t>cst_shinsei__REPORT_STRUCTRESULT_NOTIFY_RESULT_word</t>
  </si>
  <si>
    <t>shinsei_STRUCTRESULT_NOTIFY_KOUFU_NAME</t>
    <phoneticPr fontId="2"/>
  </si>
  <si>
    <t>shinsei_STRUCTRESULT_NOTIFY_RESULT</t>
    <phoneticPr fontId="2"/>
  </si>
  <si>
    <t>shinsei_STRUCTRESULT_NOTIFY_BIKO</t>
    <phoneticPr fontId="2"/>
  </si>
  <si>
    <t>shinsei_STRUCTRESULT_NOTIFY_DATE</t>
    <phoneticPr fontId="2"/>
  </si>
  <si>
    <t>shinsei_STRUCTRESULT_NOTIFY_NO</t>
    <phoneticPr fontId="2"/>
  </si>
  <si>
    <t>回数を出力する仕様の特定工程</t>
    <rPh sb="0" eb="2">
      <t>カイスウ</t>
    </rPh>
    <rPh sb="3" eb="5">
      <t>シュツリョク</t>
    </rPh>
    <rPh sb="7" eb="9">
      <t>シヨウ</t>
    </rPh>
    <rPh sb="10" eb="14">
      <t>トクテイコウテイ</t>
    </rPh>
    <phoneticPr fontId="2"/>
  </si>
  <si>
    <t>回数無、有の出力切替用</t>
    <rPh sb="0" eb="2">
      <t>カイスウ</t>
    </rPh>
    <rPh sb="2" eb="3">
      <t>ナシ</t>
    </rPh>
    <rPh sb="4" eb="5">
      <t>アリ</t>
    </rPh>
    <rPh sb="6" eb="8">
      <t>シュツリョク</t>
    </rPh>
    <rPh sb="8" eb="11">
      <t>キリカエヨウ</t>
    </rPh>
    <phoneticPr fontId="2"/>
  </si>
  <si>
    <t>cst_shinsei_intermediate_SPECIFIC_KOUTEI_select</t>
    <phoneticPr fontId="2"/>
  </si>
  <si>
    <t>cst_shinsei_intermediate_SPECIFIC_KOUTEI_KAISUU</t>
    <phoneticPr fontId="2"/>
  </si>
  <si>
    <t>cst_shinsei_intermediate_CYU1_NITTEI__text</t>
    <phoneticPr fontId="2"/>
  </si>
  <si>
    <t>base_point_CHARGE_DETAIL</t>
    <phoneticPr fontId="2"/>
  </si>
  <si>
    <t>erea_CHARGE_DETAIL</t>
    <phoneticPr fontId="2"/>
  </si>
  <si>
    <t>出張費が選択されているか検索</t>
    <rPh sb="0" eb="3">
      <t>シュッチョウヒ</t>
    </rPh>
    <rPh sb="4" eb="6">
      <t>センタク</t>
    </rPh>
    <rPh sb="12" eb="14">
      <t>ケンサク</t>
    </rPh>
    <phoneticPr fontId="2"/>
  </si>
  <si>
    <t>金額を抽出</t>
    <rPh sb="0" eb="2">
      <t>キンガク</t>
    </rPh>
    <rPh sb="3" eb="5">
      <t>チュウシュツ</t>
    </rPh>
    <phoneticPr fontId="2"/>
  </si>
  <si>
    <t>search_CHARGE_DETAIL_shuchou_fee</t>
    <phoneticPr fontId="2"/>
  </si>
  <si>
    <t>基本手数料＋明細合計</t>
    <rPh sb="0" eb="5">
      <t>キホンテスウリョウ</t>
    </rPh>
    <rPh sb="6" eb="8">
      <t>メイサイ</t>
    </rPh>
    <rPh sb="8" eb="10">
      <t>ゴウケイ</t>
    </rPh>
    <phoneticPr fontId="2"/>
  </si>
  <si>
    <t>output_CHARGE_DETAIL_shuchou_fee</t>
    <phoneticPr fontId="2"/>
  </si>
  <si>
    <t>cst_shinsei_HIKIUKE_TUUTI_DATE__text</t>
    <phoneticPr fontId="2"/>
  </si>
  <si>
    <t>cst_shinsei_xx_NOTIFY_NG_JIYU</t>
    <phoneticPr fontId="2"/>
  </si>
  <si>
    <t>法不適合の場合の事由</t>
    <rPh sb="0" eb="1">
      <t>ホウ</t>
    </rPh>
    <rPh sb="1" eb="4">
      <t>フテキゴウ</t>
    </rPh>
    <rPh sb="5" eb="7">
      <t>バアイ</t>
    </rPh>
    <rPh sb="8" eb="10">
      <t>ジユ</t>
    </rPh>
    <phoneticPr fontId="2"/>
  </si>
  <si>
    <t>cst_shinsei_KOUJI_KANRYOU_DATE__common__text</t>
    <phoneticPr fontId="2"/>
  </si>
  <si>
    <t>cst_shinsei_xx_NOTIFY_KENSA_DATE__text</t>
  </si>
  <si>
    <t>cst_shinsei_FIRE_SUBMIT_DATE__text</t>
    <phoneticPr fontId="2"/>
  </si>
  <si>
    <t>cst_city_FIRE_STATION_ID__DEST_NAME__disp</t>
    <phoneticPr fontId="2"/>
  </si>
  <si>
    <t>cst_shinsei_FIRE_NOTIFY_DATE__text</t>
    <phoneticPr fontId="2"/>
  </si>
  <si>
    <t>cst_shinsei_HEALTH_NOTIFY_DATE__text</t>
    <phoneticPr fontId="2"/>
  </si>
  <si>
    <t>dDATA_select</t>
  </si>
  <si>
    <t>dFEE</t>
  </si>
  <si>
    <t>cst_shinsei_UKETUKE_OFFICE_ID__TEL</t>
    <phoneticPr fontId="2"/>
  </si>
  <si>
    <t>cst_shinsei_UKETUKE_OFFICE_ID__FAX</t>
    <phoneticPr fontId="2"/>
  </si>
  <si>
    <t>cst_shinsei_UKETUKE_OFFICE_ID__ADDRESS2</t>
    <phoneticPr fontId="2"/>
  </si>
  <si>
    <t>cst_shinsei_UKETUKE_OFFICE_ID__ADDRESS</t>
    <phoneticPr fontId="2"/>
  </si>
  <si>
    <t>cst_shinsei_UKETUKE_OFFICE_ID__ADDRESS__1_2</t>
    <phoneticPr fontId="2"/>
  </si>
  <si>
    <t>cst_shinsei_UKETUKE_OFFICE_ID__POST_CODE</t>
    <phoneticPr fontId="2"/>
  </si>
  <si>
    <t>**shinsei_ACCEPT_NOTE</t>
    <phoneticPr fontId="2"/>
  </si>
  <si>
    <t>shinsei_strtower01_JUDGE</t>
    <phoneticPr fontId="2"/>
  </si>
  <si>
    <t>shinsei_STRIRAI_TEKIHAN_ACCEPT_DATE</t>
    <phoneticPr fontId="2"/>
  </si>
  <si>
    <t>shinsei_STRIRAI_TEKIHAN_ACCEPT_NO</t>
    <phoneticPr fontId="2"/>
  </si>
  <si>
    <t>システム：selector方式の処理</t>
    <rPh sb="13" eb="15">
      <t>ホウシキ</t>
    </rPh>
    <rPh sb="16" eb="18">
      <t>ショリ</t>
    </rPh>
    <phoneticPr fontId="2"/>
  </si>
  <si>
    <t>システム：手数料用特殊処理</t>
    <rPh sb="5" eb="8">
      <t>テスウリョウ</t>
    </rPh>
    <rPh sb="8" eb="9">
      <t>ヨウ</t>
    </rPh>
    <rPh sb="9" eb="13">
      <t>トクシュショリ</t>
    </rPh>
    <phoneticPr fontId="2"/>
  </si>
  <si>
    <t>セル出力終了直後を監視するセル名</t>
    <rPh sb="2" eb="4">
      <t>シュツリョク</t>
    </rPh>
    <rPh sb="4" eb="6">
      <t>シュウリョウ</t>
    </rPh>
    <rPh sb="6" eb="8">
      <t>チョクゴ</t>
    </rPh>
    <rPh sb="9" eb="11">
      <t>カンシ</t>
    </rPh>
    <rPh sb="15" eb="16">
      <t>メイ</t>
    </rPh>
    <phoneticPr fontId="2"/>
  </si>
  <si>
    <t>マクロにより、下記のセルに「1」がセットされたタイミングがセル出力終了直後、</t>
    <rPh sb="7" eb="9">
      <t>カキ</t>
    </rPh>
    <rPh sb="31" eb="33">
      <t>シュツリョク</t>
    </rPh>
    <rPh sb="33" eb="35">
      <t>シュウリョウ</t>
    </rPh>
    <rPh sb="35" eb="37">
      <t>チョクゴ</t>
    </rPh>
    <phoneticPr fontId="2"/>
  </si>
  <si>
    <t>いわゆる、レポート作成完了のタイミング</t>
    <rPh sb="9" eb="11">
      <t>サクセイ</t>
    </rPh>
    <rPh sb="11" eb="13">
      <t>カンリョウ</t>
    </rPh>
    <phoneticPr fontId="2"/>
  </si>
  <si>
    <t>※</t>
    <phoneticPr fontId="2"/>
  </si>
  <si>
    <t>このタイミング後にマクロを実行させないと、セル名の値が空白であったり、</t>
    <rPh sb="7" eb="8">
      <t>ゴ</t>
    </rPh>
    <rPh sb="13" eb="15">
      <t>ジッコウ</t>
    </rPh>
    <rPh sb="23" eb="24">
      <t>メイ</t>
    </rPh>
    <rPh sb="25" eb="26">
      <t>アタイ</t>
    </rPh>
    <rPh sb="27" eb="29">
      <t>クウハク</t>
    </rPh>
    <phoneticPr fontId="2"/>
  </si>
  <si>
    <t>レポート作成中の為、正しく実行できない</t>
    <rPh sb="4" eb="7">
      <t>サクセイチュウ</t>
    </rPh>
    <rPh sb="8" eb="9">
      <t>タメ</t>
    </rPh>
    <rPh sb="10" eb="11">
      <t>タダ</t>
    </rPh>
    <rPh sb="13" eb="15">
      <t>ジッコウ</t>
    </rPh>
    <phoneticPr fontId="2"/>
  </si>
  <si>
    <t>Pack系出力_END</t>
    <rPh sb="4" eb="5">
      <t>ケイ</t>
    </rPh>
    <rPh sb="5" eb="7">
      <t>シュツリョク</t>
    </rPh>
    <phoneticPr fontId="10"/>
  </si>
  <si>
    <t>1：出力終了</t>
    <rPh sb="2" eb="4">
      <t>シュツリョク</t>
    </rPh>
    <rPh sb="4" eb="6">
      <t>シュウリョウ</t>
    </rPh>
    <phoneticPr fontId="10"/>
  </si>
  <si>
    <t>set_output_finished__NEXT</t>
    <phoneticPr fontId="2"/>
  </si>
  <si>
    <t>1：Worksheet_Calculate を抜ける。</t>
    <rPh sb="23" eb="24">
      <t>ヌ</t>
    </rPh>
    <phoneticPr fontId="2"/>
  </si>
  <si>
    <t>set_output_finished</t>
    <phoneticPr fontId="2"/>
  </si>
  <si>
    <t>Sub シート名の取得()</t>
  </si>
  <si>
    <t xml:space="preserve">    'シート名の一覧を取得し、選択したセルから下に貼付ける</t>
  </si>
  <si>
    <t xml:space="preserve">    Dim ws As Worksheet</t>
  </si>
  <si>
    <t xml:space="preserve">    Dim i As Integer</t>
  </si>
  <si>
    <t xml:space="preserve">    i = 0</t>
  </si>
  <si>
    <t xml:space="preserve">    For Each ws In Worksheets</t>
  </si>
  <si>
    <t xml:space="preserve">        i = i + 1</t>
  </si>
  <si>
    <t xml:space="preserve">        Cells(i, 1) = ws.Name</t>
  </si>
  <si>
    <t xml:space="preserve">    Next</t>
  </si>
  <si>
    <t>End Sub</t>
  </si>
  <si>
    <t>dCalculate</t>
  </si>
  <si>
    <t>dTEST</t>
  </si>
  <si>
    <t>セル出力終了フラグ</t>
    <rPh sb="2" eb="4">
      <t>シュツリョク</t>
    </rPh>
    <rPh sb="4" eb="6">
      <t>シュウリョウ</t>
    </rPh>
    <phoneticPr fontId="2"/>
  </si>
  <si>
    <t>1：出力終了</t>
  </si>
  <si>
    <t>セル出力処理が終わった後に一回だけ処理をするためのフラグ</t>
    <rPh sb="2" eb="4">
      <t>シュツリョク</t>
    </rPh>
    <rPh sb="4" eb="6">
      <t>ショリ</t>
    </rPh>
    <rPh sb="7" eb="8">
      <t>オ</t>
    </rPh>
    <rPh sb="11" eb="12">
      <t>アト</t>
    </rPh>
    <rPh sb="13" eb="15">
      <t>イッカイ</t>
    </rPh>
    <rPh sb="17" eb="19">
      <t>ショリ</t>
    </rPh>
    <phoneticPr fontId="2"/>
  </si>
  <si>
    <t>_output_finished</t>
    <phoneticPr fontId="2"/>
  </si>
  <si>
    <t>_output_finished__NEXT</t>
    <phoneticPr fontId="2"/>
  </si>
  <si>
    <t>長崎市元船町14番10号</t>
    <phoneticPr fontId="2"/>
  </si>
  <si>
    <t>システムのセルに対する出力処理が終わったら1度だけマクロを実行する為のシート</t>
    <rPh sb="8" eb="9">
      <t>タイ</t>
    </rPh>
    <rPh sb="11" eb="15">
      <t>シュツリョクショリ</t>
    </rPh>
    <rPh sb="16" eb="17">
      <t>オ</t>
    </rPh>
    <rPh sb="22" eb="23">
      <t>ド</t>
    </rPh>
    <rPh sb="29" eb="31">
      <t>ジッコウ</t>
    </rPh>
    <rPh sb="33" eb="34">
      <t>タメ</t>
    </rPh>
    <phoneticPr fontId="2"/>
  </si>
  <si>
    <t>dCalculate 用のテストシート</t>
    <rPh sb="11" eb="12">
      <t>ヨウ</t>
    </rPh>
    <phoneticPr fontId="2"/>
  </si>
  <si>
    <t>決定することができない旨の通知書_old</t>
  </si>
  <si>
    <t>適合しない旨の通知書_old</t>
  </si>
  <si>
    <t>適判への確認結果報告書</t>
  </si>
  <si>
    <t>中間検査引受承諾書</t>
  </si>
  <si>
    <t>合格証を交付できない旨の通知書_old</t>
  </si>
  <si>
    <t>完了検査引受承諾書_inter</t>
  </si>
  <si>
    <t>消防機関同意送付書</t>
  </si>
  <si>
    <t>行政への照会</t>
    <rPh sb="0" eb="2">
      <t>ギョウセイ</t>
    </rPh>
    <rPh sb="4" eb="6">
      <t>ショウカイ</t>
    </rPh>
    <phoneticPr fontId="2"/>
  </si>
  <si>
    <t>道路敷地状況</t>
    <phoneticPr fontId="2"/>
  </si>
  <si>
    <t>消防機関同意依頼送付書</t>
    <rPh sb="8" eb="11">
      <t>ソウフショ</t>
    </rPh>
    <phoneticPr fontId="2"/>
  </si>
  <si>
    <t>補正・追加説明</t>
    <phoneticPr fontId="2"/>
  </si>
  <si>
    <t>補正・追加説明_別紙</t>
    <phoneticPr fontId="2"/>
  </si>
  <si>
    <t>適判への確認結果報告書</t>
    <phoneticPr fontId="2"/>
  </si>
  <si>
    <t>中間検査の情報が付加</t>
    <rPh sb="0" eb="4">
      <t>チュウカンケンサ</t>
    </rPh>
    <rPh sb="5" eb="7">
      <t>ジョウホウ</t>
    </rPh>
    <rPh sb="8" eb="10">
      <t>フカ</t>
    </rPh>
    <phoneticPr fontId="2"/>
  </si>
  <si>
    <t>建築物</t>
    <phoneticPr fontId="2"/>
  </si>
  <si>
    <t>昇降機</t>
    <phoneticPr fontId="2"/>
  </si>
  <si>
    <t>工作物</t>
    <phoneticPr fontId="2"/>
  </si>
  <si>
    <t>確認申請</t>
    <rPh sb="0" eb="2">
      <t>カクニン</t>
    </rPh>
    <rPh sb="2" eb="4">
      <t>シンセイ</t>
    </rPh>
    <phoneticPr fontId="2"/>
  </si>
  <si>
    <t>中間検査</t>
    <rPh sb="0" eb="2">
      <t>チュウカン</t>
    </rPh>
    <rPh sb="2" eb="4">
      <t>ケンサ</t>
    </rPh>
    <phoneticPr fontId="2"/>
  </si>
  <si>
    <t>完了検査</t>
    <rPh sb="0" eb="2">
      <t>カンリョウ</t>
    </rPh>
    <rPh sb="2" eb="4">
      <t>ケンサ</t>
    </rPh>
    <phoneticPr fontId="2"/>
  </si>
  <si>
    <t>東京の場合に連名で出力</t>
    <rPh sb="0" eb="2">
      <t>トウキョウ</t>
    </rPh>
    <rPh sb="3" eb="5">
      <t>バアイ</t>
    </rPh>
    <rPh sb="6" eb="8">
      <t>レンメイ</t>
    </rPh>
    <rPh sb="9" eb="11">
      <t>シュツリョク</t>
    </rPh>
    <phoneticPr fontId="2"/>
  </si>
  <si>
    <t>済証用：</t>
    <rPh sb="0" eb="2">
      <t>ズミショウ</t>
    </rPh>
    <rPh sb="2" eb="3">
      <t>ヨウ</t>
    </rPh>
    <phoneticPr fontId="2"/>
  </si>
  <si>
    <t>報告用：</t>
    <rPh sb="0" eb="3">
      <t>ホウコクヨウ</t>
    </rPh>
    <phoneticPr fontId="2"/>
  </si>
  <si>
    <t>■ 建築主の表示方法：</t>
    <rPh sb="2" eb="5">
      <t>ケンチクヌシ</t>
    </rPh>
    <rPh sb="6" eb="10">
      <t>ヒョウジホウホウ</t>
    </rPh>
    <phoneticPr fontId="2"/>
  </si>
  <si>
    <t>確認済証・報告書の建築主を複数表示するかひとりにするかを切替</t>
    <rPh sb="0" eb="4">
      <t>カクニンズミショウ</t>
    </rPh>
    <rPh sb="5" eb="8">
      <t>ホウコクショ</t>
    </rPh>
    <rPh sb="9" eb="12">
      <t>ケンチクヌシ</t>
    </rPh>
    <rPh sb="13" eb="17">
      <t>フクスウヒョウジ</t>
    </rPh>
    <rPh sb="28" eb="30">
      <t>キリカエ</t>
    </rPh>
    <phoneticPr fontId="2"/>
  </si>
  <si>
    <t>cst_LIST_BOX_list</t>
    <phoneticPr fontId="2"/>
  </si>
  <si>
    <t>cst_LIST_BOX_select_value</t>
    <phoneticPr fontId="2"/>
  </si>
  <si>
    <t>連名</t>
    <rPh sb="0" eb="2">
      <t>レンメイ</t>
    </rPh>
    <phoneticPr fontId="2"/>
  </si>
  <si>
    <t>ひとり</t>
    <phoneticPr fontId="2"/>
  </si>
  <si>
    <t>cst_LIST_BOX_link_cell</t>
    <phoneticPr fontId="2"/>
  </si>
  <si>
    <t>cst_owner_name1__add_sama</t>
  </si>
  <si>
    <t>chng_OWNER_renmei_one__report</t>
  </si>
  <si>
    <t>chng_OWNER_renmei_one__issue</t>
  </si>
  <si>
    <t>chng_OWNER_COUNT_VALUE__report</t>
  </si>
  <si>
    <t>chng_OWNER_COUNT_VALUE__issue</t>
  </si>
  <si>
    <t>法６条区分の未選択</t>
  </si>
  <si>
    <t>非適判物件。通知書番号が入力されています</t>
  </si>
  <si>
    <t>非適判物件。通知日か交付日が入力されています</t>
  </si>
  <si>
    <t>申請手数料</t>
  </si>
  <si>
    <t>建築主氏名</t>
  </si>
  <si>
    <t>建築物名称</t>
  </si>
  <si>
    <t>建築場所</t>
  </si>
  <si>
    <t>工事種別</t>
  </si>
  <si>
    <t>申請延べ面積</t>
  </si>
  <si>
    <t>対象棟数</t>
  </si>
  <si>
    <t>建築物の構造</t>
  </si>
  <si>
    <t>建築物の階数</t>
  </si>
  <si>
    <t>昇降機種類</t>
  </si>
  <si>
    <t>工作物種類</t>
  </si>
  <si>
    <t>交付日</t>
  </si>
  <si>
    <t>報告日</t>
  </si>
  <si>
    <t>昇降機の種別</t>
  </si>
  <si>
    <t>工作物</t>
    <rPh sb="0" eb="3">
      <t>コウサクブツ</t>
    </rPh>
    <phoneticPr fontId="2"/>
  </si>
  <si>
    <t>中間</t>
    <rPh sb="0" eb="2">
      <t>チュウカン</t>
    </rPh>
    <phoneticPr fontId="2"/>
  </si>
  <si>
    <t>完了</t>
    <rPh sb="0" eb="2">
      <t>カンリョウ</t>
    </rPh>
    <phoneticPr fontId="2"/>
  </si>
  <si>
    <t>処理</t>
    <rPh sb="0" eb="2">
      <t>ショリ</t>
    </rPh>
    <phoneticPr fontId="2"/>
  </si>
  <si>
    <t>○</t>
  </si>
  <si>
    <t>dCHECK_SHEET</t>
  </si>
  <si>
    <t>建築物用途（主要用途）</t>
    <rPh sb="6" eb="10">
      <t>シュヨウヨウト</t>
    </rPh>
    <phoneticPr fontId="2"/>
  </si>
  <si>
    <t>cst_shinsei_INSPECTION_TYPE__check_sheet</t>
    <phoneticPr fontId="2"/>
  </si>
  <si>
    <t>erea_check_INSPECTION_TYPE</t>
    <phoneticPr fontId="2"/>
  </si>
  <si>
    <t>erea_check_BUTTON_KIND</t>
    <phoneticPr fontId="2"/>
  </si>
  <si>
    <t>erea_check_TARGET_KIND</t>
    <phoneticPr fontId="2"/>
  </si>
  <si>
    <t>check_KIND__movement</t>
    <phoneticPr fontId="2"/>
  </si>
  <si>
    <t>☓</t>
  </si>
  <si>
    <t>エラー</t>
  </si>
  <si>
    <t>エラー</t>
    <phoneticPr fontId="2"/>
  </si>
  <si>
    <t>入力</t>
  </si>
  <si>
    <t>入力</t>
    <rPh sb="0" eb="2">
      <t>ニュウリョク</t>
    </rPh>
    <phoneticPr fontId="2"/>
  </si>
  <si>
    <t>の区別</t>
    <rPh sb="1" eb="3">
      <t>クベツ</t>
    </rPh>
    <phoneticPr fontId="2"/>
  </si>
  <si>
    <t>未入力</t>
    <rPh sb="0" eb="3">
      <t>ミニュウリョク</t>
    </rPh>
    <phoneticPr fontId="2"/>
  </si>
  <si>
    <t>dCHECK_SHEET_calc</t>
  </si>
  <si>
    <t>システム：チェックシート一覧</t>
    <rPh sb="12" eb="14">
      <t>イチラン</t>
    </rPh>
    <phoneticPr fontId="2"/>
  </si>
  <si>
    <t>システム：チェックシート用処理</t>
    <rPh sb="12" eb="13">
      <t>ヨウ</t>
    </rPh>
    <rPh sb="13" eb="15">
      <t>ショリ</t>
    </rPh>
    <phoneticPr fontId="2"/>
  </si>
  <si>
    <t>システム：適判構造</t>
    <rPh sb="5" eb="7">
      <t>テキハン</t>
    </rPh>
    <rPh sb="7" eb="9">
      <t>コウゾウ</t>
    </rPh>
    <phoneticPr fontId="2"/>
  </si>
  <si>
    <t>必須</t>
    <rPh sb="0" eb="2">
      <t>ヒッス</t>
    </rPh>
    <phoneticPr fontId="2"/>
  </si>
  <si>
    <t>項目名称</t>
    <rPh sb="0" eb="2">
      <t>コウモク</t>
    </rPh>
    <rPh sb="2" eb="4">
      <t>メイショウ</t>
    </rPh>
    <phoneticPr fontId="2"/>
  </si>
  <si>
    <t>セル出力の値</t>
    <rPh sb="2" eb="4">
      <t>シュツリョク</t>
    </rPh>
    <rPh sb="5" eb="6">
      <t>アタイ</t>
    </rPh>
    <phoneticPr fontId="2"/>
  </si>
  <si>
    <t>cst_shinsei_FIRE_NOTIFY_SUBMIT_KIND</t>
    <phoneticPr fontId="2"/>
  </si>
  <si>
    <t>天空率適用 有時のチェック</t>
    <rPh sb="6" eb="7">
      <t>アリ</t>
    </rPh>
    <rPh sb="7" eb="8">
      <t>ジ</t>
    </rPh>
    <phoneticPr fontId="2"/>
  </si>
  <si>
    <t>天空率適用 無時のチェック</t>
    <rPh sb="6" eb="7">
      <t>ナシ</t>
    </rPh>
    <rPh sb="7" eb="8">
      <t>ジ</t>
    </rPh>
    <phoneticPr fontId="2"/>
  </si>
  <si>
    <t>係る確認済証番号</t>
    <rPh sb="0" eb="1">
      <t>カカ</t>
    </rPh>
    <phoneticPr fontId="2"/>
  </si>
  <si>
    <t>--</t>
    <phoneticPr fontId="2"/>
  </si>
  <si>
    <t>cst_DATA_COUNT</t>
  </si>
  <si>
    <t>チェックシート：</t>
    <phoneticPr fontId="2"/>
  </si>
  <si>
    <t>処理チェック</t>
    <rPh sb="0" eb="2">
      <t>ショリ</t>
    </rPh>
    <phoneticPr fontId="2"/>
  </si>
  <si>
    <t>base_point_INPUT_VALUE</t>
    <phoneticPr fontId="2"/>
  </si>
  <si>
    <t>cst_CHECK_SHEET_INPUT_VALUE</t>
    <phoneticPr fontId="2"/>
  </si>
  <si>
    <t>base_point_ERROR_VALUE</t>
    <phoneticPr fontId="2"/>
  </si>
  <si>
    <t>cst_CHECK_SHEET_ERROR_VALUE</t>
    <phoneticPr fontId="2"/>
  </si>
  <si>
    <t>入力チェックシート</t>
  </si>
  <si>
    <t>チェックシート</t>
    <phoneticPr fontId="2"/>
  </si>
  <si>
    <t>チェックシートを可変式に変更</t>
    <rPh sb="8" eb="11">
      <t>カヘンシキ</t>
    </rPh>
    <rPh sb="12" eb="14">
      <t>ヘンコウ</t>
    </rPh>
    <phoneticPr fontId="2"/>
  </si>
  <si>
    <t>数式を文字に変換するマクロを搭載。まだ無効</t>
    <rPh sb="0" eb="2">
      <t>スウシキ</t>
    </rPh>
    <rPh sb="3" eb="5">
      <t>モジ</t>
    </rPh>
    <rPh sb="6" eb="8">
      <t>ヘンカン</t>
    </rPh>
    <rPh sb="14" eb="16">
      <t>トウサイ</t>
    </rPh>
    <rPh sb="19" eb="21">
      <t>ムコウ</t>
    </rPh>
    <phoneticPr fontId="2"/>
  </si>
  <si>
    <t>適判リストを更新</t>
    <rPh sb="0" eb="2">
      <t>テキハン</t>
    </rPh>
    <rPh sb="6" eb="8">
      <t>コウシン</t>
    </rPh>
    <phoneticPr fontId="2"/>
  </si>
  <si>
    <t>請求書：支店ごとの口座の切替処理を追加</t>
    <rPh sb="0" eb="3">
      <t>セイキュウショ</t>
    </rPh>
    <rPh sb="4" eb="6">
      <t>シテン</t>
    </rPh>
    <rPh sb="9" eb="11">
      <t>コウザ</t>
    </rPh>
    <rPh sb="12" eb="16">
      <t>キリカエショリ</t>
    </rPh>
    <rPh sb="17" eb="19">
      <t>ツイカ</t>
    </rPh>
    <phoneticPr fontId="2"/>
  </si>
  <si>
    <t>■ 最後の中間検査の情報</t>
    <rPh sb="2" eb="4">
      <t>サイゴ</t>
    </rPh>
    <rPh sb="5" eb="9">
      <t>チュウカンケンサ</t>
    </rPh>
    <rPh sb="10" eb="12">
      <t>ジョウホウ</t>
    </rPh>
    <phoneticPr fontId="2"/>
  </si>
  <si>
    <t>中間検査合格証番号</t>
  </si>
  <si>
    <t>中間検査合格年月日</t>
  </si>
  <si>
    <t>cst_lastinter_shinsei_ISSUE_NO</t>
  </si>
  <si>
    <t>cst_lastinter_shinsei_ISSUE_NO__disp</t>
  </si>
  <si>
    <t>cst_lastinter_shinsei_ISSUE_DATE</t>
  </si>
  <si>
    <t>cst_lastinter_shinsei_ISSUE_DATE__text</t>
  </si>
  <si>
    <t>**lastinter_shinsei_ISSUE_DATE</t>
    <phoneticPr fontId="2"/>
  </si>
  <si>
    <t>**lastinter_shinsei_ISSUE_NO</t>
    <phoneticPr fontId="2"/>
  </si>
  <si>
    <t>計変時に引受承諾書が出なかったのを修正</t>
    <rPh sb="0" eb="2">
      <t>ケイヘン</t>
    </rPh>
    <rPh sb="2" eb="3">
      <t>ジ</t>
    </rPh>
    <rPh sb="4" eb="9">
      <t>ヒキウケショウダクショ</t>
    </rPh>
    <rPh sb="10" eb="11">
      <t>デ</t>
    </rPh>
    <rPh sb="17" eb="19">
      <t>シュウセイ</t>
    </rPh>
    <phoneticPr fontId="2"/>
  </si>
  <si>
    <t>不要なシートを削除</t>
    <rPh sb="0" eb="2">
      <t>フヨウ</t>
    </rPh>
    <rPh sb="7" eb="9">
      <t>サクジョ</t>
    </rPh>
    <phoneticPr fontId="2"/>
  </si>
  <si>
    <t>支店 ID</t>
    <rPh sb="0" eb="2">
      <t>シテン</t>
    </rPh>
    <phoneticPr fontId="2"/>
  </si>
  <si>
    <t>東京都引受報告書</t>
    <phoneticPr fontId="2"/>
  </si>
  <si>
    <t>東京都引受報告書 (計画変更）</t>
    <phoneticPr fontId="2"/>
  </si>
  <si>
    <t>引受報告書</t>
    <phoneticPr fontId="2"/>
  </si>
  <si>
    <t>建築場所</t>
    <rPh sb="0" eb="4">
      <t>ケンチクバショ</t>
    </rPh>
    <phoneticPr fontId="2"/>
  </si>
  <si>
    <t>東京都</t>
    <rPh sb="0" eb="3">
      <t>トウキョウト</t>
    </rPh>
    <phoneticPr fontId="2"/>
  </si>
  <si>
    <t>確認決裁書</t>
    <phoneticPr fontId="2"/>
  </si>
  <si>
    <t>確認決裁書 (EV)</t>
    <phoneticPr fontId="2"/>
  </si>
  <si>
    <t>確認決裁書 (工)</t>
    <phoneticPr fontId="2"/>
  </si>
  <si>
    <t>中間検査決裁書</t>
  </si>
  <si>
    <t>完了検査決裁書</t>
  </si>
  <si>
    <t>完了検査決裁書(EV)</t>
  </si>
  <si>
    <t>完了検査決裁書(工)</t>
  </si>
  <si>
    <t>特定建築物の通知書（ビル管法通知）</t>
  </si>
  <si>
    <t>消防通知書（昇降機）</t>
    <rPh sb="2" eb="5">
      <t>ツウチショ</t>
    </rPh>
    <rPh sb="6" eb="9">
      <t>ショウコウキ</t>
    </rPh>
    <phoneticPr fontId="2"/>
  </si>
  <si>
    <t>昇降機（確認）の時に消防通知を出力（引受時）するように変更</t>
  </si>
  <si>
    <t>手数料料金表：定価（全店）、割引（阪神）を登録しました</t>
  </si>
  <si>
    <t>新規作成画面の中間検査１、２、３の名称を変更（中間 基礎、中間 その他 の２択）</t>
  </si>
  <si>
    <t>確認等の交付者一覧：代表取締役社長となっていたのを代表取締役に修正</t>
  </si>
  <si>
    <t>手数料詳細画面の明細リスト一覧から、適判手数料、適判事務手数料を削除</t>
  </si>
  <si>
    <t>消防の種類：初期値を同意に変更</t>
  </si>
  <si>
    <t>申請者と建築主の住所、肩書、氏名の間にスペースを入れる処理を統一</t>
  </si>
  <si>
    <t>浄化槽通知、特定建築物（ビル管法）の出力タイミングを受付 - 引受処理に変更</t>
  </si>
  <si>
    <t>特定建築物（ビル管法）出力：タイトル、シート名、及び文言を変更</t>
  </si>
  <si>
    <t>不要な入力チェックシートが表示していたのを削除</t>
  </si>
  <si>
    <t>決裁書の搭載（未完成）</t>
  </si>
  <si>
    <t>行政照会（東京）の搭載（未完成）</t>
  </si>
  <si>
    <t>EXCEL出力に検査予約を追加</t>
  </si>
  <si>
    <t>物件管理表：物件IDを事前番号に変更、適判物件の有無の判定箇所を変更、検索条件を付加</t>
  </si>
  <si>
    <t>物件管理表：手数料入金欄に、手数料タブの備考を追加</t>
  </si>
  <si>
    <t>物件管理表：表示順の入替え（意匠・設備・構造 → 意匠・構造・設備）</t>
  </si>
  <si>
    <t>物件管理表：適判判定依頼日のリンク先が間違っていたのを修正</t>
  </si>
  <si>
    <t>東京都行政照会</t>
    <rPh sb="0" eb="3">
      <t>トウキョウト</t>
    </rPh>
    <rPh sb="3" eb="7">
      <t>ギョウセイショウカイ</t>
    </rPh>
    <phoneticPr fontId="2"/>
  </si>
  <si>
    <t>出張費の出力処理が正常動作しなかった問題を修正</t>
    <rPh sb="0" eb="3">
      <t>シュッチョウヒ</t>
    </rPh>
    <rPh sb="4" eb="6">
      <t>シュツリョク</t>
    </rPh>
    <rPh sb="6" eb="8">
      <t>ショリ</t>
    </rPh>
    <rPh sb="9" eb="13">
      <t>セイジョウドウサ</t>
    </rPh>
    <rPh sb="18" eb="20">
      <t>モンダイ</t>
    </rPh>
    <rPh sb="21" eb="23">
      <t>シュウセイ</t>
    </rPh>
    <phoneticPr fontId="2"/>
  </si>
  <si>
    <t>回数の非表示を全社に変更</t>
    <rPh sb="0" eb="2">
      <t>カイスウ</t>
    </rPh>
    <rPh sb="3" eb="6">
      <t>ヒヒョウジ</t>
    </rPh>
    <rPh sb="7" eb="9">
      <t>ゼンシャ</t>
    </rPh>
    <rPh sb="10" eb="12">
      <t>ヘンコウ</t>
    </rPh>
    <phoneticPr fontId="2"/>
  </si>
  <si>
    <t>特定工程の回数の非表示を全社に変更</t>
    <rPh sb="0" eb="4">
      <t>トクテイコウテイ</t>
    </rPh>
    <rPh sb="5" eb="7">
      <t>カイスウ</t>
    </rPh>
    <rPh sb="8" eb="11">
      <t>ヒヒョウジ</t>
    </rPh>
    <rPh sb="12" eb="14">
      <t>ゼンシャ</t>
    </rPh>
    <rPh sb="15" eb="17">
      <t>ヘンコウ</t>
    </rPh>
    <phoneticPr fontId="2"/>
  </si>
  <si>
    <t>避難安全検証法が選択されているか検索</t>
    <rPh sb="8" eb="10">
      <t>センタク</t>
    </rPh>
    <rPh sb="16" eb="18">
      <t>ケンサク</t>
    </rPh>
    <phoneticPr fontId="2"/>
  </si>
  <si>
    <t>search_CHARGE_DETAIL_hinananzen</t>
    <phoneticPr fontId="2"/>
  </si>
  <si>
    <t>search_CHARGE_DETAIL_hinananzen_fee</t>
    <phoneticPr fontId="2"/>
  </si>
  <si>
    <t>耐火・防火区画性能検証法が選択されているか検索</t>
    <rPh sb="13" eb="15">
      <t>センタク</t>
    </rPh>
    <rPh sb="21" eb="23">
      <t>ケンサク</t>
    </rPh>
    <phoneticPr fontId="2"/>
  </si>
  <si>
    <t>限界耐力計算法エネルギー法が選択されているか検索</t>
    <rPh sb="14" eb="16">
      <t>センタク</t>
    </rPh>
    <rPh sb="22" eb="24">
      <t>ケンサク</t>
    </rPh>
    <phoneticPr fontId="2"/>
  </si>
  <si>
    <t>search_CHARGE_DETAIL_taikabouka</t>
    <phoneticPr fontId="2"/>
  </si>
  <si>
    <t>search_CHARGE_DETAIL_taikabouka_fee</t>
    <phoneticPr fontId="2"/>
  </si>
  <si>
    <t>search_CHARGE_DETAIL_genkaitairyoku</t>
    <phoneticPr fontId="2"/>
  </si>
  <si>
    <t>search_CHARGE_DETAIL_genkaitairyoku_fee</t>
    <phoneticPr fontId="2"/>
  </si>
  <si>
    <t>output_CHARGE_DETAIL_kakunin_fee</t>
    <phoneticPr fontId="2"/>
  </si>
  <si>
    <t>構造責任者</t>
    <rPh sb="0" eb="2">
      <t>コウゾウ</t>
    </rPh>
    <rPh sb="2" eb="5">
      <t>セキニンシャ</t>
    </rPh>
    <phoneticPr fontId="2"/>
  </si>
  <si>
    <t>略名・記号</t>
    <rPh sb="0" eb="1">
      <t>リャク</t>
    </rPh>
    <rPh sb="1" eb="2">
      <t>メイ</t>
    </rPh>
    <rPh sb="3" eb="5">
      <t>キゴウ</t>
    </rPh>
    <phoneticPr fontId="2"/>
  </si>
  <si>
    <t>完全一致検索用略称(CODE)</t>
    <rPh sb="0" eb="2">
      <t>カンゼン</t>
    </rPh>
    <rPh sb="2" eb="4">
      <t>イッチ</t>
    </rPh>
    <rPh sb="4" eb="7">
      <t>ケンサクヨウ</t>
    </rPh>
    <rPh sb="7" eb="9">
      <t>リャクショウ</t>
    </rPh>
    <phoneticPr fontId="2"/>
  </si>
  <si>
    <t>A</t>
    <phoneticPr fontId="2"/>
  </si>
  <si>
    <t>代表取締役社長 田野邉　幸裕</t>
  </si>
  <si>
    <t>代表取締役社長  田野邉　幸裕</t>
  </si>
  <si>
    <t>Add</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</si>
  <si>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</si>
  <si>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</si>
  <si>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</si>
  <si>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</si>
  <si>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</si>
  <si>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</si>
  <si>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</si>
  <si>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</si>
  <si>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</si>
  <si>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</si>
  <si>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</si>
  <si>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</si>
  <si>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</si>
  <si>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</si>
  <si>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</si>
  <si>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</si>
  <si>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</si>
  <si>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</si>
  <si>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</si>
  <si>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</si>
  <si>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</si>
  <si>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</si>
  <si>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</si>
  <si>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</si>
  <si>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</si>
  <si>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</si>
  <si>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</si>
  <si>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</si>
  <si>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</si>
  <si>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</si>
  <si>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各会社情報 履歴</t>
    <rPh sb="0" eb="1">
      <t>カク</t>
    </rPh>
    <rPh sb="1" eb="3">
      <t>カイシャ</t>
    </rPh>
    <rPh sb="3" eb="5">
      <t>ジョウホウ</t>
    </rPh>
    <rPh sb="6" eb="8">
      <t>リレキ</t>
    </rPh>
    <phoneticPr fontId="2"/>
  </si>
  <si>
    <t>開始日</t>
    <rPh sb="0" eb="3">
      <t>カイシビ</t>
    </rPh>
    <phoneticPr fontId="2"/>
  </si>
  <si>
    <t>会社タイプ</t>
    <rPh sb="0" eb="2">
      <t>カイシャ</t>
    </rPh>
    <phoneticPr fontId="2"/>
  </si>
  <si>
    <t>住所１</t>
    <rPh sb="0" eb="2">
      <t>ジュウショ</t>
    </rPh>
    <phoneticPr fontId="2"/>
  </si>
  <si>
    <t>電話番号</t>
    <rPh sb="0" eb="4">
      <t>デンワバンゴウ</t>
    </rPh>
    <phoneticPr fontId="2"/>
  </si>
  <si>
    <t>FAX番号</t>
    <rPh sb="3" eb="5">
      <t>バンゴウ</t>
    </rPh>
    <phoneticPr fontId="2"/>
  </si>
  <si>
    <t>担当者</t>
    <rPh sb="0" eb="2">
      <t>タントウ</t>
    </rPh>
    <rPh sb="2" eb="3">
      <t>シャ</t>
    </rPh>
    <phoneticPr fontId="2"/>
  </si>
  <si>
    <t>表記名</t>
    <rPh sb="0" eb="2">
      <t>ヒョウキ</t>
    </rPh>
    <rPh sb="2" eb="3">
      <t>メイ</t>
    </rPh>
    <phoneticPr fontId="2"/>
  </si>
  <si>
    <t>※ 履歴列に「*」が付いている行は使用しないでください。</t>
    <rPh sb="2" eb="4">
      <t>リレキ</t>
    </rPh>
    <rPh sb="4" eb="5">
      <t>レツ</t>
    </rPh>
    <rPh sb="10" eb="11">
      <t>ツ</t>
    </rPh>
    <rPh sb="15" eb="16">
      <t>ギョウ</t>
    </rPh>
    <rPh sb="17" eb="19">
      <t>シヨウ</t>
    </rPh>
    <phoneticPr fontId="2"/>
  </si>
  <si>
    <t>※ 履歴に行を追加する場合は「*」のひとつ上に挿入して下さい。</t>
    <rPh sb="2" eb="4">
      <t>リレキ</t>
    </rPh>
    <rPh sb="5" eb="6">
      <t>ギョウ</t>
    </rPh>
    <rPh sb="7" eb="9">
      <t>ツイカ</t>
    </rPh>
    <rPh sb="11" eb="13">
      <t>バアイ</t>
    </rPh>
    <rPh sb="21" eb="22">
      <t>ウエ</t>
    </rPh>
    <rPh sb="23" eb="25">
      <t>ソウニュウ</t>
    </rPh>
    <rPh sb="27" eb="28">
      <t>クダ</t>
    </rPh>
    <phoneticPr fontId="2"/>
  </si>
  <si>
    <t>使用する本支店表の選択処理</t>
    <rPh sb="0" eb="2">
      <t>シヨウ</t>
    </rPh>
    <rPh sb="4" eb="7">
      <t>ホンシテン</t>
    </rPh>
    <rPh sb="7" eb="8">
      <t>ヒョウ</t>
    </rPh>
    <rPh sb="9" eb="11">
      <t>センタク</t>
    </rPh>
    <rPh sb="11" eb="13">
      <t>ショリ</t>
    </rPh>
    <phoneticPr fontId="2"/>
  </si>
  <si>
    <t>本支店コード取得処理（Pack系内のみ有効）</t>
    <rPh sb="0" eb="3">
      <t>ホンシテン</t>
    </rPh>
    <rPh sb="6" eb="8">
      <t>シュトク</t>
    </rPh>
    <rPh sb="8" eb="10">
      <t>ショリ</t>
    </rPh>
    <rPh sb="15" eb="16">
      <t>ケイ</t>
    </rPh>
    <rPh sb="16" eb="17">
      <t>ナイ</t>
    </rPh>
    <rPh sb="19" eb="21">
      <t>ユウコウ</t>
    </rPh>
    <phoneticPr fontId="2"/>
  </si>
  <si>
    <t>本支店名一覧</t>
    <rPh sb="0" eb="3">
      <t>ホンシテン</t>
    </rPh>
    <rPh sb="3" eb="4">
      <t>メイ</t>
    </rPh>
    <rPh sb="4" eb="6">
      <t>イチラン</t>
    </rPh>
    <phoneticPr fontId="2"/>
  </si>
  <si>
    <t>● 取得したオフィスコード</t>
    <rPh sb="2" eb="4">
      <t>シュトク</t>
    </rPh>
    <phoneticPr fontId="2"/>
  </si>
  <si>
    <t>※ 未作成</t>
    <rPh sb="2" eb="3">
      <t>ミ</t>
    </rPh>
    <rPh sb="3" eb="5">
      <t>サクセイ</t>
    </rPh>
    <phoneticPr fontId="2"/>
  </si>
  <si>
    <t>30 CIAS</t>
    <phoneticPr fontId="10"/>
  </si>
  <si>
    <t>don_SearchErea1_CIAS</t>
    <phoneticPr fontId="2"/>
  </si>
  <si>
    <t>don_BasePoint1_CIAS</t>
    <phoneticPr fontId="2"/>
  </si>
  <si>
    <t>株式会社 国際確認検査センター</t>
  </si>
  <si>
    <t>*</t>
    <phoneticPr fontId="2"/>
  </si>
  <si>
    <t>大阪本店</t>
  </si>
  <si>
    <t>don_SearchErea2_CIAS</t>
    <phoneticPr fontId="2"/>
  </si>
  <si>
    <t>don_BasePoint2_CIAS</t>
    <phoneticPr fontId="2"/>
  </si>
  <si>
    <t>541-0041</t>
  </si>
  <si>
    <t>京阪御堂筋ビル７Ｆ</t>
  </si>
  <si>
    <t>06-6222-6626</t>
  </si>
  <si>
    <t>06-6222-6627</t>
  </si>
  <si>
    <t>don_SearchErea3_CIAS</t>
    <phoneticPr fontId="2"/>
  </si>
  <si>
    <t>don_BasePoint3_CIAS</t>
    <phoneticPr fontId="2"/>
  </si>
  <si>
    <t>九州支店</t>
  </si>
  <si>
    <t>don_SearchErea4_CIAS</t>
    <phoneticPr fontId="2"/>
  </si>
  <si>
    <t>don_BasePoint4_CIAS</t>
    <phoneticPr fontId="2"/>
  </si>
  <si>
    <t>850-0035</t>
  </si>
  <si>
    <t>長崎県長崎市元船町14番10号</t>
  </si>
  <si>
    <t>095-829-2290</t>
  </si>
  <si>
    <t>don_SearchErea5_CIAS</t>
    <phoneticPr fontId="2"/>
  </si>
  <si>
    <t>don_BasePoint5_CIAS</t>
    <phoneticPr fontId="2"/>
  </si>
  <si>
    <t>don_OFFICE__search_erea_CIAS</t>
    <phoneticPr fontId="2"/>
  </si>
  <si>
    <t>don_OFFICE__code_CIAS</t>
    <phoneticPr fontId="2"/>
  </si>
  <si>
    <t>共通処理：</t>
    <rPh sb="0" eb="2">
      <t>キョウツウ</t>
    </rPh>
    <rPh sb="2" eb="4">
      <t>ショリ</t>
    </rPh>
    <phoneticPr fontId="10"/>
  </si>
  <si>
    <t>don_BasePointX</t>
    <phoneticPr fontId="2"/>
  </si>
  <si>
    <t>don_SearchEreaX</t>
    <phoneticPr fontId="2"/>
  </si>
  <si>
    <t>本支店情報出力処理：</t>
    <rPh sb="0" eb="3">
      <t>ホンシテン</t>
    </rPh>
    <rPh sb="3" eb="5">
      <t>ジョウホウ</t>
    </rPh>
    <rPh sb="5" eb="7">
      <t>シュツリョク</t>
    </rPh>
    <rPh sb="7" eb="9">
      <t>ショリ</t>
    </rPh>
    <phoneticPr fontId="2"/>
  </si>
  <si>
    <t>対象機関名</t>
    <rPh sb="0" eb="5">
      <t>タイショウキカンメイ</t>
    </rPh>
    <phoneticPr fontId="2"/>
  </si>
  <si>
    <t>検索用日付・検索結果</t>
    <rPh sb="0" eb="3">
      <t>ケンサクヨウ</t>
    </rPh>
    <rPh sb="3" eb="5">
      <t>ヒヅケ</t>
    </rPh>
    <rPh sb="6" eb="8">
      <t>ケンサク</t>
    </rPh>
    <rPh sb="8" eb="10">
      <t>ケッカ</t>
    </rPh>
    <phoneticPr fontId="2"/>
  </si>
  <si>
    <t>don_OFFICE_POST__print_time</t>
    <phoneticPr fontId="2"/>
  </si>
  <si>
    <t>don_OFFICE_ADDRESS1__print_time</t>
    <phoneticPr fontId="2"/>
  </si>
  <si>
    <t>don_OFFICE_ADDRESS2__print_time</t>
    <phoneticPr fontId="2"/>
  </si>
  <si>
    <t>don_OFFICE_TEL__print_time</t>
    <phoneticPr fontId="2"/>
  </si>
  <si>
    <t>don_OFFICE_FAX__print_time</t>
    <phoneticPr fontId="2"/>
  </si>
  <si>
    <t>帳票情報</t>
    <rPh sb="0" eb="2">
      <t>チョウヒョウ</t>
    </rPh>
    <rPh sb="2" eb="4">
      <t>ジョウホウ</t>
    </rPh>
    <phoneticPr fontId="2"/>
  </si>
  <si>
    <t>出力条件</t>
    <rPh sb="0" eb="2">
      <t>シュツリョク</t>
    </rPh>
    <rPh sb="2" eb="4">
      <t>ジョウケン</t>
    </rPh>
    <phoneticPr fontId="2"/>
  </si>
  <si>
    <t>プリンタ</t>
    <phoneticPr fontId="2"/>
  </si>
  <si>
    <t>帳票作成ボタン</t>
    <rPh sb="0" eb="2">
      <t>チョウヒョウ</t>
    </rPh>
    <rPh sb="2" eb="4">
      <t>サクセイ</t>
    </rPh>
    <phoneticPr fontId="2"/>
  </si>
  <si>
    <t>→条件</t>
    <phoneticPr fontId="2"/>
  </si>
  <si>
    <t>消防関係</t>
    <rPh sb="0" eb="2">
      <t>ショウボウ</t>
    </rPh>
    <rPh sb="2" eb="4">
      <t>カンケイ</t>
    </rPh>
    <phoneticPr fontId="2"/>
  </si>
  <si>
    <t>行政庁</t>
    <rPh sb="0" eb="3">
      <t>ギョウセイチョウ</t>
    </rPh>
    <phoneticPr fontId="2"/>
  </si>
  <si>
    <t>行政別出力項目（ＵＤＩ）</t>
    <rPh sb="0" eb="2">
      <t>ギョウセイ</t>
    </rPh>
    <rPh sb="2" eb="3">
      <t>ベツ</t>
    </rPh>
    <rPh sb="3" eb="5">
      <t>シュツリョク</t>
    </rPh>
    <rPh sb="5" eb="7">
      <t>コウモク</t>
    </rPh>
    <phoneticPr fontId="2"/>
  </si>
  <si>
    <t>適判機関名</t>
    <rPh sb="0" eb="2">
      <t>テキハン</t>
    </rPh>
    <rPh sb="2" eb="4">
      <t>キカン</t>
    </rPh>
    <rPh sb="4" eb="5">
      <t>メイ</t>
    </rPh>
    <phoneticPr fontId="2"/>
  </si>
  <si>
    <t>追加説明書の提出（適判へ）用タブページ</t>
    <rPh sb="0" eb="2">
      <t>ツイカ</t>
    </rPh>
    <rPh sb="13" eb="14">
      <t>ヨウ</t>
    </rPh>
    <phoneticPr fontId="2"/>
  </si>
  <si>
    <t>申請データ情報</t>
    <phoneticPr fontId="2"/>
  </si>
  <si>
    <t>工作物（種類）</t>
    <rPh sb="0" eb="3">
      <t>コウサクブツ</t>
    </rPh>
    <rPh sb="4" eb="6">
      <t>シュルイ</t>
    </rPh>
    <phoneticPr fontId="2"/>
  </si>
  <si>
    <t>昇降機（種類）</t>
    <rPh sb="0" eb="3">
      <t>ショウコウキ</t>
    </rPh>
    <rPh sb="4" eb="6">
      <t>シュルイ</t>
    </rPh>
    <phoneticPr fontId="2"/>
  </si>
  <si>
    <t>受付支店  (MST_OFFICE ID)</t>
    <rPh sb="0" eb="2">
      <t>ウケツケ</t>
    </rPh>
    <rPh sb="2" eb="4">
      <t>シテン</t>
    </rPh>
    <phoneticPr fontId="2"/>
  </si>
  <si>
    <t xml:space="preserve"> 建築場所  (都道府県CODE：)</t>
    <rPh sb="1" eb="3">
      <t>ケンチク</t>
    </rPh>
    <rPh sb="3" eb="5">
      <t>バショ</t>
    </rPh>
    <rPh sb="8" eb="12">
      <t>トドウフケン</t>
    </rPh>
    <phoneticPr fontId="2"/>
  </si>
  <si>
    <t>№</t>
    <phoneticPr fontId="2"/>
  </si>
  <si>
    <t>Sheet名</t>
    <rPh sb="5" eb="6">
      <t>メイ</t>
    </rPh>
    <phoneticPr fontId="2"/>
  </si>
  <si>
    <t>User</t>
    <phoneticPr fontId="2"/>
  </si>
  <si>
    <t>帳票名</t>
    <rPh sb="0" eb="2">
      <t>チョウヒョウ</t>
    </rPh>
    <rPh sb="2" eb="3">
      <t>メイ</t>
    </rPh>
    <phoneticPr fontId="2"/>
  </si>
  <si>
    <t>非使用</t>
    <rPh sb="0" eb="1">
      <t>アラ</t>
    </rPh>
    <rPh sb="1" eb="3">
      <t>シヨウ</t>
    </rPh>
    <phoneticPr fontId="2"/>
  </si>
  <si>
    <t>非表示</t>
    <rPh sb="0" eb="3">
      <t>ヒヒョウジ</t>
    </rPh>
    <phoneticPr fontId="2"/>
  </si>
  <si>
    <t>条件</t>
    <phoneticPr fontId="2"/>
  </si>
  <si>
    <t>特記事項（出力条件等）</t>
    <rPh sb="0" eb="2">
      <t>トッキ</t>
    </rPh>
    <rPh sb="2" eb="4">
      <t>ジコウ</t>
    </rPh>
    <rPh sb="9" eb="10">
      <t>ナド</t>
    </rPh>
    <phoneticPr fontId="2"/>
  </si>
  <si>
    <t>A4薄紙</t>
    <rPh sb="2" eb="4">
      <t>ウスガミ</t>
    </rPh>
    <phoneticPr fontId="2"/>
  </si>
  <si>
    <t>A4厚紙</t>
    <rPh sb="2" eb="4">
      <t>アツガミ</t>
    </rPh>
    <phoneticPr fontId="2"/>
  </si>
  <si>
    <t>出力機器</t>
    <rPh sb="0" eb="2">
      <t>シュツリョク</t>
    </rPh>
    <rPh sb="2" eb="4">
      <t>キキ</t>
    </rPh>
    <phoneticPr fontId="2"/>
  </si>
  <si>
    <t>届出</t>
    <rPh sb="0" eb="2">
      <t>トドケデ</t>
    </rPh>
    <phoneticPr fontId="2"/>
  </si>
  <si>
    <t>計変変更</t>
    <rPh sb="0" eb="1">
      <t>ケイ</t>
    </rPh>
    <rPh sb="1" eb="2">
      <t>ヘン</t>
    </rPh>
    <rPh sb="2" eb="4">
      <t>ヘンコウ</t>
    </rPh>
    <phoneticPr fontId="2"/>
  </si>
  <si>
    <t>事前</t>
    <rPh sb="0" eb="2">
      <t>ジゼン</t>
    </rPh>
    <phoneticPr fontId="2"/>
  </si>
  <si>
    <t>引受</t>
    <rPh sb="0" eb="2">
      <t>ヒキウケ</t>
    </rPh>
    <phoneticPr fontId="2"/>
  </si>
  <si>
    <t>確認不可
期限付</t>
    <rPh sb="0" eb="2">
      <t>カクニン</t>
    </rPh>
    <rPh sb="2" eb="4">
      <t>フカ</t>
    </rPh>
    <rPh sb="5" eb="7">
      <t>キゲン</t>
    </rPh>
    <rPh sb="7" eb="8">
      <t>ツキ</t>
    </rPh>
    <phoneticPr fontId="2"/>
  </si>
  <si>
    <t>確認不可
無期限</t>
    <rPh sb="0" eb="2">
      <t>カクニン</t>
    </rPh>
    <rPh sb="2" eb="4">
      <t>フカ</t>
    </rPh>
    <rPh sb="5" eb="8">
      <t>ムキゲン</t>
    </rPh>
    <phoneticPr fontId="2"/>
  </si>
  <si>
    <t>交付不可
期限付</t>
    <rPh sb="0" eb="2">
      <t>コウフ</t>
    </rPh>
    <rPh sb="2" eb="4">
      <t>フカ</t>
    </rPh>
    <rPh sb="5" eb="7">
      <t>キゲン</t>
    </rPh>
    <rPh sb="7" eb="8">
      <t>ツキ</t>
    </rPh>
    <phoneticPr fontId="2"/>
  </si>
  <si>
    <t>交付不可
無期限</t>
    <rPh sb="0" eb="2">
      <t>コウフ</t>
    </rPh>
    <rPh sb="2" eb="4">
      <t>フカ</t>
    </rPh>
    <rPh sb="5" eb="8">
      <t>ムキゲン</t>
    </rPh>
    <phoneticPr fontId="2"/>
  </si>
  <si>
    <t>補正等－帳票作成</t>
    <phoneticPr fontId="2"/>
  </si>
  <si>
    <t>補正等－
追加説明送付書作成</t>
    <phoneticPr fontId="2"/>
  </si>
  <si>
    <t>補正等－提出期限延期作成</t>
    <phoneticPr fontId="2"/>
  </si>
  <si>
    <t>定期報告基本台帳</t>
    <phoneticPr fontId="2"/>
  </si>
  <si>
    <t>確認
（申請管理）</t>
    <rPh sb="0" eb="2">
      <t>カクニン</t>
    </rPh>
    <rPh sb="4" eb="6">
      <t>シンセイ</t>
    </rPh>
    <rPh sb="6" eb="8">
      <t>カンリ</t>
    </rPh>
    <phoneticPr fontId="2"/>
  </si>
  <si>
    <t>ビル管（保健所）</t>
    <rPh sb="2" eb="3">
      <t>カン</t>
    </rPh>
    <rPh sb="4" eb="7">
      <t>ホケンジョ</t>
    </rPh>
    <phoneticPr fontId="2"/>
  </si>
  <si>
    <t>請求書</t>
    <rPh sb="0" eb="3">
      <t>セイキュウショ</t>
    </rPh>
    <phoneticPr fontId="2"/>
  </si>
  <si>
    <t>領収書</t>
    <rPh sb="0" eb="3">
      <t>リョウシュウショ</t>
    </rPh>
    <phoneticPr fontId="2"/>
  </si>
  <si>
    <t>同意</t>
    <rPh sb="0" eb="2">
      <t>ドウイ</t>
    </rPh>
    <phoneticPr fontId="2"/>
  </si>
  <si>
    <t>通知</t>
    <rPh sb="0" eb="2">
      <t>ツウチ</t>
    </rPh>
    <phoneticPr fontId="2"/>
  </si>
  <si>
    <t>特定行政庁</t>
    <rPh sb="0" eb="2">
      <t>トクテイ</t>
    </rPh>
    <rPh sb="2" eb="5">
      <t>ギョウセイチョウ</t>
    </rPh>
    <phoneticPr fontId="2"/>
  </si>
  <si>
    <t>特別区</t>
    <rPh sb="0" eb="3">
      <t>トクベツク</t>
    </rPh>
    <phoneticPr fontId="2"/>
  </si>
  <si>
    <t>ＦＡＸ送信</t>
    <phoneticPr fontId="2"/>
  </si>
  <si>
    <t>概要送付書①</t>
    <rPh sb="0" eb="2">
      <t>ガイヨウ</t>
    </rPh>
    <rPh sb="2" eb="4">
      <t>ソウフ</t>
    </rPh>
    <rPh sb="4" eb="5">
      <t>ショ</t>
    </rPh>
    <phoneticPr fontId="2"/>
  </si>
  <si>
    <t>概要送付書②</t>
    <rPh sb="0" eb="2">
      <t>ガイヨウ</t>
    </rPh>
    <rPh sb="2" eb="4">
      <t>ソウフ</t>
    </rPh>
    <rPh sb="4" eb="5">
      <t>ショ</t>
    </rPh>
    <phoneticPr fontId="2"/>
  </si>
  <si>
    <t>担当者チェックによる訂正事項</t>
    <phoneticPr fontId="2"/>
  </si>
  <si>
    <t>法令調査願い</t>
    <rPh sb="0" eb="2">
      <t>ホウレイ</t>
    </rPh>
    <rPh sb="2" eb="4">
      <t>チョウサ</t>
    </rPh>
    <rPh sb="4" eb="5">
      <t>ネガ</t>
    </rPh>
    <phoneticPr fontId="2"/>
  </si>
  <si>
    <t>法令調査票</t>
    <rPh sb="0" eb="2">
      <t>ホウレイ</t>
    </rPh>
    <rPh sb="2" eb="4">
      <t>チョウサ</t>
    </rPh>
    <rPh sb="4" eb="5">
      <t>ヒョウ</t>
    </rPh>
    <phoneticPr fontId="2"/>
  </si>
  <si>
    <t>道路・敷地照会
消防 送付書</t>
    <rPh sb="0" eb="2">
      <t>ドウロ</t>
    </rPh>
    <rPh sb="3" eb="5">
      <t>シキチ</t>
    </rPh>
    <rPh sb="5" eb="7">
      <t>ショウカイ</t>
    </rPh>
    <rPh sb="8" eb="10">
      <t>ショウボウ</t>
    </rPh>
    <rPh sb="11" eb="13">
      <t>ソウフ</t>
    </rPh>
    <rPh sb="13" eb="14">
      <t>ショ</t>
    </rPh>
    <phoneticPr fontId="2"/>
  </si>
  <si>
    <t>調査表兼報告書
消防同意神戸市</t>
    <rPh sb="0" eb="2">
      <t>チョウサ</t>
    </rPh>
    <rPh sb="2" eb="3">
      <t>ヒョウ</t>
    </rPh>
    <rPh sb="3" eb="4">
      <t>ケン</t>
    </rPh>
    <rPh sb="4" eb="7">
      <t>ホウコクショ</t>
    </rPh>
    <rPh sb="8" eb="10">
      <t>ショウボウ</t>
    </rPh>
    <rPh sb="10" eb="12">
      <t>ドウイ</t>
    </rPh>
    <rPh sb="12" eb="15">
      <t>コウベシ</t>
    </rPh>
    <phoneticPr fontId="2"/>
  </si>
  <si>
    <t>概要書(四面）</t>
    <phoneticPr fontId="2"/>
  </si>
  <si>
    <t>構造計算適合性判定の結果通知書交付者</t>
    <rPh sb="0" eb="2">
      <t>コウゾウ</t>
    </rPh>
    <rPh sb="2" eb="4">
      <t>ケイサン</t>
    </rPh>
    <rPh sb="4" eb="7">
      <t>テキゴウセイ</t>
    </rPh>
    <rPh sb="7" eb="9">
      <t>ハンテイ</t>
    </rPh>
    <rPh sb="10" eb="12">
      <t>ケッカ</t>
    </rPh>
    <rPh sb="12" eb="14">
      <t>ツウチ</t>
    </rPh>
    <rPh sb="14" eb="15">
      <t>ショ</t>
    </rPh>
    <rPh sb="15" eb="17">
      <t>コウフ</t>
    </rPh>
    <rPh sb="17" eb="18">
      <t>シャ</t>
    </rPh>
    <phoneticPr fontId="2"/>
  </si>
  <si>
    <t>構造（主要・一部）</t>
    <rPh sb="0" eb="2">
      <t>コウゾウ</t>
    </rPh>
    <rPh sb="3" eb="5">
      <t>シュヨウ</t>
    </rPh>
    <rPh sb="6" eb="8">
      <t>イチブ</t>
    </rPh>
    <phoneticPr fontId="2"/>
  </si>
  <si>
    <t>階数（地上）</t>
    <rPh sb="0" eb="2">
      <t>カイスウ</t>
    </rPh>
    <rPh sb="3" eb="5">
      <t>チジョウ</t>
    </rPh>
    <phoneticPr fontId="2"/>
  </si>
  <si>
    <t>主要用途
（戸建て住宅）</t>
    <rPh sb="0" eb="2">
      <t>シュヨウ</t>
    </rPh>
    <rPh sb="2" eb="4">
      <t>ヨウト</t>
    </rPh>
    <rPh sb="6" eb="8">
      <t>コダ</t>
    </rPh>
    <rPh sb="9" eb="11">
      <t>ジュウタク</t>
    </rPh>
    <phoneticPr fontId="2"/>
  </si>
  <si>
    <t>法６条区分</t>
    <rPh sb="0" eb="1">
      <t>ホウ</t>
    </rPh>
    <rPh sb="1" eb="3">
      <t>ロクジョウ</t>
    </rPh>
    <rPh sb="3" eb="5">
      <t>クブン</t>
    </rPh>
    <phoneticPr fontId="2"/>
  </si>
  <si>
    <t>木造２階</t>
    <rPh sb="0" eb="2">
      <t>モクゾウ</t>
    </rPh>
    <rPh sb="3" eb="4">
      <t>カイ</t>
    </rPh>
    <phoneticPr fontId="2"/>
  </si>
  <si>
    <t>木造３階</t>
    <rPh sb="0" eb="2">
      <t>モクゾウ</t>
    </rPh>
    <rPh sb="3" eb="4">
      <t>カイ</t>
    </rPh>
    <phoneticPr fontId="2"/>
  </si>
  <si>
    <t>構造情報１</t>
    <rPh sb="0" eb="2">
      <t>コウゾウ</t>
    </rPh>
    <rPh sb="2" eb="4">
      <t>ジョウホウ</t>
    </rPh>
    <phoneticPr fontId="2"/>
  </si>
  <si>
    <t>引受番号</t>
    <rPh sb="0" eb="1">
      <t>ヒ</t>
    </rPh>
    <rPh sb="1" eb="2">
      <t>ウ</t>
    </rPh>
    <rPh sb="2" eb="4">
      <t>バンゴウ</t>
    </rPh>
    <phoneticPr fontId="2"/>
  </si>
  <si>
    <t>構造判定</t>
    <phoneticPr fontId="2"/>
  </si>
  <si>
    <t>住所チェック</t>
    <rPh sb="0" eb="2">
      <t>ジュウショ</t>
    </rPh>
    <phoneticPr fontId="2"/>
  </si>
  <si>
    <t>ビル管理法</t>
    <rPh sb="2" eb="5">
      <t>カンリホウ</t>
    </rPh>
    <phoneticPr fontId="2"/>
  </si>
  <si>
    <t>地階を含めた階数</t>
    <rPh sb="0" eb="2">
      <t>チカイ</t>
    </rPh>
    <rPh sb="3" eb="4">
      <t>フク</t>
    </rPh>
    <rPh sb="6" eb="8">
      <t>カイスウ</t>
    </rPh>
    <phoneticPr fontId="2"/>
  </si>
  <si>
    <t>浄化槽</t>
    <rPh sb="0" eb="3">
      <t>ジョウカソウ</t>
    </rPh>
    <phoneticPr fontId="2"/>
  </si>
  <si>
    <t>中間情報</t>
    <rPh sb="0" eb="2">
      <t>チュウカン</t>
    </rPh>
    <rPh sb="2" eb="4">
      <t>ジョウホウ</t>
    </rPh>
    <phoneticPr fontId="2"/>
  </si>
  <si>
    <t>中間CHK</t>
    <rPh sb="0" eb="2">
      <t>チュウカン</t>
    </rPh>
    <phoneticPr fontId="2"/>
  </si>
  <si>
    <t>特例３号</t>
    <rPh sb="0" eb="2">
      <t>トクレイ</t>
    </rPh>
    <rPh sb="3" eb="4">
      <t>ゴウ</t>
    </rPh>
    <phoneticPr fontId="2"/>
  </si>
  <si>
    <t>特例４号</t>
    <rPh sb="0" eb="2">
      <t>トクレイ</t>
    </rPh>
    <rPh sb="3" eb="4">
      <t>ゴウ</t>
    </rPh>
    <phoneticPr fontId="2"/>
  </si>
  <si>
    <t>認定型式</t>
    <rPh sb="0" eb="2">
      <t>ニンテイ</t>
    </rPh>
    <rPh sb="2" eb="4">
      <t>カタシキ</t>
    </rPh>
    <phoneticPr fontId="2"/>
  </si>
  <si>
    <t>日影検討</t>
    <rPh sb="0" eb="2">
      <t>ヒカゲ</t>
    </rPh>
    <rPh sb="2" eb="4">
      <t>ケントウ</t>
    </rPh>
    <phoneticPr fontId="2"/>
  </si>
  <si>
    <t>申請種別</t>
    <phoneticPr fontId="2"/>
  </si>
  <si>
    <t>煙突</t>
    <rPh sb="0" eb="2">
      <t>エントツ</t>
    </rPh>
    <phoneticPr fontId="2"/>
  </si>
  <si>
    <t>広告塔・高架水槽等</t>
    <rPh sb="0" eb="3">
      <t>コウコクトウ</t>
    </rPh>
    <rPh sb="4" eb="6">
      <t>コウカ</t>
    </rPh>
    <rPh sb="6" eb="9">
      <t>スイソウナド</t>
    </rPh>
    <phoneticPr fontId="2"/>
  </si>
  <si>
    <t>鉄筋コンクリート造等の柱</t>
    <rPh sb="0" eb="2">
      <t>テッキン</t>
    </rPh>
    <rPh sb="8" eb="9">
      <t>ゾウ</t>
    </rPh>
    <rPh sb="9" eb="10">
      <t>ナド</t>
    </rPh>
    <rPh sb="11" eb="12">
      <t>ハシラ</t>
    </rPh>
    <phoneticPr fontId="2"/>
  </si>
  <si>
    <t>遊戯施設</t>
    <rPh sb="0" eb="2">
      <t>ユウギ</t>
    </rPh>
    <rPh sb="2" eb="4">
      <t>シセツ</t>
    </rPh>
    <phoneticPr fontId="2"/>
  </si>
  <si>
    <t>プラント等</t>
    <rPh sb="4" eb="5">
      <t>ナド</t>
    </rPh>
    <phoneticPr fontId="2"/>
  </si>
  <si>
    <t>乗用エレベーター、エスカレーター</t>
    <rPh sb="0" eb="2">
      <t>ジョウヨウ</t>
    </rPh>
    <phoneticPr fontId="2"/>
  </si>
  <si>
    <t>小荷物専用昇降機</t>
    <rPh sb="0" eb="3">
      <t>コニモツ</t>
    </rPh>
    <rPh sb="3" eb="5">
      <t>センヨウ</t>
    </rPh>
    <rPh sb="5" eb="8">
      <t>ショウコウキ</t>
    </rPh>
    <phoneticPr fontId="2"/>
  </si>
  <si>
    <t>ホームエレベーター</t>
    <phoneticPr fontId="2"/>
  </si>
  <si>
    <t>北海道</t>
    <phoneticPr fontId="2"/>
  </si>
  <si>
    <t>青森県</t>
    <phoneticPr fontId="2"/>
  </si>
  <si>
    <t>岩手県</t>
    <phoneticPr fontId="2"/>
  </si>
  <si>
    <t>宮城県</t>
    <phoneticPr fontId="2"/>
  </si>
  <si>
    <t>秋田県</t>
    <phoneticPr fontId="2"/>
  </si>
  <si>
    <t>山形県</t>
    <phoneticPr fontId="2"/>
  </si>
  <si>
    <t>福島県</t>
    <phoneticPr fontId="2"/>
  </si>
  <si>
    <t>茨城県</t>
    <phoneticPr fontId="2"/>
  </si>
  <si>
    <t>栃木県</t>
    <phoneticPr fontId="2"/>
  </si>
  <si>
    <t>群馬県</t>
    <phoneticPr fontId="2"/>
  </si>
  <si>
    <t>埼玉県</t>
    <phoneticPr fontId="2"/>
  </si>
  <si>
    <t>千葉県</t>
    <phoneticPr fontId="2"/>
  </si>
  <si>
    <t>東京都</t>
    <phoneticPr fontId="2"/>
  </si>
  <si>
    <t>神奈川県</t>
    <phoneticPr fontId="2"/>
  </si>
  <si>
    <t>新潟県</t>
    <phoneticPr fontId="2"/>
  </si>
  <si>
    <t>富山県</t>
    <phoneticPr fontId="2"/>
  </si>
  <si>
    <t>石川県</t>
    <phoneticPr fontId="2"/>
  </si>
  <si>
    <t>福井県</t>
    <phoneticPr fontId="2"/>
  </si>
  <si>
    <t>山梨県</t>
    <phoneticPr fontId="2"/>
  </si>
  <si>
    <t>長野県</t>
    <phoneticPr fontId="2"/>
  </si>
  <si>
    <t>岐阜県</t>
    <phoneticPr fontId="2"/>
  </si>
  <si>
    <t>静岡県</t>
    <phoneticPr fontId="2"/>
  </si>
  <si>
    <t>愛知県</t>
    <phoneticPr fontId="2"/>
  </si>
  <si>
    <t>三重県</t>
    <phoneticPr fontId="2"/>
  </si>
  <si>
    <t>滋賀県</t>
    <phoneticPr fontId="2"/>
  </si>
  <si>
    <t>京都府</t>
    <phoneticPr fontId="2"/>
  </si>
  <si>
    <t>大阪府</t>
    <phoneticPr fontId="2"/>
  </si>
  <si>
    <t>兵庫県</t>
    <phoneticPr fontId="2"/>
  </si>
  <si>
    <t>奈良県</t>
    <phoneticPr fontId="2"/>
  </si>
  <si>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</si>
  <si>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</si>
  <si>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</si>
  <si>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</si>
  <si>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</si>
  <si>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</si>
  <si>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</si>
  <si>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</si>
  <si>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</si>
  <si>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</si>
  <si>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</si>
  <si>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</si>
  <si>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</si>
  <si>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</si>
  <si>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</si>
  <si>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鹿児島県</t>
    <phoneticPr fontId="2"/>
  </si>
  <si>
    <t>宮崎県</t>
    <phoneticPr fontId="2"/>
  </si>
  <si>
    <t>沖縄県</t>
    <phoneticPr fontId="2"/>
  </si>
  <si>
    <t xml:space="preserve"> </t>
    <phoneticPr fontId="2"/>
  </si>
  <si>
    <t>不適合</t>
    <rPh sb="0" eb="3">
      <t>フテキゴウ</t>
    </rPh>
    <phoneticPr fontId="2"/>
  </si>
  <si>
    <t>28</t>
    <phoneticPr fontId="2"/>
  </si>
  <si>
    <t>29-1</t>
    <phoneticPr fontId="2"/>
  </si>
  <si>
    <t>29-2</t>
    <phoneticPr fontId="2"/>
  </si>
  <si>
    <t>30</t>
    <phoneticPr fontId="2"/>
  </si>
  <si>
    <t>31</t>
    <phoneticPr fontId="2"/>
  </si>
  <si>
    <t>32</t>
    <phoneticPr fontId="2"/>
  </si>
  <si>
    <t>33</t>
    <phoneticPr fontId="2"/>
  </si>
  <si>
    <t>34</t>
    <phoneticPr fontId="2"/>
  </si>
  <si>
    <t>39</t>
    <phoneticPr fontId="2"/>
  </si>
  <si>
    <t>財団法人日本建築センター</t>
  </si>
  <si>
    <t>財団法人日本建築設備・昇降機センター</t>
  </si>
  <si>
    <t>財団法人ベターリビング</t>
  </si>
  <si>
    <t>財団法人住宅金融普及協会</t>
  </si>
  <si>
    <t>財団法人東京都防災・建築まちづくりセンター</t>
  </si>
  <si>
    <t>財団法人神奈川県建築安全協会</t>
  </si>
  <si>
    <t>財団法人さいたま住宅検査センター</t>
  </si>
  <si>
    <t>財団法人千葉県建設技術センター</t>
  </si>
  <si>
    <t>財団法人茨城県建築センター</t>
  </si>
  <si>
    <t>群馬県</t>
  </si>
  <si>
    <t>NPO法人静岡県建築技術安心支援センター</t>
  </si>
  <si>
    <t>ハウスプラス確認検査株式会社</t>
  </si>
  <si>
    <t>日本ERI株式会社</t>
  </si>
  <si>
    <t>株式会社都市居住評価センター</t>
  </si>
  <si>
    <t>ビューローベリタスジャパン株式会社</t>
    <phoneticPr fontId="2"/>
  </si>
  <si>
    <t>株式会社建築構造センター</t>
  </si>
  <si>
    <t>株式会社国際確認検査センター</t>
  </si>
  <si>
    <t>株式会社グット・アイズ建築検査機構</t>
  </si>
  <si>
    <t>株式会社東京建築検査機構</t>
  </si>
  <si>
    <t>アウェイ建築評価ネット株式会社</t>
  </si>
  <si>
    <t>株式会社神奈川建築確認検査機関</t>
  </si>
  <si>
    <t>社団法人日本膜構造協会</t>
  </si>
  <si>
    <t>財団法人愛知県建築住宅センター</t>
  </si>
  <si>
    <t>岐阜県</t>
  </si>
  <si>
    <t>財団法人日本住宅・木材技術センター</t>
  </si>
  <si>
    <t>財団法人三重県建設技術センター</t>
  </si>
  <si>
    <t>財団法人日本建築総合試験所</t>
  </si>
  <si>
    <t>財団法人大阪建築防災センター</t>
  </si>
  <si>
    <t>財団法人兵庫県住宅建築総合センター</t>
  </si>
  <si>
    <t>期限付</t>
  </si>
  <si>
    <t>無期限</t>
  </si>
  <si>
    <t>不適合</t>
  </si>
  <si>
    <t>鉄筋ｺﾝｸﾘｰﾄ造</t>
    <rPh sb="0" eb="2">
      <t>テッキン</t>
    </rPh>
    <rPh sb="8" eb="9">
      <t>ゾウ</t>
    </rPh>
    <phoneticPr fontId="2"/>
  </si>
  <si>
    <t>鉄骨造</t>
    <rPh sb="0" eb="2">
      <t>テッコツ</t>
    </rPh>
    <rPh sb="2" eb="3">
      <t>ゾウ</t>
    </rPh>
    <phoneticPr fontId="2"/>
  </si>
  <si>
    <t>2</t>
    <phoneticPr fontId="2"/>
  </si>
  <si>
    <t>3</t>
    <phoneticPr fontId="2"/>
  </si>
  <si>
    <t>１</t>
    <phoneticPr fontId="2"/>
  </si>
  <si>
    <t>1+2</t>
    <phoneticPr fontId="2"/>
  </si>
  <si>
    <t>1+3</t>
    <phoneticPr fontId="2"/>
  </si>
  <si>
    <t>２</t>
    <phoneticPr fontId="2"/>
  </si>
  <si>
    <t>３</t>
    <phoneticPr fontId="2"/>
  </si>
  <si>
    <t>４</t>
    <phoneticPr fontId="2"/>
  </si>
  <si>
    <t>Not1</t>
    <phoneticPr fontId="2"/>
  </si>
  <si>
    <t>空欄</t>
    <rPh sb="0" eb="2">
      <t>クウラン</t>
    </rPh>
    <phoneticPr fontId="2"/>
  </si>
  <si>
    <t>該当</t>
    <rPh sb="0" eb="2">
      <t>ガイトウ</t>
    </rPh>
    <phoneticPr fontId="2"/>
  </si>
  <si>
    <t>以外</t>
    <rPh sb="0" eb="2">
      <t>イガイ</t>
    </rPh>
    <phoneticPr fontId="2"/>
  </si>
  <si>
    <t>ルート１</t>
    <phoneticPr fontId="2"/>
  </si>
  <si>
    <t>有</t>
    <rPh sb="0" eb="1">
      <t>アリ</t>
    </rPh>
    <phoneticPr fontId="2"/>
  </si>
  <si>
    <t>無</t>
    <rPh sb="0" eb="1">
      <t>ナシ</t>
    </rPh>
    <phoneticPr fontId="2"/>
  </si>
  <si>
    <t>３以下</t>
    <rPh sb="1" eb="3">
      <t>イカ</t>
    </rPh>
    <phoneticPr fontId="2"/>
  </si>
  <si>
    <t>４以上</t>
    <rPh sb="1" eb="3">
      <t>イジョウ</t>
    </rPh>
    <phoneticPr fontId="2"/>
  </si>
  <si>
    <t>（4号）</t>
  </si>
  <si>
    <t>（型式認定）</t>
  </si>
  <si>
    <t>（500㎡以下）</t>
  </si>
  <si>
    <t>（500㎡超）</t>
  </si>
  <si>
    <t>（null）</t>
    <phoneticPr fontId="2"/>
  </si>
  <si>
    <t>**prule_nouse</t>
    <phoneticPr fontId="2"/>
  </si>
  <si>
    <t>**prule_hidden</t>
    <phoneticPr fontId="2"/>
  </si>
  <si>
    <t>**prule_target_build</t>
    <phoneticPr fontId="2"/>
  </si>
  <si>
    <t>**prule_target_ev</t>
    <phoneticPr fontId="2"/>
  </si>
  <si>
    <t>**prule_target_work</t>
    <phoneticPr fontId="2"/>
  </si>
  <si>
    <t>**prule_inspect_conf</t>
    <phoneticPr fontId="2"/>
  </si>
  <si>
    <t>**prule_inspect_alter</t>
    <phoneticPr fontId="2"/>
  </si>
  <si>
    <t>**prule_inspect_inter</t>
    <phoneticPr fontId="2"/>
  </si>
  <si>
    <t>**prule_inspect_final</t>
    <phoneticPr fontId="2"/>
  </si>
  <si>
    <t>**prule_btn_provo</t>
    <phoneticPr fontId="2"/>
  </si>
  <si>
    <t>**prule_btn_accept</t>
    <phoneticPr fontId="2"/>
  </si>
  <si>
    <t>**prule_btn_issue</t>
    <phoneticPr fontId="2"/>
  </si>
  <si>
    <t>**prule_btn_imposs</t>
    <phoneticPr fontId="2"/>
  </si>
  <si>
    <t>**prule_btn_impossx</t>
    <phoneticPr fontId="2"/>
  </si>
  <si>
    <t>**prule_btn_ng</t>
    <phoneticPr fontId="2"/>
  </si>
  <si>
    <t>**prule_btn_ngx</t>
    <phoneticPr fontId="2"/>
  </si>
  <si>
    <t>**prule_btn_hosei</t>
    <phoneticPr fontId="10"/>
  </si>
  <si>
    <t>**prule_btn_strtuikahosei</t>
    <phoneticPr fontId="10"/>
  </si>
  <si>
    <t>**prule_btn_strenkihosei</t>
    <phoneticPr fontId="10"/>
  </si>
  <si>
    <t>**prule_btn_doccheck</t>
    <phoneticPr fontId="2"/>
  </si>
  <si>
    <t>**prule_btn_regrepo</t>
    <phoneticPr fontId="2"/>
  </si>
  <si>
    <t>**prule_btn_objectdoccheck</t>
    <phoneticPr fontId="2"/>
  </si>
  <si>
    <t>**prule_btn_bill</t>
    <phoneticPr fontId="2"/>
  </si>
  <si>
    <t>**prule_btn_receipt</t>
    <phoneticPr fontId="2"/>
  </si>
  <si>
    <t>**prule_fire_agree</t>
    <phoneticPr fontId="2"/>
  </si>
  <si>
    <t>**prule_fire_notify</t>
    <phoneticPr fontId="2"/>
  </si>
  <si>
    <t>**prule_city_tokutei</t>
    <phoneticPr fontId="2"/>
  </si>
  <si>
    <t>**prule_city_tokubetu</t>
    <phoneticPr fontId="2"/>
  </si>
  <si>
    <t>**prule_city_gentei</t>
    <phoneticPr fontId="2"/>
  </si>
  <si>
    <t>**prule_city_other</t>
    <phoneticPr fontId="2"/>
  </si>
  <si>
    <t>**prule_cityflag_fax</t>
    <phoneticPr fontId="2"/>
  </si>
  <si>
    <t>**prule_cityflag_gaiyou1</t>
    <phoneticPr fontId="2"/>
  </si>
  <si>
    <t>**prule_cityflag_gaiyou2</t>
    <phoneticPr fontId="2"/>
  </si>
  <si>
    <t>**prule_cityflag_tanto_teisei</t>
    <phoneticPr fontId="2"/>
  </si>
  <si>
    <t>**prule_cityflag_hourei_negai</t>
    <phoneticPr fontId="2"/>
  </si>
  <si>
    <t>**prule_cityflag_hourei_hyou</t>
    <phoneticPr fontId="2"/>
  </si>
  <si>
    <t>**prule_cityflag_douro_syoukai</t>
    <phoneticPr fontId="2"/>
  </si>
  <si>
    <t>**prule_cityflag_tyousa_houkoku</t>
    <phoneticPr fontId="2"/>
  </si>
  <si>
    <t>**prule_cityflag_gaiyou_p4</t>
    <phoneticPr fontId="2"/>
  </si>
  <si>
    <t>**prule_strkoufusya_日本建築</t>
    <phoneticPr fontId="2"/>
  </si>
  <si>
    <t>**prule_strkoufusya_昇降機センタ</t>
    <phoneticPr fontId="2"/>
  </si>
  <si>
    <t>**prule_strkoufusya_ベターリビング</t>
    <phoneticPr fontId="2"/>
  </si>
  <si>
    <t>**prule_strkoufusya_住宅金融普及協会</t>
  </si>
  <si>
    <t>**prule_strkoufusya_建築まちづくり</t>
    <phoneticPr fontId="2"/>
  </si>
  <si>
    <t>**prule_strkoufusya_神奈川県建築安全協会</t>
  </si>
  <si>
    <t>**prule_strkoufusya_さいたま住宅検査センタ</t>
  </si>
  <si>
    <t>**prule_strkoufusya_千葉県建設技術</t>
    <phoneticPr fontId="2"/>
  </si>
  <si>
    <t>**prule_strkoufusya_茨城県建築</t>
    <phoneticPr fontId="2"/>
  </si>
  <si>
    <t>**prule_strkoufusya_群馬県</t>
  </si>
  <si>
    <t>**prule_strkoufusya_静岡県建築技術安心支援</t>
    <phoneticPr fontId="2"/>
  </si>
  <si>
    <t>**prule_strkoufusya_ハウスプラス</t>
    <phoneticPr fontId="2"/>
  </si>
  <si>
    <t>**prule_strkoufusya_日本ERI</t>
  </si>
  <si>
    <t>**prule_strkoufusya_都市居住評価</t>
    <phoneticPr fontId="2"/>
  </si>
  <si>
    <t>**prule_strkoufusya_ビューロ</t>
    <phoneticPr fontId="2"/>
  </si>
  <si>
    <t>**prule_strkoufusya_建築構造</t>
    <phoneticPr fontId="2"/>
  </si>
  <si>
    <t>**prule_strkoufusya_国際確認検査</t>
    <phoneticPr fontId="2"/>
  </si>
  <si>
    <t>**prule_strkoufusya_グット</t>
    <phoneticPr fontId="2"/>
  </si>
  <si>
    <t>**prule_strkoufusya_東京建築検査機構</t>
  </si>
  <si>
    <t>**prule_strkoufusya_建築評価ネット</t>
    <phoneticPr fontId="2"/>
  </si>
  <si>
    <t>**prule_strkoufusya_神奈川建築確認検査機関</t>
  </si>
  <si>
    <t>**prule_strkoufusya_日本膜構造協会</t>
  </si>
  <si>
    <t>**prule_strkoufusya_愛知県建築住宅</t>
    <phoneticPr fontId="2"/>
  </si>
  <si>
    <t>**prule_strkoufusya_岐阜県</t>
  </si>
  <si>
    <t>**prule_strkoufusya_木材技術</t>
    <phoneticPr fontId="2"/>
  </si>
  <si>
    <t>**prule_strkoufusya_三重県建設技術</t>
    <phoneticPr fontId="2"/>
  </si>
  <si>
    <t>**prule_strkoufusya_日本建築総合試験所</t>
  </si>
  <si>
    <t>**prule_strkoufusya_防災センタ</t>
    <phoneticPr fontId="2"/>
  </si>
  <si>
    <t>**prule_strkoufusya_兵庫県住宅建築総合</t>
    <phoneticPr fontId="2"/>
  </si>
  <si>
    <t>**prule_btn_strtuikaimposs</t>
    <phoneticPr fontId="2"/>
  </si>
  <si>
    <t>**prule_btn_strtuikaimpossx</t>
    <phoneticPr fontId="2"/>
  </si>
  <si>
    <t>**prule_btn_strtuikang</t>
    <phoneticPr fontId="2"/>
  </si>
  <si>
    <t>**prule_kouzou_rc</t>
    <phoneticPr fontId="2"/>
  </si>
  <si>
    <t>**prule_kouzou_s</t>
    <phoneticPr fontId="2"/>
  </si>
  <si>
    <t>**prule_kouzou_moku</t>
    <phoneticPr fontId="2"/>
  </si>
  <si>
    <t>**prule_kaisu_tijyou_2</t>
    <phoneticPr fontId="2"/>
  </si>
  <si>
    <t>**prule_kaisu_tijyou_3</t>
    <phoneticPr fontId="2"/>
  </si>
  <si>
    <t>**prule_youto_08010</t>
    <phoneticPr fontId="2"/>
  </si>
  <si>
    <t>**prule_hou6_1</t>
    <phoneticPr fontId="2"/>
  </si>
  <si>
    <t>**prule_hou6_12</t>
    <phoneticPr fontId="2"/>
  </si>
  <si>
    <t>**prule_hou6_13</t>
    <phoneticPr fontId="2"/>
  </si>
  <si>
    <t>**prule_hou6_2</t>
    <phoneticPr fontId="2"/>
  </si>
  <si>
    <t>**prule_hou6_3</t>
    <phoneticPr fontId="2"/>
  </si>
  <si>
    <t>**prule_hou6_4</t>
    <phoneticPr fontId="2"/>
  </si>
  <si>
    <t>**prule_hou6_999</t>
  </si>
  <si>
    <t>**prule_hou6_null</t>
    <phoneticPr fontId="2"/>
  </si>
  <si>
    <t>**prule_moku2_yes</t>
    <phoneticPr fontId="2"/>
  </si>
  <si>
    <t>**prule_moku2_no</t>
    <phoneticPr fontId="2"/>
  </si>
  <si>
    <t>**prule_moku3_yes</t>
    <phoneticPr fontId="2"/>
  </si>
  <si>
    <t>**prule_moku3_no</t>
    <phoneticPr fontId="2"/>
  </si>
  <si>
    <t>**prule_kouzoukeisan_route1</t>
    <phoneticPr fontId="2"/>
  </si>
  <si>
    <t>**prule_provono_yes</t>
    <phoneticPr fontId="2"/>
  </si>
  <si>
    <t>**prule_provono_no</t>
    <phoneticPr fontId="2"/>
  </si>
  <si>
    <t>**prule_acceptno_yes</t>
    <phoneticPr fontId="2"/>
  </si>
  <si>
    <t>**prule_acceptno_no</t>
    <phoneticPr fontId="2"/>
  </si>
  <si>
    <t>**prule_strtower_judge_yes</t>
    <phoneticPr fontId="2"/>
  </si>
  <si>
    <t>**prule_strtower_judge_no</t>
    <phoneticPr fontId="2"/>
  </si>
  <si>
    <t>**prule_addresschkeck_notnull</t>
    <phoneticPr fontId="2"/>
  </si>
  <si>
    <t>**prule_addresschkeck_null</t>
    <phoneticPr fontId="2"/>
  </si>
  <si>
    <t>**prule_HOUTEI_BIRUKAN_FLAG__yes</t>
    <phoneticPr fontId="2"/>
  </si>
  <si>
    <t>**prule_HOUTEI_BIRUKAN_FLAG__no</t>
    <phoneticPr fontId="2"/>
  </si>
  <si>
    <t>**prule_kaisusum__3le</t>
    <phoneticPr fontId="2"/>
  </si>
  <si>
    <t>**prule_kaisusum__4ge</t>
    <phoneticPr fontId="2"/>
  </si>
  <si>
    <t>**prule_purifiertankflag_yes</t>
    <phoneticPr fontId="2"/>
  </si>
  <si>
    <t>**prule_purifiertankflag_no</t>
    <phoneticPr fontId="2"/>
  </si>
  <si>
    <t>**prule_kouteitext_yes</t>
    <phoneticPr fontId="2"/>
  </si>
  <si>
    <t>**prule_kouteitext_no</t>
    <phoneticPr fontId="2"/>
  </si>
  <si>
    <t>**prule_interflag_yes</t>
    <phoneticPr fontId="2"/>
  </si>
  <si>
    <t>**prule_interflag_no</t>
    <phoneticPr fontId="2"/>
  </si>
  <si>
    <t>**prule_tokurei1323_yes</t>
    <phoneticPr fontId="2"/>
  </si>
  <si>
    <t>**prule_tokurei1323_no</t>
    <phoneticPr fontId="2"/>
  </si>
  <si>
    <t>**prule_tokurei1324_yes</t>
    <phoneticPr fontId="2"/>
  </si>
  <si>
    <t>**prule_tokurei1324_no</t>
    <phoneticPr fontId="2"/>
  </si>
  <si>
    <t>**prule_tokurei1321_yes</t>
    <phoneticPr fontId="2"/>
  </si>
  <si>
    <t>**prule_tokurei1321_no</t>
    <phoneticPr fontId="2"/>
  </si>
  <si>
    <t>**prule_hikageflag_yes</t>
    <phoneticPr fontId="2"/>
  </si>
  <si>
    <t>**prule_hikageflag_no</t>
    <phoneticPr fontId="2"/>
  </si>
  <si>
    <t>**prule_tokurei567_yes</t>
    <phoneticPr fontId="2"/>
  </si>
  <si>
    <t>**prule_tokurei567_no</t>
    <phoneticPr fontId="2"/>
  </si>
  <si>
    <t>**prule_SHINSEI_SYUBETU__1</t>
    <phoneticPr fontId="2"/>
  </si>
  <si>
    <t>**prule_SHINSEI_SYUBETU__2</t>
    <phoneticPr fontId="2"/>
  </si>
  <si>
    <t>**prule_SHINSEI_SYUBETU__4</t>
    <phoneticPr fontId="2"/>
  </si>
  <si>
    <t>**prule_SHINSEI_SYUBETU__5</t>
    <phoneticPr fontId="2"/>
  </si>
  <si>
    <t>**prule_SHINSEI_SYUBETU__</t>
    <phoneticPr fontId="2"/>
  </si>
  <si>
    <t>**prule_work_entotu</t>
    <phoneticPr fontId="2"/>
  </si>
  <si>
    <t>**prule_work_billboard</t>
    <phoneticPr fontId="2"/>
  </si>
  <si>
    <t>**prule_work_youheki</t>
    <phoneticPr fontId="2"/>
  </si>
  <si>
    <t>**prule_work_tekkinhashira</t>
    <phoneticPr fontId="2"/>
  </si>
  <si>
    <t>**prule_work_play</t>
    <phoneticPr fontId="2"/>
  </si>
  <si>
    <t>**prule_work_plant</t>
    <phoneticPr fontId="2"/>
  </si>
  <si>
    <t>**prule_work_jyouyou</t>
    <phoneticPr fontId="2"/>
  </si>
  <si>
    <t>**prule_work_other</t>
    <phoneticPr fontId="2"/>
  </si>
  <si>
    <t>**prule_ev_ev</t>
    <phoneticPr fontId="2"/>
  </si>
  <si>
    <t>**prule_ev_parcel</t>
    <phoneticPr fontId="2"/>
  </si>
  <si>
    <t>**prule_ev_homeev</t>
    <phoneticPr fontId="2"/>
  </si>
  <si>
    <t>**prule_ken_01</t>
    <phoneticPr fontId="2"/>
  </si>
  <si>
    <t>**prule_ken_02</t>
    <phoneticPr fontId="2"/>
  </si>
  <si>
    <t>**prule_ken_03</t>
    <phoneticPr fontId="2"/>
  </si>
  <si>
    <t>**prule_ken_04</t>
    <phoneticPr fontId="2"/>
  </si>
  <si>
    <t>**prule_ken_05</t>
    <phoneticPr fontId="2"/>
  </si>
  <si>
    <t>**prule_ken_06</t>
    <phoneticPr fontId="2"/>
  </si>
  <si>
    <t>**prule_ken_07</t>
    <phoneticPr fontId="2"/>
  </si>
  <si>
    <t>**prule_ken_08</t>
    <phoneticPr fontId="2"/>
  </si>
  <si>
    <t>**prule_ken_09</t>
    <phoneticPr fontId="2"/>
  </si>
  <si>
    <t>**prule_ken_10</t>
    <phoneticPr fontId="2"/>
  </si>
  <si>
    <t>**prule_ken_11</t>
    <phoneticPr fontId="2"/>
  </si>
  <si>
    <t>**prule_ken_12</t>
    <phoneticPr fontId="2"/>
  </si>
  <si>
    <t>**prule_ken_13</t>
    <phoneticPr fontId="2"/>
  </si>
  <si>
    <t>**prule_ken_14</t>
    <phoneticPr fontId="2"/>
  </si>
  <si>
    <t>**prule_ken_15</t>
    <phoneticPr fontId="2"/>
  </si>
  <si>
    <t>**prule_ken_16</t>
    <phoneticPr fontId="2"/>
  </si>
  <si>
    <t>**prule_ken_17</t>
    <phoneticPr fontId="2"/>
  </si>
  <si>
    <t>**prule_ken_18</t>
    <phoneticPr fontId="2"/>
  </si>
  <si>
    <t>**prule_ken_19</t>
    <phoneticPr fontId="2"/>
  </si>
  <si>
    <t>**prule_ken_20</t>
    <phoneticPr fontId="2"/>
  </si>
  <si>
    <t>**prule_ken_21</t>
    <phoneticPr fontId="2"/>
  </si>
  <si>
    <t>**prule_ken_22</t>
    <phoneticPr fontId="2"/>
  </si>
  <si>
    <t>**prule_ken_23</t>
    <phoneticPr fontId="2"/>
  </si>
  <si>
    <t>**prule_ken_24</t>
    <phoneticPr fontId="2"/>
  </si>
  <si>
    <t>**prule_ken_25</t>
    <phoneticPr fontId="2"/>
  </si>
  <si>
    <t>**prule_ken_26</t>
    <phoneticPr fontId="2"/>
  </si>
  <si>
    <t>**prule_ken_27</t>
    <phoneticPr fontId="2"/>
  </si>
  <si>
    <t>**prule_ken_28</t>
    <phoneticPr fontId="2"/>
  </si>
  <si>
    <t>**prule_ken_29</t>
    <phoneticPr fontId="2"/>
  </si>
  <si>
    <t>**prule_ken_30</t>
    <phoneticPr fontId="2"/>
  </si>
  <si>
    <t>**prule_ken_31</t>
    <phoneticPr fontId="2"/>
  </si>
  <si>
    <t>**prule_ken_32</t>
    <phoneticPr fontId="2"/>
  </si>
  <si>
    <t>**prule_ken_33</t>
    <phoneticPr fontId="2"/>
  </si>
  <si>
    <t>**prule_ken_34</t>
    <phoneticPr fontId="2"/>
  </si>
  <si>
    <t>**prule_ken_35</t>
    <phoneticPr fontId="2"/>
  </si>
  <si>
    <t>**prule_ken_36</t>
    <phoneticPr fontId="2"/>
  </si>
  <si>
    <t>**prule_ken_37</t>
    <phoneticPr fontId="2"/>
  </si>
  <si>
    <t>**prule_ken_38</t>
    <phoneticPr fontId="2"/>
  </si>
  <si>
    <t>**prule_ken_39</t>
    <phoneticPr fontId="2"/>
  </si>
  <si>
    <t>**prule_ken_40</t>
    <phoneticPr fontId="2"/>
  </si>
  <si>
    <t>**prule_ken_41</t>
    <phoneticPr fontId="2"/>
  </si>
  <si>
    <t>**prule_ken_42</t>
    <phoneticPr fontId="2"/>
  </si>
  <si>
    <t>**prule_ken_43</t>
    <phoneticPr fontId="2"/>
  </si>
  <si>
    <t>**prule_ken_44</t>
    <phoneticPr fontId="2"/>
  </si>
  <si>
    <t>**prule_ken_45</t>
    <phoneticPr fontId="2"/>
  </si>
  <si>
    <t>**prule_ken_46</t>
    <phoneticPr fontId="2"/>
  </si>
  <si>
    <t>**prule_ken_47</t>
    <phoneticPr fontId="2"/>
  </si>
  <si>
    <t>通常使うプリンタ（クライアントにインストールするプリンタ名を記載）</t>
    <rPh sb="0" eb="2">
      <t>ツウジョウ</t>
    </rPh>
    <rPh sb="2" eb="3">
      <t>ツカ</t>
    </rPh>
    <rPh sb="28" eb="29">
      <t>メイ</t>
    </rPh>
    <rPh sb="30" eb="32">
      <t>キサイ</t>
    </rPh>
    <phoneticPr fontId="2"/>
  </si>
  <si>
    <t>デフォルト</t>
    <phoneticPr fontId="2"/>
  </si>
  <si>
    <t>dSTART</t>
  </si>
  <si>
    <t>システム：起動用シート</t>
    <rPh sb="5" eb="8">
      <t>キドウヨウ</t>
    </rPh>
    <phoneticPr fontId="2"/>
  </si>
  <si>
    <t>起動時のアクティブシート</t>
    <rPh sb="0" eb="2">
      <t>キドウ</t>
    </rPh>
    <rPh sb="2" eb="3">
      <t>ジ</t>
    </rPh>
    <phoneticPr fontId="2"/>
  </si>
  <si>
    <t>dDATA_item_list</t>
  </si>
  <si>
    <t>確帳票リンクセル名一覧</t>
    <rPh sb="0" eb="1">
      <t>カク</t>
    </rPh>
    <rPh sb="1" eb="3">
      <t>チョウヒョウ</t>
    </rPh>
    <rPh sb="8" eb="9">
      <t>メイ</t>
    </rPh>
    <rPh sb="9" eb="11">
      <t>イチラン</t>
    </rPh>
    <phoneticPr fontId="2"/>
  </si>
  <si>
    <t>DATA_StructuralCalc</t>
    <phoneticPr fontId="2"/>
  </si>
  <si>
    <t>DATA</t>
  </si>
  <si>
    <t>システム：データシート（基本）</t>
    <rPh sb="12" eb="14">
      <t>キホン</t>
    </rPh>
    <phoneticPr fontId="2"/>
  </si>
  <si>
    <t>帳票出力用データ</t>
    <rPh sb="0" eb="2">
      <t>チョウヒョウ</t>
    </rPh>
    <rPh sb="2" eb="5">
      <t>シュツリョクヨウ</t>
    </rPh>
    <phoneticPr fontId="2"/>
  </si>
  <si>
    <t>DATA_fee_detail</t>
  </si>
  <si>
    <t>システム：手数料</t>
    <rPh sb="5" eb="8">
      <t>テスウリョウ</t>
    </rPh>
    <phoneticPr fontId="2"/>
  </si>
  <si>
    <t>dDATA_cst</t>
  </si>
  <si>
    <t>システム：データシート（カスタム用）</t>
    <rPh sb="16" eb="17">
      <t>ヨウ</t>
    </rPh>
    <phoneticPr fontId="2"/>
  </si>
  <si>
    <t>dIMPOSSIBLE</t>
  </si>
  <si>
    <t>システム：交付不可文言出力専用シート</t>
    <rPh sb="5" eb="7">
      <t>コウフ</t>
    </rPh>
    <rPh sb="7" eb="9">
      <t>フカ</t>
    </rPh>
    <rPh sb="9" eb="11">
      <t>モンゴン</t>
    </rPh>
    <rPh sb="11" eb="13">
      <t>シュツリョク</t>
    </rPh>
    <rPh sb="13" eb="15">
      <t>センヨウ</t>
    </rPh>
    <phoneticPr fontId="2"/>
  </si>
  <si>
    <t>審査会の名称を文章に記載する関数があるシート</t>
    <rPh sb="0" eb="3">
      <t>シンサカイ</t>
    </rPh>
    <rPh sb="4" eb="6">
      <t>メイショウ</t>
    </rPh>
    <rPh sb="7" eb="9">
      <t>ブンショウ</t>
    </rPh>
    <rPh sb="10" eb="12">
      <t>キサイ</t>
    </rPh>
    <rPh sb="14" eb="16">
      <t>カンスウ</t>
    </rPh>
    <phoneticPr fontId="2"/>
  </si>
  <si>
    <t>dFIRESTATION_info</t>
  </si>
  <si>
    <t>システム：消防署決定補助シート</t>
    <rPh sb="5" eb="8">
      <t>ショウボウショ</t>
    </rPh>
    <rPh sb="8" eb="10">
      <t>ケッテイ</t>
    </rPh>
    <rPh sb="10" eb="12">
      <t>ホジョ</t>
    </rPh>
    <phoneticPr fontId="2"/>
  </si>
  <si>
    <t>条件により決定する消防署の処理</t>
    <rPh sb="0" eb="2">
      <t>ジョウケン</t>
    </rPh>
    <rPh sb="5" eb="7">
      <t>ケッテイ</t>
    </rPh>
    <rPh sb="9" eb="12">
      <t>ショウボウショ</t>
    </rPh>
    <rPh sb="13" eb="15">
      <t>ショリ</t>
    </rPh>
    <phoneticPr fontId="2"/>
  </si>
  <si>
    <t>dSTR_OFFICE_info</t>
  </si>
  <si>
    <t>システム：構造適合性判定機関 代表者名履歴管理</t>
    <rPh sb="5" eb="7">
      <t>コウゾウ</t>
    </rPh>
    <rPh sb="7" eb="10">
      <t>テキゴウセイ</t>
    </rPh>
    <rPh sb="10" eb="12">
      <t>ハンテイ</t>
    </rPh>
    <rPh sb="12" eb="14">
      <t>キカン</t>
    </rPh>
    <rPh sb="15" eb="18">
      <t>ダイヒョウシャ</t>
    </rPh>
    <rPh sb="18" eb="19">
      <t>メイ</t>
    </rPh>
    <rPh sb="19" eb="21">
      <t>リレキ</t>
    </rPh>
    <rPh sb="21" eb="23">
      <t>カンリ</t>
    </rPh>
    <phoneticPr fontId="2"/>
  </si>
  <si>
    <t>適判の代表者の履歴を管理するシート</t>
    <rPh sb="0" eb="2">
      <t>テキハン</t>
    </rPh>
    <rPh sb="3" eb="6">
      <t>ダイヒョウシャ</t>
    </rPh>
    <rPh sb="7" eb="9">
      <t>リレキ</t>
    </rPh>
    <rPh sb="10" eb="12">
      <t>カンリ</t>
    </rPh>
    <phoneticPr fontId="2"/>
  </si>
  <si>
    <t>dOFFICE_name</t>
  </si>
  <si>
    <t>システム：帳票発行者履歴管理シート</t>
    <rPh sb="5" eb="7">
      <t>チョウヒョウ</t>
    </rPh>
    <rPh sb="7" eb="10">
      <t>ハッコウシャ</t>
    </rPh>
    <rPh sb="10" eb="12">
      <t>リレキ</t>
    </rPh>
    <rPh sb="12" eb="14">
      <t>カンリ</t>
    </rPh>
    <phoneticPr fontId="2"/>
  </si>
  <si>
    <t>会社名、代表者名変更時の帳票発行者決定シート</t>
    <rPh sb="0" eb="3">
      <t>カイシャメイ</t>
    </rPh>
    <rPh sb="4" eb="7">
      <t>ダイヒョウシャ</t>
    </rPh>
    <rPh sb="7" eb="8">
      <t>メイ</t>
    </rPh>
    <rPh sb="8" eb="10">
      <t>ヘンコウ</t>
    </rPh>
    <rPh sb="10" eb="11">
      <t>ジ</t>
    </rPh>
    <rPh sb="12" eb="14">
      <t>チョウヒョウ</t>
    </rPh>
    <rPh sb="14" eb="17">
      <t>ハッコウシャ</t>
    </rPh>
    <rPh sb="17" eb="19">
      <t>ケッテイ</t>
    </rPh>
    <phoneticPr fontId="2"/>
  </si>
  <si>
    <t>dINFOMATION</t>
  </si>
  <si>
    <t>システム：帳票出力制御シート</t>
    <rPh sb="5" eb="7">
      <t>チョウヒョウ</t>
    </rPh>
    <rPh sb="7" eb="9">
      <t>シュツリョク</t>
    </rPh>
    <rPh sb="9" eb="11">
      <t>セイギョ</t>
    </rPh>
    <phoneticPr fontId="2"/>
  </si>
  <si>
    <t>シート名と帳票の対応表シート
押下ボタン、及び条件による帳票の出力を制御
押下ボタンはＯＲ、条件はＡＮＤになっている為、
複数の条件がある場合は同じシート名の行を作る必要がある。</t>
    <rPh sb="3" eb="4">
      <t>メイ</t>
    </rPh>
    <rPh sb="5" eb="7">
      <t>チョウヒョウ</t>
    </rPh>
    <rPh sb="8" eb="10">
      <t>タイオウ</t>
    </rPh>
    <rPh sb="10" eb="11">
      <t>ヒョウ</t>
    </rPh>
    <rPh sb="15" eb="17">
      <t>オウカ</t>
    </rPh>
    <rPh sb="21" eb="22">
      <t>オヨ</t>
    </rPh>
    <rPh sb="28" eb="30">
      <t>チョウヒョウ</t>
    </rPh>
    <rPh sb="31" eb="33">
      <t>シュツリョク</t>
    </rPh>
    <rPh sb="34" eb="36">
      <t>セイギョ</t>
    </rPh>
    <rPh sb="37" eb="39">
      <t>オウカ</t>
    </rPh>
    <rPh sb="46" eb="48">
      <t>ジョウケン</t>
    </rPh>
    <rPh sb="58" eb="59">
      <t>タメ</t>
    </rPh>
    <rPh sb="61" eb="63">
      <t>フクスウ</t>
    </rPh>
    <rPh sb="64" eb="66">
      <t>ジョウケン</t>
    </rPh>
    <rPh sb="69" eb="71">
      <t>バアイ</t>
    </rPh>
    <rPh sb="72" eb="73">
      <t>オナ</t>
    </rPh>
    <rPh sb="77" eb="78">
      <t>メイ</t>
    </rPh>
    <rPh sb="79" eb="80">
      <t>ギョウ</t>
    </rPh>
    <rPh sb="81" eb="82">
      <t>ツク</t>
    </rPh>
    <rPh sb="83" eb="85">
      <t>ヒツヨウ</t>
    </rPh>
    <phoneticPr fontId="2"/>
  </si>
  <si>
    <t>建築物_引受承諾書</t>
    <rPh sb="4" eb="6">
      <t>ヒキウケ</t>
    </rPh>
    <rPh sb="6" eb="9">
      <t>ショウダクショ</t>
    </rPh>
    <phoneticPr fontId="2"/>
  </si>
  <si>
    <t>消防通知書</t>
    <rPh sb="2" eb="5">
      <t>ツウチショ</t>
    </rPh>
    <phoneticPr fontId="2"/>
  </si>
  <si>
    <t>ビル管</t>
    <rPh sb="2" eb="3">
      <t>カン</t>
    </rPh>
    <phoneticPr fontId="2"/>
  </si>
  <si>
    <t>保健浄化槽通知書</t>
    <rPh sb="0" eb="2">
      <t>ホケン</t>
    </rPh>
    <rPh sb="2" eb="5">
      <t>ジョウカソウ</t>
    </rPh>
    <rPh sb="5" eb="7">
      <t>ツウチ</t>
    </rPh>
    <rPh sb="7" eb="8">
      <t>ショ</t>
    </rPh>
    <phoneticPr fontId="2"/>
  </si>
  <si>
    <t>SHEET_NAME_LIST</t>
  </si>
  <si>
    <t>シート名一覧</t>
    <rPh sb="3" eb="4">
      <t>メイ</t>
    </rPh>
    <rPh sb="4" eb="6">
      <t>イチラン</t>
    </rPh>
    <phoneticPr fontId="2"/>
  </si>
  <si>
    <t>AF</t>
    <phoneticPr fontId="2"/>
  </si>
  <si>
    <t>AG</t>
    <phoneticPr fontId="2"/>
  </si>
  <si>
    <t>AH</t>
    <phoneticPr fontId="2"/>
  </si>
  <si>
    <t>AI</t>
    <phoneticPr fontId="2"/>
  </si>
  <si>
    <t>AJ</t>
    <phoneticPr fontId="2"/>
  </si>
  <si>
    <t>AK</t>
    <phoneticPr fontId="2"/>
  </si>
  <si>
    <t>AL</t>
    <phoneticPr fontId="2"/>
  </si>
  <si>
    <t>AM</t>
    <phoneticPr fontId="2"/>
  </si>
  <si>
    <t>理事長 立石　真</t>
  </si>
  <si>
    <t>構造判定部長　　金岡　宏幸</t>
  </si>
  <si>
    <t>日本建築センター</t>
  </si>
  <si>
    <t>日本建築2</t>
  </si>
  <si>
    <t>理事長　松野　仁</t>
  </si>
  <si>
    <t>日本建築ｾﾝﾀ</t>
    <rPh sb="0" eb="2">
      <t>ニホン</t>
    </rPh>
    <rPh sb="2" eb="4">
      <t>ケンチク</t>
    </rPh>
    <phoneticPr fontId="2"/>
  </si>
  <si>
    <t>BCJ</t>
  </si>
  <si>
    <t>disp_CHARGE_DETAIL_hinananzen_fee</t>
  </si>
  <si>
    <t>disp_CHARGE_DETAIL_taikabouka_fee</t>
  </si>
  <si>
    <t>disp_CHARGE_DETAIL_genkaitairyoku_fee</t>
  </si>
  <si>
    <t>確認引受承諾書：避難安全検証法等を選択した時、手数料右側に明細として表示</t>
    <rPh sb="15" eb="16">
      <t>ナド</t>
    </rPh>
    <rPh sb="17" eb="19">
      <t>センタク</t>
    </rPh>
    <rPh sb="21" eb="22">
      <t>トキ</t>
    </rPh>
    <rPh sb="23" eb="26">
      <t>テスウリョウ</t>
    </rPh>
    <rPh sb="26" eb="28">
      <t>ミギガワ</t>
    </rPh>
    <rPh sb="29" eb="31">
      <t>メイサイ</t>
    </rPh>
    <rPh sb="34" eb="36">
      <t>ヒョウジ</t>
    </rPh>
    <phoneticPr fontId="2"/>
  </si>
  <si>
    <t>東京都以外</t>
    <rPh sb="0" eb="3">
      <t>トウキョウト</t>
    </rPh>
    <rPh sb="3" eb="5">
      <t>イガイ</t>
    </rPh>
    <phoneticPr fontId="2"/>
  </si>
  <si>
    <t>cst_shinsei_DAIRI_NAME__dsp</t>
    <phoneticPr fontId="2"/>
  </si>
  <si>
    <t>氏名様付</t>
    <rPh sb="0" eb="2">
      <t>シメイ</t>
    </rPh>
    <rPh sb="2" eb="3">
      <t>サマ</t>
    </rPh>
    <rPh sb="3" eb="4">
      <t>ツキ</t>
    </rPh>
    <phoneticPr fontId="2"/>
  </si>
  <si>
    <t>氏名が無い場合に「御中」を付加</t>
    <rPh sb="0" eb="2">
      <t>シメイ</t>
    </rPh>
    <rPh sb="3" eb="4">
      <t>ナ</t>
    </rPh>
    <rPh sb="5" eb="7">
      <t>バアイ</t>
    </rPh>
    <rPh sb="9" eb="11">
      <t>オンチュウ</t>
    </rPh>
    <rPh sb="13" eb="15">
      <t>フカ</t>
    </rPh>
    <phoneticPr fontId="2"/>
  </si>
  <si>
    <t>cst_shinsei_DAIRI_JIMU_NAME__dsp</t>
    <phoneticPr fontId="2"/>
  </si>
  <si>
    <t>lnk_OFFICE_SELECT</t>
    <phoneticPr fontId="2"/>
  </si>
  <si>
    <t>■ 引受承諾書送付書 - 社内担当者の項目名（事務部）の出力</t>
    <rPh sb="2" eb="7">
      <t>ヒキウケショウダクショ</t>
    </rPh>
    <rPh sb="7" eb="9">
      <t>ソウフ</t>
    </rPh>
    <rPh sb="9" eb="10">
      <t>ショ</t>
    </rPh>
    <rPh sb="13" eb="15">
      <t>シャナイ</t>
    </rPh>
    <rPh sb="15" eb="18">
      <t>タントウシャ</t>
    </rPh>
    <rPh sb="19" eb="22">
      <t>コウモクメイ</t>
    </rPh>
    <rPh sb="23" eb="26">
      <t>ジムブ</t>
    </rPh>
    <rPh sb="28" eb="30">
      <t>シュツリョク</t>
    </rPh>
    <phoneticPr fontId="2"/>
  </si>
  <si>
    <t>東京のみ出力</t>
    <rPh sb="0" eb="2">
      <t>トウキョウ</t>
    </rPh>
    <rPh sb="4" eb="6">
      <t>シュツリョク</t>
    </rPh>
    <phoneticPr fontId="2"/>
  </si>
  <si>
    <t>chng_HIKIUKE_SOUFU_TANTOU_title</t>
    <phoneticPr fontId="2"/>
  </si>
  <si>
    <t>引受送付書</t>
  </si>
  <si>
    <t>引受送付書</t>
    <phoneticPr fontId="2"/>
  </si>
  <si>
    <t>引受送付書（中間）</t>
    <rPh sb="6" eb="8">
      <t>チュウカン</t>
    </rPh>
    <phoneticPr fontId="2"/>
  </si>
  <si>
    <t>引受送付書（完了）</t>
    <rPh sb="6" eb="8">
      <t>カンリョウ</t>
    </rPh>
    <phoneticPr fontId="2"/>
  </si>
  <si>
    <t>cst_shinsei_PROVO_NO__dsp</t>
    <phoneticPr fontId="2"/>
  </si>
  <si>
    <t>cst_print_time_TODAY__text</t>
  </si>
  <si>
    <t>cst_print_time_TODAY</t>
  </si>
  <si>
    <t>決裁書のリンク処理</t>
    <rPh sb="0" eb="3">
      <t>ケッサイショ</t>
    </rPh>
    <rPh sb="7" eb="9">
      <t>ショリ</t>
    </rPh>
    <phoneticPr fontId="2"/>
  </si>
  <si>
    <t>引受承諾書 - 送付書の搭載</t>
    <rPh sb="0" eb="5">
      <t>ヒキウケショウダクショ</t>
    </rPh>
    <rPh sb="8" eb="11">
      <t>ソウフショ</t>
    </rPh>
    <rPh sb="12" eb="14">
      <t>トウサイ</t>
    </rPh>
    <phoneticPr fontId="2"/>
  </si>
  <si>
    <t>メールアドレス</t>
    <phoneticPr fontId="2"/>
  </si>
  <si>
    <t>don_OFFICE_EMAIL__print_time</t>
    <phoneticPr fontId="2"/>
  </si>
  <si>
    <t>don_OFFICE_EMAIL__hikiuke_date</t>
    <phoneticPr fontId="2"/>
  </si>
  <si>
    <t>don_OFFICE_EMAIL__issue_date</t>
    <phoneticPr fontId="2"/>
  </si>
  <si>
    <t>don_OFFICE_EMAIL__notify_date</t>
    <phoneticPr fontId="2"/>
  </si>
  <si>
    <t>don_OFFICE_EMAIL__hikiuke_tuuti_date</t>
    <phoneticPr fontId="2"/>
  </si>
  <si>
    <t>don_OFFICE_EMAIL__report_date</t>
    <phoneticPr fontId="2"/>
  </si>
  <si>
    <t>don_OFFICE_EMAIL__provo_date</t>
    <phoneticPr fontId="2"/>
  </si>
  <si>
    <t>don_OFFICE_EMAIL__fire_submit_date</t>
    <phoneticPr fontId="2"/>
  </si>
  <si>
    <t>don_OFFICE_EMAIL__fire_notify_date</t>
    <phoneticPr fontId="2"/>
  </si>
  <si>
    <t>don_OFFICE_EMAIL__health_notify_date</t>
    <phoneticPr fontId="2"/>
  </si>
  <si>
    <t>don_OFFICE_EMAIL__str_prove_notify_date</t>
    <phoneticPr fontId="2"/>
  </si>
  <si>
    <t>don_OFFICE_EMAIL__str_irai_date</t>
    <phoneticPr fontId="2"/>
  </si>
  <si>
    <t>don_OFFICE_EMAIL__str_encyou_tuuti_date</t>
    <phoneticPr fontId="2"/>
  </si>
  <si>
    <t>don_OFFICE_EMAIL__income_date</t>
    <phoneticPr fontId="2"/>
  </si>
  <si>
    <t>don_OFFICE_EMAIL__charge_base_date</t>
    <phoneticPr fontId="2"/>
  </si>
  <si>
    <t>cst_shinsei_KAKU_SUMI_KOUFU_DATE_hikiuke_houkoku__text</t>
    <phoneticPr fontId="2"/>
  </si>
  <si>
    <t>cst_shinsei_KAKU_SUMI_NO_hikiuke_houkoku__disp</t>
    <phoneticPr fontId="2"/>
  </si>
  <si>
    <t>改行、又はスペースを挿入する時の判定</t>
    <rPh sb="0" eb="2">
      <t>カイギョウ</t>
    </rPh>
    <rPh sb="3" eb="4">
      <t>マタ</t>
    </rPh>
    <rPh sb="10" eb="12">
      <t>ソウニュウ</t>
    </rPh>
    <rPh sb="14" eb="15">
      <t>トキ</t>
    </rPh>
    <rPh sb="16" eb="18">
      <t>ハンテイ</t>
    </rPh>
    <phoneticPr fontId="2"/>
  </si>
  <si>
    <t>建築主２用</t>
    <rPh sb="0" eb="3">
      <t>ケンチクヌシ</t>
    </rPh>
    <rPh sb="4" eb="5">
      <t>ヨウ</t>
    </rPh>
    <phoneticPr fontId="2"/>
  </si>
  <si>
    <t>cst_owner1__space_sama</t>
  </si>
  <si>
    <t>cst_owner1__space_sama</t>
    <phoneticPr fontId="2"/>
  </si>
  <si>
    <t>cst_owner1__space</t>
  </si>
  <si>
    <t>cst_owner1__char</t>
  </si>
  <si>
    <t>cst_owner1__char_sama</t>
  </si>
  <si>
    <t>cst_owner2__char</t>
  </si>
  <si>
    <t>cst_owner3__char</t>
  </si>
  <si>
    <t>cst_owner4__char</t>
  </si>
  <si>
    <t>cst_owner5__char</t>
  </si>
  <si>
    <t>cst_owner6__char</t>
  </si>
  <si>
    <t>cst_owner7__char</t>
  </si>
  <si>
    <t>cst_owner8__char</t>
  </si>
  <si>
    <t>cst_owner9__char</t>
  </si>
  <si>
    <t>cst_owner2__space_sama</t>
  </si>
  <si>
    <t>cst_owner3__space_sama</t>
  </si>
  <si>
    <t>cst_owner4__space_sama</t>
  </si>
  <si>
    <t>cst_owner5__space_sama</t>
  </si>
  <si>
    <t>cst_owner6__space_sama</t>
  </si>
  <si>
    <t>cst_owner7__space_sama</t>
  </si>
  <si>
    <t>cst_owner8__space_sama</t>
  </si>
  <si>
    <t>cst_owner9__space_sama</t>
  </si>
  <si>
    <t>cst_owner2__space</t>
  </si>
  <si>
    <t>cst_owner3__space</t>
  </si>
  <si>
    <t>cst_owner4__space</t>
  </si>
  <si>
    <t>cst_owner5__space</t>
  </si>
  <si>
    <t>cst_owner6__space</t>
  </si>
  <si>
    <t>cst_owner7__space</t>
  </si>
  <si>
    <t>cst_owner8__space</t>
  </si>
  <si>
    <t>cst_owner9__space</t>
  </si>
  <si>
    <t>cst_owner2__char_sama</t>
  </si>
  <si>
    <t>cst_owner3__char_sama</t>
  </si>
  <si>
    <t>cst_owner4__char_sama</t>
  </si>
  <si>
    <t>cst_owner5__char_sama</t>
  </si>
  <si>
    <t>cst_owner6__char_sama</t>
  </si>
  <si>
    <t>cst_owner7__char_sama</t>
  </si>
  <si>
    <t>cst_owner8__char_sama</t>
  </si>
  <si>
    <t>cst_owner9__char_sama</t>
  </si>
  <si>
    <t>cst_owner1__check</t>
  </si>
  <si>
    <t>cst_owner2__check</t>
  </si>
  <si>
    <t>cst_owner3__check</t>
  </si>
  <si>
    <t>cst_owner4__check</t>
  </si>
  <si>
    <t>cst_owner5__check</t>
  </si>
  <si>
    <t>cst_owner6__check</t>
  </si>
  <si>
    <t>cst_owner7__check</t>
  </si>
  <si>
    <t>cst_owner8__check</t>
  </si>
  <si>
    <t>建築主３用</t>
    <rPh sb="0" eb="3">
      <t>ケンチクヌシ</t>
    </rPh>
    <rPh sb="4" eb="5">
      <t>ヨウ</t>
    </rPh>
    <phoneticPr fontId="2"/>
  </si>
  <si>
    <t>建築主４用</t>
    <rPh sb="0" eb="3">
      <t>ケンチクヌシ</t>
    </rPh>
    <rPh sb="4" eb="5">
      <t>ヨウ</t>
    </rPh>
    <phoneticPr fontId="2"/>
  </si>
  <si>
    <t>建築主５用</t>
    <rPh sb="0" eb="3">
      <t>ケンチクヌシ</t>
    </rPh>
    <rPh sb="4" eb="5">
      <t>ヨウ</t>
    </rPh>
    <phoneticPr fontId="2"/>
  </si>
  <si>
    <t>建築主６用</t>
    <rPh sb="0" eb="3">
      <t>ケンチクヌシ</t>
    </rPh>
    <rPh sb="4" eb="5">
      <t>ヨウ</t>
    </rPh>
    <phoneticPr fontId="2"/>
  </si>
  <si>
    <t>建築主７用</t>
    <rPh sb="0" eb="3">
      <t>ケンチクヌシ</t>
    </rPh>
    <rPh sb="4" eb="5">
      <t>ヨウ</t>
    </rPh>
    <phoneticPr fontId="2"/>
  </si>
  <si>
    <t>建築主８用</t>
    <rPh sb="0" eb="3">
      <t>ケンチクヌシ</t>
    </rPh>
    <rPh sb="4" eb="5">
      <t>ヨウ</t>
    </rPh>
    <phoneticPr fontId="2"/>
  </si>
  <si>
    <t>建築主９用</t>
    <rPh sb="0" eb="3">
      <t>ケンチクヌシ</t>
    </rPh>
    <rPh sb="4" eb="5">
      <t>ヨウ</t>
    </rPh>
    <phoneticPr fontId="2"/>
  </si>
  <si>
    <t>建築主（改行）の連名表記の前処理（それぞれの建築主に対する改行コード付加処理）</t>
    <rPh sb="0" eb="3">
      <t>ケンチクヌシ</t>
    </rPh>
    <rPh sb="4" eb="6">
      <t>カイギョウ</t>
    </rPh>
    <rPh sb="8" eb="10">
      <t>レンメイ</t>
    </rPh>
    <rPh sb="10" eb="12">
      <t>ヒョウキ</t>
    </rPh>
    <rPh sb="13" eb="16">
      <t>マエショリ</t>
    </rPh>
    <rPh sb="22" eb="25">
      <t>ケンチクヌシ</t>
    </rPh>
    <rPh sb="26" eb="27">
      <t>タイ</t>
    </rPh>
    <rPh sb="29" eb="31">
      <t>カイギョウ</t>
    </rPh>
    <rPh sb="34" eb="36">
      <t>フカ</t>
    </rPh>
    <rPh sb="36" eb="38">
      <t>ショリ</t>
    </rPh>
    <phoneticPr fontId="2"/>
  </si>
  <si>
    <t>cst_owner3__char__add_char</t>
    <phoneticPr fontId="2"/>
  </si>
  <si>
    <t>cst_owner4__char__add_char</t>
    <phoneticPr fontId="2"/>
  </si>
  <si>
    <t>cst_owner5__char__add_char</t>
    <phoneticPr fontId="2"/>
  </si>
  <si>
    <t>cst_owner6__char__add_char</t>
    <phoneticPr fontId="2"/>
  </si>
  <si>
    <t>cst_owner7__char__add_char</t>
    <phoneticPr fontId="2"/>
  </si>
  <si>
    <t>cst_owner8__char__add_char</t>
    <phoneticPr fontId="2"/>
  </si>
  <si>
    <t>cst_owner9__char__add_char</t>
    <phoneticPr fontId="2"/>
  </si>
  <si>
    <t>cst_owner2__char_sama__add_char</t>
    <phoneticPr fontId="2"/>
  </si>
  <si>
    <t>cst_owner3__char_sama__add_char</t>
    <phoneticPr fontId="2"/>
  </si>
  <si>
    <t>cst_owner4__char_sama__add_char</t>
    <phoneticPr fontId="2"/>
  </si>
  <si>
    <t>cst_owner5__char_sama__add_char</t>
    <phoneticPr fontId="2"/>
  </si>
  <si>
    <t>cst_owner6__char_sama__add_char</t>
    <phoneticPr fontId="2"/>
  </si>
  <si>
    <t>cst_owner7__char_sama__add_char</t>
    <phoneticPr fontId="2"/>
  </si>
  <si>
    <t>cst_owner8__char_sama__add_char</t>
    <phoneticPr fontId="2"/>
  </si>
  <si>
    <t>cst_owner9__char_sama__add_char</t>
    <phoneticPr fontId="2"/>
  </si>
  <si>
    <t>cst_owner2__space__add_char</t>
    <phoneticPr fontId="2"/>
  </si>
  <si>
    <t>cst_owner3__space__add_char</t>
    <phoneticPr fontId="2"/>
  </si>
  <si>
    <t>cst_owner4__space__add_char</t>
    <phoneticPr fontId="2"/>
  </si>
  <si>
    <t>cst_owner5__space__add_char</t>
    <phoneticPr fontId="2"/>
  </si>
  <si>
    <t>cst_owner6__space__add_char</t>
    <phoneticPr fontId="2"/>
  </si>
  <si>
    <t>cst_owner7__space__add_char</t>
    <phoneticPr fontId="2"/>
  </si>
  <si>
    <t>cst_owner8__space__add_char</t>
    <phoneticPr fontId="2"/>
  </si>
  <si>
    <t>cst_owner9__space__add_char</t>
    <phoneticPr fontId="2"/>
  </si>
  <si>
    <t>cst_owner2__space_sama__add_char</t>
    <phoneticPr fontId="2"/>
  </si>
  <si>
    <t>cst_owner3__space_sama__add_char</t>
    <phoneticPr fontId="2"/>
  </si>
  <si>
    <t>cst_owner4__space_sama__add_char</t>
    <phoneticPr fontId="2"/>
  </si>
  <si>
    <t>cst_owner5__space_sama__add_char</t>
    <phoneticPr fontId="2"/>
  </si>
  <si>
    <t>cst_owner6__space_sama__add_char</t>
    <phoneticPr fontId="2"/>
  </si>
  <si>
    <t>cst_owner7__space_sama__add_char</t>
    <phoneticPr fontId="2"/>
  </si>
  <si>
    <t>cst_owner8__space_sama__add_char</t>
    <phoneticPr fontId="2"/>
  </si>
  <si>
    <t>cst_owner9__space_sama__add_char</t>
    <phoneticPr fontId="2"/>
  </si>
  <si>
    <t>建築主（改行, 様付）の連名表記の前処理（それぞれの建築主に対する改行コード付加処理）</t>
    <rPh sb="0" eb="3">
      <t>ケンチクヌシ</t>
    </rPh>
    <rPh sb="4" eb="6">
      <t>カイギョウ</t>
    </rPh>
    <rPh sb="8" eb="9">
      <t>サマ</t>
    </rPh>
    <rPh sb="9" eb="10">
      <t>ツキ</t>
    </rPh>
    <rPh sb="12" eb="14">
      <t>レンメイ</t>
    </rPh>
    <rPh sb="14" eb="16">
      <t>ヒョウキ</t>
    </rPh>
    <rPh sb="17" eb="20">
      <t>マエショリ</t>
    </rPh>
    <rPh sb="26" eb="29">
      <t>ケンチクヌシ</t>
    </rPh>
    <rPh sb="30" eb="31">
      <t>タイ</t>
    </rPh>
    <rPh sb="33" eb="35">
      <t>カイギョウ</t>
    </rPh>
    <rPh sb="38" eb="40">
      <t>フカ</t>
    </rPh>
    <rPh sb="40" eb="42">
      <t>ショリ</t>
    </rPh>
    <phoneticPr fontId="2"/>
  </si>
  <si>
    <t>建築主（スペース, 様付）の連名表記の前処理（それぞれの建築主に対する改行コード付加処理）</t>
    <rPh sb="0" eb="3">
      <t>ケンチクヌシ</t>
    </rPh>
    <rPh sb="10" eb="11">
      <t>サマ</t>
    </rPh>
    <rPh sb="11" eb="12">
      <t>ツキ</t>
    </rPh>
    <rPh sb="14" eb="16">
      <t>レンメイ</t>
    </rPh>
    <rPh sb="16" eb="18">
      <t>ヒョウキ</t>
    </rPh>
    <rPh sb="19" eb="22">
      <t>マエショリ</t>
    </rPh>
    <rPh sb="28" eb="31">
      <t>ケンチクヌシ</t>
    </rPh>
    <rPh sb="32" eb="33">
      <t>タイ</t>
    </rPh>
    <rPh sb="35" eb="37">
      <t>カイギョウ</t>
    </rPh>
    <rPh sb="40" eb="42">
      <t>フカ</t>
    </rPh>
    <rPh sb="42" eb="44">
      <t>ショリ</t>
    </rPh>
    <phoneticPr fontId="2"/>
  </si>
  <si>
    <t>建築主（スペース）の連名表記の前処理（それぞれの建築主に対する改行コード付加処理）</t>
    <rPh sb="0" eb="3">
      <t>ケンチクヌシ</t>
    </rPh>
    <rPh sb="10" eb="12">
      <t>レンメイ</t>
    </rPh>
    <rPh sb="12" eb="14">
      <t>ヒョウキ</t>
    </rPh>
    <rPh sb="15" eb="18">
      <t>マエショリ</t>
    </rPh>
    <rPh sb="24" eb="27">
      <t>ケンチクヌシ</t>
    </rPh>
    <rPh sb="28" eb="29">
      <t>タイ</t>
    </rPh>
    <rPh sb="31" eb="33">
      <t>カイギョウ</t>
    </rPh>
    <rPh sb="36" eb="38">
      <t>フカ</t>
    </rPh>
    <rPh sb="38" eb="40">
      <t>ショリ</t>
    </rPh>
    <phoneticPr fontId="2"/>
  </si>
  <si>
    <t>改行</t>
    <rPh sb="0" eb="2">
      <t>カイギョウ</t>
    </rPh>
    <phoneticPr fontId="2"/>
  </si>
  <si>
    <t>cst_owner_all__space_sama</t>
  </si>
  <si>
    <t>cst_owner_all__char</t>
  </si>
  <si>
    <t>cst_owner_all__char_sama</t>
  </si>
  <si>
    <t>cst_owner_all__space</t>
  </si>
  <si>
    <t>建築主の連名の出力処理に不要な改行が付加していた問題を修正</t>
    <rPh sb="0" eb="3">
      <t>ケンチクヌシ</t>
    </rPh>
    <rPh sb="4" eb="6">
      <t>レンメイ</t>
    </rPh>
    <rPh sb="7" eb="9">
      <t>シュツリョク</t>
    </rPh>
    <rPh sb="9" eb="11">
      <t>ショリ</t>
    </rPh>
    <rPh sb="12" eb="14">
      <t>フヨウ</t>
    </rPh>
    <rPh sb="15" eb="17">
      <t>カイギョウ</t>
    </rPh>
    <rPh sb="18" eb="20">
      <t>フカ</t>
    </rPh>
    <rPh sb="24" eb="26">
      <t>モンダイ</t>
    </rPh>
    <rPh sb="27" eb="29">
      <t>シュウセイ</t>
    </rPh>
    <phoneticPr fontId="2"/>
  </si>
  <si>
    <t>見出し</t>
    <rPh sb="0" eb="2">
      <t>ミダ</t>
    </rPh>
    <phoneticPr fontId="2"/>
  </si>
  <si>
    <t>label_GYOUSEI_NO</t>
    <phoneticPr fontId="2"/>
  </si>
  <si>
    <t>報告書、及び引受通知書に行政経由番号を出力</t>
    <rPh sb="0" eb="3">
      <t>ホウコクショ</t>
    </rPh>
    <rPh sb="4" eb="5">
      <t>オヨ</t>
    </rPh>
    <rPh sb="6" eb="11">
      <t>ヒキウケツウチショ</t>
    </rPh>
    <rPh sb="12" eb="18">
      <t>ギョウセイケイユバンゴウ</t>
    </rPh>
    <rPh sb="19" eb="21">
      <t>シュツリョク</t>
    </rPh>
    <phoneticPr fontId="2"/>
  </si>
  <si>
    <t>FD申請割引が選択されているか検索</t>
    <rPh sb="7" eb="9">
      <t>センタク</t>
    </rPh>
    <rPh sb="15" eb="17">
      <t>ケンサク</t>
    </rPh>
    <phoneticPr fontId="2"/>
  </si>
  <si>
    <t>search_CHARGE_DETAIL_fd</t>
    <phoneticPr fontId="2"/>
  </si>
  <si>
    <t>search_CHARGE_DETAIL_fd_fee</t>
    <phoneticPr fontId="2"/>
  </si>
  <si>
    <t>disp_CHARGE_DETAIL_fd_fee</t>
    <phoneticPr fontId="2"/>
  </si>
  <si>
    <t>FD割引の時に引受承諾書と請求書の金額の横に（FD）と表示する様に修正</t>
    <rPh sb="2" eb="4">
      <t>ワリビキ</t>
    </rPh>
    <rPh sb="5" eb="6">
      <t>トキ</t>
    </rPh>
    <rPh sb="7" eb="12">
      <t>ヒキウケショウダクショ</t>
    </rPh>
    <rPh sb="13" eb="16">
      <t>セイキュウショ</t>
    </rPh>
    <rPh sb="17" eb="19">
      <t>キンガク</t>
    </rPh>
    <rPh sb="20" eb="21">
      <t>ヨコ</t>
    </rPh>
    <rPh sb="27" eb="29">
      <t>ヒョウジ</t>
    </rPh>
    <rPh sb="31" eb="32">
      <t>ヨウ</t>
    </rPh>
    <rPh sb="33" eb="35">
      <t>シュウセイ</t>
    </rPh>
    <phoneticPr fontId="2"/>
  </si>
  <si>
    <t>処分の概要書に適判の交付者等が正しく表示されなかった問題を修正</t>
    <rPh sb="0" eb="2">
      <t>ショブン</t>
    </rPh>
    <rPh sb="3" eb="6">
      <t>ガイヨウショ</t>
    </rPh>
    <rPh sb="7" eb="9">
      <t>テキハン</t>
    </rPh>
    <rPh sb="10" eb="13">
      <t>コウフシャ</t>
    </rPh>
    <rPh sb="13" eb="14">
      <t>ナド</t>
    </rPh>
    <rPh sb="15" eb="16">
      <t>タダ</t>
    </rPh>
    <rPh sb="18" eb="20">
      <t>ヒョウジ</t>
    </rPh>
    <rPh sb="26" eb="28">
      <t>モンダイ</t>
    </rPh>
    <rPh sb="29" eb="31">
      <t>シュウセイ</t>
    </rPh>
    <phoneticPr fontId="2"/>
  </si>
  <si>
    <t>cst_shinsei_REPORT_DEST_GYOUSEI_NAME__dsp</t>
    <phoneticPr fontId="2"/>
  </si>
  <si>
    <t>行政報告：報告先等のリンク処理搭載</t>
    <rPh sb="0" eb="4">
      <t>ギョウセイホウコク</t>
    </rPh>
    <rPh sb="5" eb="8">
      <t>ホウコクサキ</t>
    </rPh>
    <rPh sb="8" eb="9">
      <t>ナド</t>
    </rPh>
    <rPh sb="13" eb="15">
      <t>ショリ</t>
    </rPh>
    <rPh sb="15" eb="17">
      <t>トウサイ</t>
    </rPh>
    <phoneticPr fontId="2"/>
  </si>
  <si>
    <t>共同住宅、長屋等の個数</t>
    <rPh sb="0" eb="4">
      <t>キョウドウジュウタク</t>
    </rPh>
    <rPh sb="5" eb="7">
      <t>ナガヤ</t>
    </rPh>
    <rPh sb="7" eb="8">
      <t>ナド</t>
    </rPh>
    <rPh sb="9" eb="11">
      <t>コスウ</t>
    </rPh>
    <phoneticPr fontId="2"/>
  </si>
  <si>
    <t>工法</t>
    <rPh sb="0" eb="2">
      <t>コウホウ</t>
    </rPh>
    <phoneticPr fontId="2"/>
  </si>
  <si>
    <t>全ての建築主（会社名&lt;改行&gt;役職&lt;スペース&gt;氏名）をひとつにまとめて表示</t>
    <rPh sb="0" eb="1">
      <t>スベ</t>
    </rPh>
    <rPh sb="3" eb="5">
      <t>ケンチク</t>
    </rPh>
    <rPh sb="5" eb="6">
      <t>ヌシ</t>
    </rPh>
    <rPh sb="11" eb="13">
      <t>カイギョウ</t>
    </rPh>
    <phoneticPr fontId="2"/>
  </si>
  <si>
    <t>全ての建築主（会社名&lt;スペース&gt;役職&lt;スペース&gt;氏名）をひとつにまとめて表示</t>
    <rPh sb="0" eb="1">
      <t>スベ</t>
    </rPh>
    <rPh sb="3" eb="5">
      <t>ケンチク</t>
    </rPh>
    <rPh sb="5" eb="6">
      <t>ヌシ</t>
    </rPh>
    <phoneticPr fontId="2"/>
  </si>
  <si>
    <t>建築主（会社名&lt;改行&gt;役職&lt;スペース&gt;氏名）（様付）</t>
    <rPh sb="0" eb="2">
      <t>ケンチク</t>
    </rPh>
    <rPh sb="2" eb="3">
      <t>ヌシ</t>
    </rPh>
    <rPh sb="4" eb="7">
      <t>カイシャメイ</t>
    </rPh>
    <rPh sb="8" eb="10">
      <t>カイギョウ</t>
    </rPh>
    <rPh sb="11" eb="13">
      <t>ヤクショク</t>
    </rPh>
    <rPh sb="19" eb="21">
      <t>シメイ</t>
    </rPh>
    <rPh sb="23" eb="24">
      <t>サマ</t>
    </rPh>
    <rPh sb="24" eb="25">
      <t>ツキ</t>
    </rPh>
    <phoneticPr fontId="2"/>
  </si>
  <si>
    <t>建築主（会社名&lt;改行&gt;役職&lt;スペース&gt;氏名）</t>
    <rPh sb="0" eb="2">
      <t>ケンチク</t>
    </rPh>
    <rPh sb="2" eb="3">
      <t>ヌシ</t>
    </rPh>
    <rPh sb="4" eb="7">
      <t>カイシャメイ</t>
    </rPh>
    <rPh sb="8" eb="10">
      <t>カイギョウ</t>
    </rPh>
    <rPh sb="11" eb="13">
      <t>ヤクショク</t>
    </rPh>
    <rPh sb="19" eb="21">
      <t>シメイ</t>
    </rPh>
    <phoneticPr fontId="2"/>
  </si>
  <si>
    <t>建築主（会社名&lt;スペース&gt;役職&lt;スペース&gt;氏名）（様付）</t>
    <rPh sb="0" eb="2">
      <t>ケンチク</t>
    </rPh>
    <rPh sb="2" eb="3">
      <t>ヌシ</t>
    </rPh>
    <rPh sb="4" eb="7">
      <t>カイシャメイ</t>
    </rPh>
    <rPh sb="13" eb="15">
      <t>ヤクショク</t>
    </rPh>
    <rPh sb="21" eb="23">
      <t>シメイ</t>
    </rPh>
    <rPh sb="25" eb="26">
      <t>サマ</t>
    </rPh>
    <rPh sb="26" eb="27">
      <t>ツキ</t>
    </rPh>
    <phoneticPr fontId="2"/>
  </si>
  <si>
    <t>建築主（会社名&lt;スペース&gt;役職&lt;スペース&gt;氏名）</t>
    <rPh sb="0" eb="2">
      <t>ケンチク</t>
    </rPh>
    <rPh sb="2" eb="3">
      <t>ヌシ</t>
    </rPh>
    <rPh sb="4" eb="7">
      <t>カイシャメイ</t>
    </rPh>
    <rPh sb="13" eb="15">
      <t>ヤクショク</t>
    </rPh>
    <rPh sb="21" eb="23">
      <t>シメイ</t>
    </rPh>
    <phoneticPr fontId="2"/>
  </si>
  <si>
    <t>申請者　会社名&lt;スペース&gt;役職&lt;スペース&gt;名前　ひとつのセルに表示（一行表示）</t>
    <rPh sb="0" eb="3">
      <t>シンセイシャ</t>
    </rPh>
    <rPh sb="4" eb="7">
      <t>カイシャメイ</t>
    </rPh>
    <rPh sb="13" eb="15">
      <t>ヤクショク</t>
    </rPh>
    <rPh sb="21" eb="23">
      <t>ナマエ</t>
    </rPh>
    <rPh sb="31" eb="33">
      <t>ヒョウジ</t>
    </rPh>
    <rPh sb="34" eb="38">
      <t>イチギョウヒョウジ</t>
    </rPh>
    <phoneticPr fontId="2"/>
  </si>
  <si>
    <t>共同住宅・長屋の個数</t>
    <rPh sb="0" eb="4">
      <t>キョウドウジュウタク</t>
    </rPh>
    <rPh sb="5" eb="7">
      <t>ナガヤ</t>
    </rPh>
    <rPh sb="8" eb="10">
      <t>コスウ</t>
    </rPh>
    <phoneticPr fontId="2"/>
  </si>
  <si>
    <t>**shinsei_UNIT_COUNT</t>
    <phoneticPr fontId="2"/>
  </si>
  <si>
    <t>**shinsei_build_STAT_KOUHOU</t>
    <phoneticPr fontId="2"/>
  </si>
  <si>
    <t>cst_shinsei_UNIT_COUNT</t>
    <phoneticPr fontId="2"/>
  </si>
  <si>
    <t>cst_shinsei_build_STAT_KOUHOU</t>
    <phoneticPr fontId="2"/>
  </si>
  <si>
    <t>受付年月日（引受日）</t>
    <phoneticPr fontId="2"/>
  </si>
  <si>
    <t>受付番号（引受番号）</t>
    <phoneticPr fontId="2"/>
  </si>
  <si>
    <t>非適判物件。適判名の入力</t>
    <rPh sb="10" eb="12">
      <t>ニュウリョク</t>
    </rPh>
    <phoneticPr fontId="2"/>
  </si>
  <si>
    <t>昇降機 建築物との関連付</t>
    <rPh sb="0" eb="3">
      <t>ショウコウキ</t>
    </rPh>
    <rPh sb="4" eb="7">
      <t>ケンチクブツ</t>
    </rPh>
    <rPh sb="9" eb="12">
      <t>カンレンヅ</t>
    </rPh>
    <phoneticPr fontId="2"/>
  </si>
  <si>
    <t>施工者未定</t>
    <rPh sb="0" eb="3">
      <t>セコウシャ</t>
    </rPh>
    <rPh sb="3" eb="5">
      <t>ミテイ</t>
    </rPh>
    <phoneticPr fontId="2"/>
  </si>
  <si>
    <t>通知報告書日</t>
  </si>
  <si>
    <t>検査日が交付日より未来</t>
  </si>
  <si>
    <t>検査日</t>
  </si>
  <si>
    <t>検査対象床面積</t>
  </si>
  <si>
    <t>物件管理表：</t>
  </si>
  <si>
    <t>・完了用の昇降機、工作物に確認済証の情報欄がない</t>
    <rPh sb="1" eb="4">
      <t>カンリョウヨウ</t>
    </rPh>
    <rPh sb="5" eb="8">
      <t>ショウコウキ</t>
    </rPh>
    <rPh sb="9" eb="12">
      <t>コウサクブツ</t>
    </rPh>
    <rPh sb="13" eb="17">
      <t>カクニンズミショウ</t>
    </rPh>
    <rPh sb="18" eb="21">
      <t>ジョウホウラン</t>
    </rPh>
    <phoneticPr fontId="2"/>
  </si>
  <si>
    <t>・第二面 ７備考を追加</t>
    <rPh sb="1" eb="4">
      <t>ダイニメン</t>
    </rPh>
    <rPh sb="6" eb="8">
      <t>ビコウ</t>
    </rPh>
    <rPh sb="9" eb="11">
      <t>ツイカ</t>
    </rPh>
    <phoneticPr fontId="2"/>
  </si>
  <si>
    <t>・その他欄を追加</t>
    <rPh sb="3" eb="4">
      <t>タ</t>
    </rPh>
    <rPh sb="4" eb="5">
      <t>ラン</t>
    </rPh>
    <rPh sb="6" eb="8">
      <t>ツイカ</t>
    </rPh>
    <phoneticPr fontId="2"/>
  </si>
  <si>
    <t>・第三面 18 19を追加</t>
    <rPh sb="1" eb="4">
      <t>ダイサンメン</t>
    </rPh>
    <rPh sb="11" eb="13">
      <t>ツイカ</t>
    </rPh>
    <phoneticPr fontId="2"/>
  </si>
  <si>
    <t>未対応</t>
    <rPh sb="0" eb="3">
      <t>ミタイオウ</t>
    </rPh>
    <phoneticPr fontId="2"/>
  </si>
  <si>
    <t>コンバート：</t>
    <phoneticPr fontId="2"/>
  </si>
  <si>
    <t>EXEL出力 - 一行出力：</t>
    <rPh sb="4" eb="6">
      <t>シュツリョク</t>
    </rPh>
    <rPh sb="9" eb="13">
      <t>イチギョウシュツリョク</t>
    </rPh>
    <phoneticPr fontId="2"/>
  </si>
  <si>
    <t>CSV出力 - 概要データ：</t>
    <rPh sb="3" eb="5">
      <t>シュツリョク</t>
    </rPh>
    <rPh sb="8" eb="10">
      <t>ガイヨウ</t>
    </rPh>
    <phoneticPr fontId="2"/>
  </si>
  <si>
    <t>・請求発生日にコンバートしない</t>
    <rPh sb="1" eb="6">
      <t>セイキュウハッセイビ</t>
    </rPh>
    <phoneticPr fontId="2"/>
  </si>
  <si>
    <t>・手数料備考欄へはコンバートしない</t>
    <rPh sb="1" eb="4">
      <t>テスウリョウ</t>
    </rPh>
    <rPh sb="4" eb="7">
      <t>ビコウラン</t>
    </rPh>
    <phoneticPr fontId="2"/>
  </si>
  <si>
    <t>・事前番号欄の幅を広げる</t>
    <phoneticPr fontId="2"/>
  </si>
  <si>
    <t>・請求日、入金日欄の見出しを変更</t>
    <phoneticPr fontId="2"/>
  </si>
  <si>
    <t>・設備担当欄（列）の罫線を修正</t>
    <phoneticPr fontId="2"/>
  </si>
  <si>
    <t>システム変更対応：</t>
    <rPh sb="4" eb="6">
      <t>ヘンコウ</t>
    </rPh>
    <rPh sb="6" eb="8">
      <t>タイオウ</t>
    </rPh>
    <phoneticPr fontId="2"/>
  </si>
  <si>
    <t>・ビル管法の通知日を追加</t>
    <rPh sb="3" eb="5">
      <t>カンホウ</t>
    </rPh>
    <rPh sb="6" eb="9">
      <t>ツウチビ</t>
    </rPh>
    <rPh sb="10" eb="12">
      <t>ツイカ</t>
    </rPh>
    <phoneticPr fontId="2"/>
  </si>
  <si>
    <t>・担当・交付者の支店しばりをなくする</t>
    <rPh sb="1" eb="3">
      <t>タントウ</t>
    </rPh>
    <rPh sb="4" eb="7">
      <t>コウフシャ</t>
    </rPh>
    <rPh sb="8" eb="10">
      <t>シテン</t>
    </rPh>
    <phoneticPr fontId="2"/>
  </si>
  <si>
    <t>・第五面の項番</t>
    <rPh sb="1" eb="4">
      <t>ダイゴメン</t>
    </rPh>
    <rPh sb="5" eb="7">
      <t>コウバン</t>
    </rPh>
    <phoneticPr fontId="2"/>
  </si>
  <si>
    <t>・申請管理画面の検索条件の区別の詳細化</t>
    <rPh sb="1" eb="5">
      <t>シンセイカンリ</t>
    </rPh>
    <rPh sb="5" eb="7">
      <t>ガメン</t>
    </rPh>
    <rPh sb="8" eb="10">
      <t>ケンサク</t>
    </rPh>
    <rPh sb="10" eb="12">
      <t>ジョウケン</t>
    </rPh>
    <rPh sb="13" eb="15">
      <t>クベツ</t>
    </rPh>
    <rPh sb="16" eb="19">
      <t>ショウサイカ</t>
    </rPh>
    <phoneticPr fontId="2"/>
  </si>
  <si>
    <t>・発番：次回番号の設定</t>
    <rPh sb="1" eb="3">
      <t>ハツバン</t>
    </rPh>
    <rPh sb="4" eb="8">
      <t>ジカイバンゴウ</t>
    </rPh>
    <rPh sb="9" eb="11">
      <t>セッテイ</t>
    </rPh>
    <phoneticPr fontId="2"/>
  </si>
  <si>
    <t>・適判手数料、適判事務手数料を除いた金額の出力処理（セル出力）</t>
    <rPh sb="1" eb="3">
      <t>テキハン</t>
    </rPh>
    <rPh sb="3" eb="6">
      <t>テスウリョウ</t>
    </rPh>
    <rPh sb="7" eb="9">
      <t>テキハン</t>
    </rPh>
    <rPh sb="9" eb="14">
      <t>ジムテスウリョウ</t>
    </rPh>
    <rPh sb="15" eb="16">
      <t>ノゾ</t>
    </rPh>
    <rPh sb="18" eb="20">
      <t>キンガク</t>
    </rPh>
    <rPh sb="21" eb="25">
      <t>シュツリョクショリ</t>
    </rPh>
    <rPh sb="28" eb="30">
      <t>シュツリョク</t>
    </rPh>
    <phoneticPr fontId="2"/>
  </si>
  <si>
    <t>・事前と本審査の「氏名」「開始日」「終了日」のリンク化</t>
    <rPh sb="1" eb="3">
      <t>ジゼン</t>
    </rPh>
    <rPh sb="4" eb="7">
      <t>ホンシンサ</t>
    </rPh>
    <rPh sb="9" eb="11">
      <t>シメイ</t>
    </rPh>
    <rPh sb="13" eb="16">
      <t>カイシビ</t>
    </rPh>
    <rPh sb="18" eb="21">
      <t>シュウリョウビ</t>
    </rPh>
    <rPh sb="26" eb="27">
      <t>カ</t>
    </rPh>
    <phoneticPr fontId="2"/>
  </si>
  <si>
    <t>市町村マスタの見直し</t>
    <rPh sb="0" eb="3">
      <t>シチョウソン</t>
    </rPh>
    <rPh sb="7" eb="9">
      <t>ミナオ</t>
    </rPh>
    <phoneticPr fontId="2"/>
  </si>
  <si>
    <t>**shinsei_OTHER_NOTE</t>
    <phoneticPr fontId="2"/>
  </si>
  <si>
    <t>その他タブ - 備考</t>
    <rPh sb="2" eb="3">
      <t>タ</t>
    </rPh>
    <rPh sb="8" eb="10">
      <t>ビコウ</t>
    </rPh>
    <phoneticPr fontId="2"/>
  </si>
  <si>
    <t>**shinsei_build_PAGE3_SONOTA</t>
    <phoneticPr fontId="2"/>
  </si>
  <si>
    <t>**shinsei_build_PAGE3_BIKOU</t>
    <phoneticPr fontId="2"/>
  </si>
  <si>
    <t>第三面 - 19.備考</t>
    <rPh sb="0" eb="3">
      <t>ダイサンメン</t>
    </rPh>
    <rPh sb="9" eb="11">
      <t>ビコウ</t>
    </rPh>
    <phoneticPr fontId="2"/>
  </si>
  <si>
    <t>第三面 - 18.その他必要な事項</t>
    <rPh sb="11" eb="14">
      <t>タヒツヨウ</t>
    </rPh>
    <rPh sb="15" eb="17">
      <t>ジコウ</t>
    </rPh>
    <phoneticPr fontId="2"/>
  </si>
  <si>
    <t>**shinsei_build_PAGE2_KENTIKUSI_BIKO</t>
    <phoneticPr fontId="2"/>
  </si>
  <si>
    <t>第二面 - 7.備考（構造・設備情報）</t>
  </si>
  <si>
    <t>・引受日と請求発生日のリンクを外す</t>
    <rPh sb="1" eb="4">
      <t>ヒキウケビ</t>
    </rPh>
    <rPh sb="5" eb="10">
      <t>セイキュウハッセイビ</t>
    </rPh>
    <rPh sb="15" eb="16">
      <t>ハズ</t>
    </rPh>
    <phoneticPr fontId="2"/>
  </si>
  <si>
    <t>料金表の設定（構築）</t>
    <rPh sb="0" eb="3">
      <t>リョウキンヒョウ</t>
    </rPh>
    <rPh sb="4" eb="6">
      <t>セッテイ</t>
    </rPh>
    <rPh sb="7" eb="9">
      <t>コウチク</t>
    </rPh>
    <phoneticPr fontId="2"/>
  </si>
  <si>
    <t>・東北支店：現行でよい</t>
    <rPh sb="1" eb="5">
      <t>トウホクシテン</t>
    </rPh>
    <rPh sb="6" eb="8">
      <t>ゲンコウ</t>
    </rPh>
    <phoneticPr fontId="2"/>
  </si>
  <si>
    <t>・東京本部 - 特別料金表の搭載（資料あり）</t>
    <rPh sb="1" eb="5">
      <t>トウキョウホンブ</t>
    </rPh>
    <rPh sb="8" eb="10">
      <t>トクベツ</t>
    </rPh>
    <rPh sb="10" eb="13">
      <t>リョウキンヒョウ</t>
    </rPh>
    <rPh sb="14" eb="16">
      <t>トウサイ</t>
    </rPh>
    <rPh sb="17" eb="19">
      <t>シリョウ</t>
    </rPh>
    <phoneticPr fontId="2"/>
  </si>
  <si>
    <t>・阪神支店 - 料金表：搭載済</t>
    <rPh sb="1" eb="5">
      <t>ハンシンシテン</t>
    </rPh>
    <rPh sb="8" eb="11">
      <t>リョウキンヒョウ</t>
    </rPh>
    <rPh sb="12" eb="14">
      <t>トウサイ</t>
    </rPh>
    <rPh sb="14" eb="15">
      <t>ズミ</t>
    </rPh>
    <phoneticPr fontId="2"/>
  </si>
  <si>
    <t>検査予約をひとつのファイルで出力する様に変更</t>
    <rPh sb="0" eb="4">
      <t>ケンサヨヤク</t>
    </rPh>
    <rPh sb="14" eb="16">
      <t>シュツリョク</t>
    </rPh>
    <rPh sb="18" eb="19">
      <t>ヨウ</t>
    </rPh>
    <rPh sb="20" eb="22">
      <t>ヘンコウ</t>
    </rPh>
    <phoneticPr fontId="2"/>
  </si>
  <si>
    <t>・大阪本店 - 後日</t>
    <rPh sb="1" eb="5">
      <t>オオサカホンテン</t>
    </rPh>
    <rPh sb="8" eb="10">
      <t>ゴジツ</t>
    </rPh>
    <phoneticPr fontId="2"/>
  </si>
  <si>
    <t>・九州支店 - 特別料金表の搭載（資料あり）</t>
    <rPh sb="1" eb="5">
      <t>キュウシュウシテン</t>
    </rPh>
    <rPh sb="8" eb="10">
      <t>トクベツ</t>
    </rPh>
    <rPh sb="10" eb="13">
      <t>リョウキンヒョウ</t>
    </rPh>
    <rPh sb="14" eb="16">
      <t>トウサイ</t>
    </rPh>
    <rPh sb="17" eb="19">
      <t>シリョウ</t>
    </rPh>
    <phoneticPr fontId="2"/>
  </si>
  <si>
    <t>済</t>
    <rPh sb="0" eb="1">
      <t>ズミ</t>
    </rPh>
    <phoneticPr fontId="2"/>
  </si>
  <si>
    <t>建築物、確認時の帳票の並びの調整</t>
    <rPh sb="0" eb="3">
      <t>ケンチクブツ</t>
    </rPh>
    <rPh sb="4" eb="6">
      <t>カクニン</t>
    </rPh>
    <rPh sb="6" eb="7">
      <t>ジ</t>
    </rPh>
    <rPh sb="8" eb="10">
      <t>チョウヒョウ</t>
    </rPh>
    <rPh sb="11" eb="12">
      <t>ナラ</t>
    </rPh>
    <rPh sb="14" eb="16">
      <t>チョウセイ</t>
    </rPh>
    <phoneticPr fontId="2"/>
  </si>
  <si>
    <t>消防通知（昇降機）</t>
  </si>
  <si>
    <t>引受・交付時の帳票の並び順を調整</t>
    <rPh sb="0" eb="2">
      <t>ヒキウケ</t>
    </rPh>
    <rPh sb="3" eb="5">
      <t>コウフ</t>
    </rPh>
    <rPh sb="5" eb="6">
      <t>ジ</t>
    </rPh>
    <rPh sb="7" eb="9">
      <t>チョウヒョウ</t>
    </rPh>
    <rPh sb="10" eb="11">
      <t>ナラ</t>
    </rPh>
    <rPh sb="12" eb="13">
      <t>ジュン</t>
    </rPh>
    <rPh sb="14" eb="16">
      <t>チョウセイ</t>
    </rPh>
    <phoneticPr fontId="2"/>
  </si>
  <si>
    <t>ビル管 特定建築物の通知書のタイトルのフォントサイズを１１→１４に変更</t>
    <rPh sb="2" eb="3">
      <t>カン</t>
    </rPh>
    <rPh sb="4" eb="9">
      <t>トクテイケンチクブツ</t>
    </rPh>
    <rPh sb="10" eb="13">
      <t>ツウチショ</t>
    </rPh>
    <rPh sb="33" eb="35">
      <t>ヘンコウ</t>
    </rPh>
    <phoneticPr fontId="2"/>
  </si>
  <si>
    <t>検査員（中間）</t>
    <rPh sb="4" eb="6">
      <t>チュウカン</t>
    </rPh>
    <phoneticPr fontId="2"/>
  </si>
  <si>
    <t>検査員（完了）</t>
    <rPh sb="4" eb="6">
      <t>カンリョウ</t>
    </rPh>
    <phoneticPr fontId="2"/>
  </si>
  <si>
    <t>検査員（確認）</t>
    <rPh sb="0" eb="3">
      <t>ケンサイン</t>
    </rPh>
    <rPh sb="4" eb="6">
      <t>カクニン</t>
    </rPh>
    <phoneticPr fontId="2"/>
  </si>
  <si>
    <t>--</t>
    <phoneticPr fontId="2"/>
  </si>
  <si>
    <t>--</t>
    <phoneticPr fontId="2"/>
  </si>
  <si>
    <t>住所チェック</t>
    <phoneticPr fontId="2"/>
  </si>
  <si>
    <t>取引区分</t>
    <phoneticPr fontId="2"/>
  </si>
  <si>
    <t>☓</t>
    <phoneticPr fontId="2"/>
  </si>
  <si>
    <t>領収書No.</t>
    <phoneticPr fontId="2"/>
  </si>
  <si>
    <t>確認予定日</t>
    <phoneticPr fontId="2"/>
  </si>
  <si>
    <t>消防 - 通知・同意</t>
    <phoneticPr fontId="2"/>
  </si>
  <si>
    <t>昇降機の用途</t>
    <phoneticPr fontId="2"/>
  </si>
  <si>
    <t>積載荷重</t>
    <phoneticPr fontId="2"/>
  </si>
  <si>
    <t>最大定員</t>
    <phoneticPr fontId="2"/>
  </si>
  <si>
    <t>定格速度</t>
    <phoneticPr fontId="2"/>
  </si>
  <si>
    <t>工作物の種類</t>
    <phoneticPr fontId="2"/>
  </si>
  <si>
    <t>工作物の高さ</t>
    <phoneticPr fontId="2"/>
  </si>
  <si>
    <t>工作物の構造</t>
    <phoneticPr fontId="2"/>
  </si>
  <si>
    <t>工事種別</t>
    <phoneticPr fontId="2"/>
  </si>
  <si>
    <t>係る確認済証交付年月日</t>
    <phoneticPr fontId="2"/>
  </si>
  <si>
    <t>係る確認済証交付者</t>
    <phoneticPr fontId="2"/>
  </si>
  <si>
    <t>特定工程</t>
    <phoneticPr fontId="2"/>
  </si>
  <si>
    <t>特定工程工事終了（予定）年月日</t>
    <phoneticPr fontId="2"/>
  </si>
  <si>
    <t>工事終了（予定）年月日</t>
    <phoneticPr fontId="2"/>
  </si>
  <si>
    <t>検査年月日</t>
    <phoneticPr fontId="2"/>
  </si>
  <si>
    <t>統計報告等で法６条区分の選択は必須</t>
    <phoneticPr fontId="2"/>
  </si>
  <si>
    <t>チェック</t>
    <phoneticPr fontId="2"/>
  </si>
  <si>
    <t>確認済証交付日と報告日の相違</t>
    <phoneticPr fontId="2"/>
  </si>
  <si>
    <t>申請種別　FD　書類</t>
    <phoneticPr fontId="2"/>
  </si>
  <si>
    <t>適判物件。適判名</t>
    <phoneticPr fontId="2"/>
  </si>
  <si>
    <t>適判物件。通知書番号</t>
    <phoneticPr fontId="2"/>
  </si>
  <si>
    <t>適判物件。通知日</t>
    <phoneticPr fontId="2"/>
  </si>
  <si>
    <t>第四面5.耐火建築物</t>
    <phoneticPr fontId="2"/>
  </si>
  <si>
    <t>特定工程終了予定年月日</t>
    <phoneticPr fontId="2"/>
  </si>
  <si>
    <t>検査予定日</t>
    <phoneticPr fontId="2"/>
  </si>
  <si>
    <t>空欄上書き用の設計者等の登録</t>
    <rPh sb="0" eb="2">
      <t>クウラン</t>
    </rPh>
    <rPh sb="2" eb="4">
      <t>ウワガ</t>
    </rPh>
    <rPh sb="5" eb="6">
      <t>ヨウ</t>
    </rPh>
    <rPh sb="7" eb="10">
      <t>セッケイシャ</t>
    </rPh>
    <rPh sb="10" eb="11">
      <t>ナド</t>
    </rPh>
    <rPh sb="12" eb="14">
      <t>トウロク</t>
    </rPh>
    <phoneticPr fontId="2"/>
  </si>
  <si>
    <t>特別料金を設定した請求先の登録（テスト）</t>
    <rPh sb="0" eb="4">
      <t>トクベツリョウキン</t>
    </rPh>
    <rPh sb="5" eb="7">
      <t>セッテイ</t>
    </rPh>
    <rPh sb="9" eb="12">
      <t>セイキュウサキ</t>
    </rPh>
    <rPh sb="13" eb="15">
      <t>トウロク</t>
    </rPh>
    <phoneticPr fontId="2"/>
  </si>
  <si>
    <t>**prule_BIRUKAN_NOTIFY_DATE__notnull</t>
    <phoneticPr fontId="2"/>
  </si>
  <si>
    <t>**prule_BIRUKAN_NOTIFY_DATE__null</t>
    <phoneticPr fontId="2"/>
  </si>
  <si>
    <t>入力 - 有</t>
    <rPh sb="0" eb="2">
      <t>ニュウリョク</t>
    </rPh>
    <rPh sb="5" eb="6">
      <t>アリ</t>
    </rPh>
    <phoneticPr fontId="2"/>
  </si>
  <si>
    <t>入力 - 無</t>
    <rPh sb="0" eb="2">
      <t>ニュウリョク</t>
    </rPh>
    <rPh sb="5" eb="6">
      <t>ナシ</t>
    </rPh>
    <phoneticPr fontId="2"/>
  </si>
  <si>
    <t>ビル管法
日付の入力</t>
    <rPh sb="2" eb="3">
      <t>カン</t>
    </rPh>
    <rPh sb="3" eb="4">
      <t>ホウ</t>
    </rPh>
    <rPh sb="5" eb="7">
      <t>ヒヅケ</t>
    </rPh>
    <rPh sb="8" eb="10">
      <t>ニュウリョク</t>
    </rPh>
    <phoneticPr fontId="2"/>
  </si>
  <si>
    <t>ビル管法の通知日の入力欄が付加された事により、日付の入力時にビル管法の通知書を出力</t>
    <rPh sb="2" eb="4">
      <t>カンホウ</t>
    </rPh>
    <rPh sb="5" eb="8">
      <t>ツウチビ</t>
    </rPh>
    <rPh sb="9" eb="12">
      <t>ニュウリョクラン</t>
    </rPh>
    <rPh sb="13" eb="15">
      <t>フカ</t>
    </rPh>
    <rPh sb="18" eb="19">
      <t>コト</t>
    </rPh>
    <rPh sb="23" eb="25">
      <t>ヒヅケ</t>
    </rPh>
    <rPh sb="26" eb="28">
      <t>ニュウリョク</t>
    </rPh>
    <rPh sb="28" eb="29">
      <t>ジ</t>
    </rPh>
    <rPh sb="32" eb="34">
      <t>カンホウ</t>
    </rPh>
    <rPh sb="35" eb="38">
      <t>ツウチショ</t>
    </rPh>
    <rPh sb="39" eb="41">
      <t>シュツリョク</t>
    </rPh>
    <phoneticPr fontId="2"/>
  </si>
  <si>
    <t>ビル管通知書の宛名のリンク先を変更</t>
    <rPh sb="2" eb="3">
      <t>カン</t>
    </rPh>
    <rPh sb="3" eb="6">
      <t>ツウチショ</t>
    </rPh>
    <rPh sb="7" eb="9">
      <t>アテナ</t>
    </rPh>
    <rPh sb="13" eb="14">
      <t>サキ</t>
    </rPh>
    <rPh sb="15" eb="17">
      <t>ヘンコウ</t>
    </rPh>
    <phoneticPr fontId="2"/>
  </si>
  <si>
    <t>■ 概要データ － 浄化槽通知・ビル管 特定建築物通知</t>
    <rPh sb="10" eb="13">
      <t>ジョウカソウ</t>
    </rPh>
    <rPh sb="13" eb="15">
      <t>ツウチ</t>
    </rPh>
    <rPh sb="18" eb="19">
      <t>カン</t>
    </rPh>
    <rPh sb="20" eb="25">
      <t>トクテイケンチクブツ</t>
    </rPh>
    <rPh sb="25" eb="27">
      <t>ツウチ</t>
    </rPh>
    <phoneticPr fontId="2"/>
  </si>
  <si>
    <t>特定建築物の通知</t>
    <rPh sb="0" eb="5">
      <t>トクテイケンチクブツ</t>
    </rPh>
    <rPh sb="6" eb="8">
      <t>ツウチ</t>
    </rPh>
    <phoneticPr fontId="2"/>
  </si>
  <si>
    <t>通知先</t>
    <rPh sb="0" eb="3">
      <t>ツウチサキ</t>
    </rPh>
    <phoneticPr fontId="2"/>
  </si>
  <si>
    <t>**shinsei_BIRUKAN_NOTIFY_DATE</t>
    <phoneticPr fontId="2"/>
  </si>
  <si>
    <t>**shinsei_BIRUKAN_HEALTH_CENTER_NAME</t>
    <phoneticPr fontId="2"/>
  </si>
  <si>
    <t>**shinsei_BIRUKAN_NOTIFY_SONOTA</t>
    <phoneticPr fontId="2"/>
  </si>
  <si>
    <t>cst_shinsei_BIRUKAN_NOTIFY_SONOTA</t>
    <phoneticPr fontId="2"/>
  </si>
  <si>
    <t>cst_shinsei_BIRUKAN_NOTIFY_DATE</t>
    <phoneticPr fontId="2"/>
  </si>
  <si>
    <t>cst_shinsei_BIRUKAN_HEALTH_CENTER_NAME__dsp</t>
    <phoneticPr fontId="2"/>
  </si>
  <si>
    <t>確認引受承諾書：一部文言（：）が表示しなくなっていたのを修正</t>
    <rPh sb="0" eb="2">
      <t>カクニン</t>
    </rPh>
    <rPh sb="2" eb="7">
      <t>ヒキウケショウダクショ</t>
    </rPh>
    <rPh sb="8" eb="10">
      <t>イチブ</t>
    </rPh>
    <rPh sb="10" eb="12">
      <t>モンゴン</t>
    </rPh>
    <rPh sb="16" eb="18">
      <t>ヒョウジ</t>
    </rPh>
    <rPh sb="28" eb="30">
      <t>シュウセイ</t>
    </rPh>
    <phoneticPr fontId="2"/>
  </si>
  <si>
    <t>一部のセルで請求書等で縮小表示、又は折返して表示の設定ができていなかったのを修正</t>
    <rPh sb="0" eb="2">
      <t>イチブ</t>
    </rPh>
    <rPh sb="6" eb="9">
      <t>セイキュウショ</t>
    </rPh>
    <rPh sb="9" eb="10">
      <t>ナド</t>
    </rPh>
    <rPh sb="11" eb="15">
      <t>シュクショウヒョウジ</t>
    </rPh>
    <rPh sb="16" eb="17">
      <t>マタ</t>
    </rPh>
    <rPh sb="18" eb="20">
      <t>オリカエ</t>
    </rPh>
    <rPh sb="22" eb="24">
      <t>ヒョウジ</t>
    </rPh>
    <rPh sb="25" eb="27">
      <t>セッテイ</t>
    </rPh>
    <rPh sb="38" eb="40">
      <t>シュウセイ</t>
    </rPh>
    <phoneticPr fontId="2"/>
  </si>
  <si>
    <t>手数料自動計算がかなりの確率で料金表が見つかりませんとエラーが出ていた問題を修正</t>
    <rPh sb="0" eb="3">
      <t>テスウリョウ</t>
    </rPh>
    <rPh sb="3" eb="7">
      <t>ジドウケイサン</t>
    </rPh>
    <rPh sb="12" eb="14">
      <t>カクリツ</t>
    </rPh>
    <rPh sb="15" eb="18">
      <t>リョウキンヒョウ</t>
    </rPh>
    <rPh sb="19" eb="20">
      <t>ミ</t>
    </rPh>
    <rPh sb="31" eb="32">
      <t>デ</t>
    </rPh>
    <rPh sb="35" eb="37">
      <t>モンダイ</t>
    </rPh>
    <rPh sb="38" eb="40">
      <t>シュウセイ</t>
    </rPh>
    <phoneticPr fontId="2"/>
  </si>
  <si>
    <t>（料金表の登録が不足していた為）</t>
    <rPh sb="1" eb="4">
      <t>リョウキンヒョウ</t>
    </rPh>
    <rPh sb="5" eb="7">
      <t>トウロク</t>
    </rPh>
    <rPh sb="8" eb="10">
      <t>フソク</t>
    </rPh>
    <rPh sb="14" eb="15">
      <t>タメ</t>
    </rPh>
    <phoneticPr fontId="2"/>
  </si>
  <si>
    <t>特別料金：(東京本部) ヤマダ電機の適判事務手数料が75,000円になっていたのを7,500円に修正</t>
    <rPh sb="0" eb="4">
      <t>トクベツリョウキン</t>
    </rPh>
    <rPh sb="6" eb="10">
      <t>トウキョウホンブ</t>
    </rPh>
    <rPh sb="15" eb="17">
      <t>デンキ</t>
    </rPh>
    <rPh sb="18" eb="20">
      <t>テキハン</t>
    </rPh>
    <rPh sb="20" eb="25">
      <t>ジムテスウリョウ</t>
    </rPh>
    <rPh sb="32" eb="33">
      <t>エン</t>
    </rPh>
    <rPh sb="46" eb="47">
      <t>エン</t>
    </rPh>
    <rPh sb="48" eb="50">
      <t>シュウセイ</t>
    </rPh>
    <phoneticPr fontId="2"/>
  </si>
  <si>
    <t>手数料詳細：明細リストで、避難安全検証法の文言が間違っていたのを修正</t>
    <rPh sb="0" eb="5">
      <t>テスウリョウショウサイ</t>
    </rPh>
    <rPh sb="6" eb="8">
      <t>メイサイ</t>
    </rPh>
    <rPh sb="13" eb="20">
      <t>ヒナンアンゼンケンショウホウ</t>
    </rPh>
    <rPh sb="21" eb="23">
      <t>モンゴン</t>
    </rPh>
    <rPh sb="24" eb="26">
      <t>マチガ</t>
    </rPh>
    <rPh sb="32" eb="34">
      <t>シュウセイ</t>
    </rPh>
    <phoneticPr fontId="2"/>
  </si>
  <si>
    <t>cst_shinsei_TOKKI_JIKOU__dsp</t>
  </si>
  <si>
    <t>法第三条第二項の規定及び不適合の規定の出力処理に対応</t>
    <rPh sb="0" eb="1">
      <t>ホウ</t>
    </rPh>
    <rPh sb="1" eb="4">
      <t>ダイサンジョウ</t>
    </rPh>
    <rPh sb="4" eb="7">
      <t>ダイニコウ</t>
    </rPh>
    <rPh sb="8" eb="10">
      <t>キテイ</t>
    </rPh>
    <rPh sb="10" eb="11">
      <t>オヨ</t>
    </rPh>
    <rPh sb="12" eb="15">
      <t>フテキゴウ</t>
    </rPh>
    <rPh sb="16" eb="18">
      <t>キテイ</t>
    </rPh>
    <rPh sb="19" eb="21">
      <t>シュツリョク</t>
    </rPh>
    <rPh sb="21" eb="23">
      <t>ショリ</t>
    </rPh>
    <rPh sb="24" eb="26">
      <t>タイオウ</t>
    </rPh>
    <phoneticPr fontId="2"/>
  </si>
  <si>
    <t>引受送付書の約款の本支店による表示非表示の切替（東京本部のみ表示）</t>
    <rPh sb="0" eb="1">
      <t>ヒ</t>
    </rPh>
    <rPh sb="1" eb="2">
      <t>ウ</t>
    </rPh>
    <rPh sb="2" eb="5">
      <t>ソウフショ</t>
    </rPh>
    <rPh sb="6" eb="8">
      <t>ヤッカン</t>
    </rPh>
    <rPh sb="9" eb="12">
      <t>ホンシテン</t>
    </rPh>
    <rPh sb="15" eb="17">
      <t>ヒョウジ</t>
    </rPh>
    <rPh sb="17" eb="20">
      <t>ヒヒョウジ</t>
    </rPh>
    <rPh sb="21" eb="23">
      <t>キリカエ</t>
    </rPh>
    <rPh sb="24" eb="28">
      <t>トウキョウホンブ</t>
    </rPh>
    <rPh sb="30" eb="32">
      <t>ヒョウジ</t>
    </rPh>
    <phoneticPr fontId="2"/>
  </si>
  <si>
    <t>cst_HIKIUKE_SOUFU__yakan</t>
  </si>
  <si>
    <t>引受送付書の約款の文字の本支店による表示・非表示の切替処理を搭載（東京のみ表示）</t>
    <rPh sb="0" eb="2">
      <t>ヒキウケ</t>
    </rPh>
    <rPh sb="2" eb="5">
      <t>ソウフショ</t>
    </rPh>
    <rPh sb="6" eb="8">
      <t>ヤッカン</t>
    </rPh>
    <rPh sb="9" eb="11">
      <t>モジ</t>
    </rPh>
    <rPh sb="12" eb="15">
      <t>ホンシテン</t>
    </rPh>
    <rPh sb="18" eb="20">
      <t>ヒョウジ</t>
    </rPh>
    <rPh sb="21" eb="24">
      <t>ヒヒョウジ</t>
    </rPh>
    <rPh sb="25" eb="29">
      <t>キリカエショリ</t>
    </rPh>
    <rPh sb="30" eb="32">
      <t>トウサイ</t>
    </rPh>
    <rPh sb="33" eb="35">
      <t>トウキョウ</t>
    </rPh>
    <rPh sb="37" eb="39">
      <t>ヒョウジ</t>
    </rPh>
    <phoneticPr fontId="2"/>
  </si>
  <si>
    <t>手数料自動計算：工作物の時に、幅の入力を必要な時に入力する様に入力チェックを外す</t>
    <rPh sb="0" eb="7">
      <t>テスウリョウジドウケイサン</t>
    </rPh>
    <rPh sb="8" eb="11">
      <t>コウサクブツ</t>
    </rPh>
    <rPh sb="12" eb="13">
      <t>トキ</t>
    </rPh>
    <rPh sb="15" eb="16">
      <t>ハバ</t>
    </rPh>
    <rPh sb="17" eb="19">
      <t>ニュウリョク</t>
    </rPh>
    <rPh sb="20" eb="22">
      <t>ヒツヨウ</t>
    </rPh>
    <rPh sb="23" eb="24">
      <t>トキ</t>
    </rPh>
    <rPh sb="25" eb="27">
      <t>ニュウリョク</t>
    </rPh>
    <rPh sb="29" eb="30">
      <t>ヨウ</t>
    </rPh>
    <rPh sb="31" eb="33">
      <t>ニュウリョク</t>
    </rPh>
    <rPh sb="38" eb="39">
      <t>ハズ</t>
    </rPh>
    <phoneticPr fontId="2"/>
  </si>
  <si>
    <t>手数料（主にEXCEL出力時）：適判手数料だけの出力処理を追加し、一行出力及びCSVに搭載</t>
    <rPh sb="0" eb="3">
      <t>テスウリョウ</t>
    </rPh>
    <rPh sb="4" eb="5">
      <t>オモ</t>
    </rPh>
    <rPh sb="11" eb="13">
      <t>シュツリョク</t>
    </rPh>
    <rPh sb="13" eb="14">
      <t>ジ</t>
    </rPh>
    <rPh sb="16" eb="18">
      <t>テキハン</t>
    </rPh>
    <rPh sb="18" eb="21">
      <t>テスウリョウ</t>
    </rPh>
    <rPh sb="24" eb="26">
      <t>シュツリョク</t>
    </rPh>
    <rPh sb="26" eb="28">
      <t>ショリ</t>
    </rPh>
    <rPh sb="29" eb="31">
      <t>ツイカ</t>
    </rPh>
    <rPh sb="33" eb="37">
      <t>イチギョウシュツリョク</t>
    </rPh>
    <rPh sb="37" eb="38">
      <t>オヨ</t>
    </rPh>
    <rPh sb="43" eb="45">
      <t>トウサイ</t>
    </rPh>
    <phoneticPr fontId="2"/>
  </si>
  <si>
    <t>shinsei_BUILD_NAME</t>
    <phoneticPr fontId="2"/>
  </si>
  <si>
    <t>※ 基本的には上記と同じ</t>
    <rPh sb="2" eb="5">
      <t>キホンテキ</t>
    </rPh>
    <rPh sb="7" eb="9">
      <t>ジョウキ</t>
    </rPh>
    <rPh sb="10" eb="11">
      <t>オナ</t>
    </rPh>
    <phoneticPr fontId="2"/>
  </si>
  <si>
    <t>適判手数料合計（適判＋事務手数料）</t>
    <rPh sb="0" eb="5">
      <t>テキハンテスウリョウ</t>
    </rPh>
    <rPh sb="5" eb="7">
      <t>ゴウケイ</t>
    </rPh>
    <rPh sb="8" eb="10">
      <t>テキハン</t>
    </rPh>
    <rPh sb="11" eb="16">
      <t>ジムテスウリョウ</t>
    </rPh>
    <phoneticPr fontId="2"/>
  </si>
  <si>
    <t>**shinsei_CHARGE_ID__STR_CHARGE</t>
    <phoneticPr fontId="2"/>
  </si>
  <si>
    <t>構造判定手数料（合計）適判料のみ</t>
    <rPh sb="0" eb="2">
      <t>コウゾウ</t>
    </rPh>
    <rPh sb="2" eb="4">
      <t>ハンテイ</t>
    </rPh>
    <rPh sb="4" eb="7">
      <t>テスウリョウ</t>
    </rPh>
    <rPh sb="8" eb="10">
      <t>ゴウケイ</t>
    </rPh>
    <rPh sb="11" eb="14">
      <t>テキハンリョウ</t>
    </rPh>
    <phoneticPr fontId="2"/>
  </si>
  <si>
    <t>構造判定事務 手数料（合計）</t>
    <rPh sb="4" eb="6">
      <t>ジム</t>
    </rPh>
    <rPh sb="11" eb="13">
      <t>ゴウケイ</t>
    </rPh>
    <phoneticPr fontId="2"/>
  </si>
  <si>
    <t>適判手数料（割増を含む）の金額</t>
  </si>
  <si>
    <t>適判手数料を除いた金額</t>
  </si>
  <si>
    <t>※ 上記ふたつを合計すると shinsei_CHARGE_ID__RECEIPT_PRICE 手数料（合計）となる</t>
    <rPh sb="2" eb="4">
      <t>ジョウキ</t>
    </rPh>
    <rPh sb="8" eb="10">
      <t>ゴウケイ</t>
    </rPh>
    <rPh sb="47" eb="50">
      <t>テスウリョウ</t>
    </rPh>
    <rPh sb="51" eb="53">
      <t>ゴウケイ</t>
    </rPh>
    <phoneticPr fontId="2"/>
  </si>
  <si>
    <t>**shinsei_CHARGE_ID__PRICE__tekihannozoku</t>
    <phoneticPr fontId="2"/>
  </si>
  <si>
    <t>**shinsei_CHARGE_ID__PRICE__tekihan</t>
    <phoneticPr fontId="2"/>
  </si>
  <si>
    <t>cst_shinsei_CHARGE_ID__PRICE__tekihannozoku</t>
    <phoneticPr fontId="2"/>
  </si>
  <si>
    <t>cst_shinsei_CHARGE_ID__PRICE__tekihan</t>
    <phoneticPr fontId="2"/>
  </si>
  <si>
    <t>手数料（適判除くと適判の処理を整理）</t>
    <rPh sb="0" eb="3">
      <t>テスウリョウ</t>
    </rPh>
    <rPh sb="4" eb="6">
      <t>テキハン</t>
    </rPh>
    <rPh sb="6" eb="7">
      <t>ノゾ</t>
    </rPh>
    <rPh sb="9" eb="11">
      <t>テキハン</t>
    </rPh>
    <rPh sb="12" eb="14">
      <t>ショリ</t>
    </rPh>
    <rPh sb="15" eb="17">
      <t>セイリ</t>
    </rPh>
    <phoneticPr fontId="2"/>
  </si>
  <si>
    <t>審査課の電話（引受報告用）</t>
    <rPh sb="0" eb="3">
      <t>シンサカ</t>
    </rPh>
    <rPh sb="4" eb="6">
      <t>デンワ</t>
    </rPh>
    <rPh sb="7" eb="8">
      <t>ヒ</t>
    </rPh>
    <rPh sb="8" eb="9">
      <t>ウ</t>
    </rPh>
    <rPh sb="9" eb="11">
      <t>ホウコク</t>
    </rPh>
    <rPh sb="11" eb="12">
      <t>ヨウ</t>
    </rPh>
    <phoneticPr fontId="2"/>
  </si>
  <si>
    <t>審査課のFAX（引受報告用）</t>
    <rPh sb="0" eb="3">
      <t>シンサカ</t>
    </rPh>
    <rPh sb="8" eb="9">
      <t>ヒ</t>
    </rPh>
    <rPh sb="9" eb="10">
      <t>ウ</t>
    </rPh>
    <rPh sb="10" eb="12">
      <t>ホウコク</t>
    </rPh>
    <rPh sb="12" eb="13">
      <t>ヨウ</t>
    </rPh>
    <phoneticPr fontId="2"/>
  </si>
  <si>
    <t>don_OFFICE_TEL_tokyo_sinsa__print_time</t>
    <phoneticPr fontId="2"/>
  </si>
  <si>
    <t>don_OFFICE_FAX_tokyo_sinsa__print_time</t>
    <phoneticPr fontId="2"/>
  </si>
  <si>
    <t>確認申請引受報告書（東京本部用）の電話番号、FAX番号を審査課の番号に変更</t>
    <rPh sb="10" eb="12">
      <t>トウキョウ</t>
    </rPh>
    <rPh sb="12" eb="14">
      <t>ホンブ</t>
    </rPh>
    <rPh sb="14" eb="15">
      <t>ヨウ</t>
    </rPh>
    <rPh sb="17" eb="21">
      <t>デンワバンゴウ</t>
    </rPh>
    <rPh sb="25" eb="27">
      <t>バンゴウ</t>
    </rPh>
    <rPh sb="28" eb="31">
      <t>シンサカ</t>
    </rPh>
    <rPh sb="32" eb="34">
      <t>バンゴウ</t>
    </rPh>
    <rPh sb="35" eb="37">
      <t>ヘンコウ</t>
    </rPh>
    <phoneticPr fontId="2"/>
  </si>
  <si>
    <t>※ 東京本部以外は非表示となる</t>
    <rPh sb="2" eb="4">
      <t>トウキョウ</t>
    </rPh>
    <rPh sb="4" eb="6">
      <t>ホンブ</t>
    </rPh>
    <rPh sb="6" eb="8">
      <t>イガイ</t>
    </rPh>
    <rPh sb="9" eb="12">
      <t>ヒヒョウジ</t>
    </rPh>
    <phoneticPr fontId="2"/>
  </si>
  <si>
    <t>東京本部用引受報告書 - 電話番号</t>
    <rPh sb="0" eb="2">
      <t>トウキョウ</t>
    </rPh>
    <rPh sb="2" eb="4">
      <t>ホンブ</t>
    </rPh>
    <rPh sb="4" eb="5">
      <t>ヨウ</t>
    </rPh>
    <rPh sb="5" eb="10">
      <t>ヒキウケホウコクショ</t>
    </rPh>
    <rPh sb="13" eb="17">
      <t>デンワバンゴウ</t>
    </rPh>
    <phoneticPr fontId="2"/>
  </si>
  <si>
    <t>東京本部用引受報告書 - FAX番号</t>
    <rPh sb="0" eb="2">
      <t>トウキョウ</t>
    </rPh>
    <rPh sb="2" eb="4">
      <t>ホンブ</t>
    </rPh>
    <rPh sb="4" eb="5">
      <t>ヨウ</t>
    </rPh>
    <rPh sb="5" eb="10">
      <t>ヒキウケホウコクショ</t>
    </rPh>
    <rPh sb="16" eb="18">
      <t>バンゴウ</t>
    </rPh>
    <phoneticPr fontId="2"/>
  </si>
  <si>
    <t>text()出力</t>
    <rPh sb="6" eb="8">
      <t>シュツリョク</t>
    </rPh>
    <phoneticPr fontId="2"/>
  </si>
  <si>
    <t>cst_CHARGE__BASIC_MEISAI_GOUKEI__text</t>
    <phoneticPr fontId="2"/>
  </si>
  <si>
    <t>リンクセルの色抜き</t>
    <rPh sb="6" eb="7">
      <t>イロ</t>
    </rPh>
    <rPh sb="7" eb="8">
      <t>ヌ</t>
    </rPh>
    <phoneticPr fontId="2"/>
  </si>
  <si>
    <t>チェックシートの一部文言を修正</t>
    <rPh sb="8" eb="10">
      <t>イチブ</t>
    </rPh>
    <rPh sb="10" eb="12">
      <t>モンゴン</t>
    </rPh>
    <rPh sb="13" eb="15">
      <t>シュウセイ</t>
    </rPh>
    <phoneticPr fontId="2"/>
  </si>
  <si>
    <t>完了検査報告書（工作物）：１０．検査結果にリンク処理が抜けていたのを修正</t>
    <rPh sb="0" eb="4">
      <t>カンリョウケンサ</t>
    </rPh>
    <rPh sb="4" eb="7">
      <t>ホウコクショ</t>
    </rPh>
    <rPh sb="8" eb="11">
      <t>コウサクブツ</t>
    </rPh>
    <rPh sb="16" eb="18">
      <t>ケンサ</t>
    </rPh>
    <rPh sb="18" eb="20">
      <t>ケッカ</t>
    </rPh>
    <rPh sb="24" eb="26">
      <t>ショリ</t>
    </rPh>
    <rPh sb="27" eb="28">
      <t>ヌ</t>
    </rPh>
    <rPh sb="34" eb="36">
      <t>シュウセイ</t>
    </rPh>
    <phoneticPr fontId="2"/>
  </si>
  <si>
    <t>cst_shinsei__REPORT_ISSUE_DATE__dsp</t>
    <phoneticPr fontId="2"/>
  </si>
  <si>
    <t>検査報告書：検査済証交付年月日が左寄せにならない問題を修正</t>
    <rPh sb="0" eb="2">
      <t>ケンサ</t>
    </rPh>
    <rPh sb="2" eb="5">
      <t>ホウコクショ</t>
    </rPh>
    <rPh sb="6" eb="10">
      <t>ケンサズミショウ</t>
    </rPh>
    <rPh sb="10" eb="15">
      <t>コウフネンガッピ</t>
    </rPh>
    <rPh sb="16" eb="18">
      <t>ヒダリヨ</t>
    </rPh>
    <rPh sb="24" eb="26">
      <t>モンダイ</t>
    </rPh>
    <rPh sb="27" eb="29">
      <t>シュウセイ</t>
    </rPh>
    <phoneticPr fontId="2"/>
  </si>
  <si>
    <t>全帳票の印刷プレビュー時のバランスをなるべく中央にする様に余白を修正</t>
    <rPh sb="0" eb="3">
      <t>ゼンチョウヒョウ</t>
    </rPh>
    <rPh sb="4" eb="6">
      <t>インサツ</t>
    </rPh>
    <rPh sb="11" eb="12">
      <t>ジ</t>
    </rPh>
    <rPh sb="22" eb="24">
      <t>チュウオウ</t>
    </rPh>
    <rPh sb="27" eb="28">
      <t>ヨウ</t>
    </rPh>
    <rPh sb="29" eb="31">
      <t>ヨハク</t>
    </rPh>
    <rPh sb="32" eb="34">
      <t>シュウセイ</t>
    </rPh>
    <phoneticPr fontId="2"/>
  </si>
  <si>
    <t>消防通知：文言が欠けていたのを修正</t>
  </si>
  <si>
    <t>消防機関同意送付書：罫線を図形からセルの書式設定に変更</t>
  </si>
  <si>
    <t>東京本部のビル名が間違っていたのを修正</t>
    <rPh sb="0" eb="4">
      <t>トウキョウホンブ</t>
    </rPh>
    <rPh sb="7" eb="8">
      <t>メイ</t>
    </rPh>
    <rPh sb="9" eb="11">
      <t>マチガ</t>
    </rPh>
    <rPh sb="17" eb="19">
      <t>シュウセイ</t>
    </rPh>
    <phoneticPr fontId="2"/>
  </si>
  <si>
    <t>完了検査引受承諾書_inter：東京本部で表示しないように修正</t>
    <rPh sb="16" eb="20">
      <t>トウキョウホンブ</t>
    </rPh>
    <rPh sb="21" eb="23">
      <t>ヒョウジ</t>
    </rPh>
    <rPh sb="29" eb="31">
      <t>シュウセイ</t>
    </rPh>
    <phoneticPr fontId="2"/>
  </si>
  <si>
    <t>引受通知書：下部にある罫線をセルの書式設定に変更</t>
    <rPh sb="6" eb="8">
      <t>カブ</t>
    </rPh>
    <rPh sb="11" eb="13">
      <t>ケイセン</t>
    </rPh>
    <rPh sb="17" eb="21">
      <t>ショシキセッテイ</t>
    </rPh>
    <rPh sb="22" eb="24">
      <t>ヘンコウ</t>
    </rPh>
    <phoneticPr fontId="2"/>
  </si>
  <si>
    <t>工作物_引受承諾書：申請者欄の不要な罫線を削除</t>
    <rPh sb="10" eb="13">
      <t>シンセイシャ</t>
    </rPh>
    <rPh sb="13" eb="14">
      <t>ラン</t>
    </rPh>
    <rPh sb="15" eb="17">
      <t>フヨウ</t>
    </rPh>
    <rPh sb="18" eb="20">
      <t>ケイセン</t>
    </rPh>
    <rPh sb="21" eb="23">
      <t>サクジョ</t>
    </rPh>
    <phoneticPr fontId="2"/>
  </si>
  <si>
    <t>工作物確認済証等：高さの小数点の桁数が２桁までしか表示していなかったのを三桁に修正</t>
    <rPh sb="0" eb="3">
      <t>コウサクブツ</t>
    </rPh>
    <rPh sb="3" eb="7">
      <t>カクニンズミショウ</t>
    </rPh>
    <rPh sb="7" eb="8">
      <t>ナド</t>
    </rPh>
    <rPh sb="9" eb="10">
      <t>タカ</t>
    </rPh>
    <rPh sb="12" eb="15">
      <t>ショウスウテン</t>
    </rPh>
    <rPh sb="16" eb="18">
      <t>ケタスウ</t>
    </rPh>
    <rPh sb="20" eb="21">
      <t>ケタ</t>
    </rPh>
    <rPh sb="25" eb="27">
      <t>ヒョウジ</t>
    </rPh>
    <rPh sb="36" eb="38">
      <t>サンケタ</t>
    </rPh>
    <rPh sb="39" eb="41">
      <t>シュウセイ</t>
    </rPh>
    <phoneticPr fontId="2"/>
  </si>
  <si>
    <t>引受送付書：</t>
  </si>
  <si>
    <t xml:space="preserve">            窓あき封筒に合わせて送付先の表示位置をＣ列からに変更</t>
  </si>
  <si>
    <t xml:space="preserve">            約款は東京本部以外は非表示</t>
  </si>
  <si>
    <t>消防通知：  大阪は交付時（東京は引受時）</t>
  </si>
  <si>
    <t>浄化槽保険通知：宛名のリンクを搭載</t>
  </si>
  <si>
    <t>決裁書：    事前時に出力。合わせて受付日・引受承諾書の交付日は引受日とリンクする様に変更</t>
  </si>
  <si>
    <t>社員マスタ画面：EXCEL出力を搭載</t>
  </si>
  <si>
    <t>中間検査引受承諾証：改行の位置が間違っていたのを修正</t>
  </si>
  <si>
    <t>引受送付書：宛名のセルの結合を外す。</t>
    <rPh sb="12" eb="14">
      <t>ケツゴウ</t>
    </rPh>
    <phoneticPr fontId="2"/>
  </si>
  <si>
    <t>建築主の連名の場合の住所出力の前処理（それぞれの建築主に対する改行コード付加処理）</t>
    <rPh sb="0" eb="3">
      <t>ケンチクヌシ</t>
    </rPh>
    <rPh sb="4" eb="6">
      <t>レンメイ</t>
    </rPh>
    <rPh sb="7" eb="9">
      <t>バアイ</t>
    </rPh>
    <rPh sb="10" eb="12">
      <t>ジュウショ</t>
    </rPh>
    <rPh sb="12" eb="14">
      <t>シュツリョク</t>
    </rPh>
    <rPh sb="15" eb="18">
      <t>マエショリ</t>
    </rPh>
    <rPh sb="24" eb="27">
      <t>ケンチクヌシ</t>
    </rPh>
    <rPh sb="28" eb="29">
      <t>タイ</t>
    </rPh>
    <rPh sb="31" eb="33">
      <t>カイギョウ</t>
    </rPh>
    <rPh sb="36" eb="40">
      <t>フカショリ</t>
    </rPh>
    <phoneticPr fontId="2"/>
  </si>
  <si>
    <t>cst_owner1_address</t>
    <phoneticPr fontId="2"/>
  </si>
  <si>
    <t>cst_owner2_address__add_char</t>
    <phoneticPr fontId="2"/>
  </si>
  <si>
    <t>cst_owner3_address__add_char</t>
    <phoneticPr fontId="2"/>
  </si>
  <si>
    <t>cst_owner4_address__add_char</t>
    <phoneticPr fontId="2"/>
  </si>
  <si>
    <t>cst_owner5_address__add_char</t>
    <phoneticPr fontId="2"/>
  </si>
  <si>
    <t>cst_owner6_address__add_char</t>
    <phoneticPr fontId="2"/>
  </si>
  <si>
    <t>cst_owner7_address__add_char</t>
    <phoneticPr fontId="2"/>
  </si>
  <si>
    <t>cst_owner8_address__add_char</t>
    <phoneticPr fontId="2"/>
  </si>
  <si>
    <t>cst_owner9_address__add_char</t>
    <phoneticPr fontId="2"/>
  </si>
  <si>
    <t>全ての建築主の住所をひとつにまとめて表示</t>
    <rPh sb="0" eb="1">
      <t>スベ</t>
    </rPh>
    <rPh sb="3" eb="6">
      <t>ケンチクヌシ</t>
    </rPh>
    <rPh sb="7" eb="9">
      <t>ジュウショ</t>
    </rPh>
    <rPh sb="18" eb="20">
      <t>ヒョウジ</t>
    </rPh>
    <phoneticPr fontId="2"/>
  </si>
  <si>
    <t>cst_owner_address_all</t>
    <phoneticPr fontId="2"/>
  </si>
  <si>
    <t>消防機関同意送付書：連絡先の住所が切れている問題を修正</t>
  </si>
  <si>
    <t>建築物等計画概要書送付書：全ての建築主の氏名と住所を出力する様に修正</t>
    <rPh sb="13" eb="14">
      <t>スベ</t>
    </rPh>
    <phoneticPr fontId="2"/>
  </si>
  <si>
    <t>消防通知：右上の番号を確申から確認に変更（受付番号→交付番号）</t>
    <rPh sb="5" eb="7">
      <t>ミギウエ</t>
    </rPh>
    <rPh sb="8" eb="10">
      <t>バンゴウ</t>
    </rPh>
    <rPh sb="21" eb="23">
      <t>ウケツケ</t>
    </rPh>
    <rPh sb="23" eb="25">
      <t>バンゴウ</t>
    </rPh>
    <rPh sb="26" eb="28">
      <t>コウフ</t>
    </rPh>
    <rPh sb="28" eb="30">
      <t>バンゴウ</t>
    </rPh>
    <phoneticPr fontId="2"/>
  </si>
  <si>
    <t>消防通知-東京：引受時から交付時に出力（全機関共通）</t>
    <rPh sb="17" eb="19">
      <t>シュツリョク</t>
    </rPh>
    <rPh sb="20" eb="23">
      <t>ゼンキカン</t>
    </rPh>
    <rPh sb="23" eb="25">
      <t>キョウツウ</t>
    </rPh>
    <phoneticPr fontId="2"/>
  </si>
  <si>
    <t>浄化槽通知：建築主のセルの書式を縮小から折返に変更</t>
    <phoneticPr fontId="2"/>
  </si>
  <si>
    <t>消防：大規模時の送付先の名称を登録</t>
    <rPh sb="0" eb="2">
      <t>ショウボウ</t>
    </rPh>
    <rPh sb="3" eb="6">
      <t>ダイキボ</t>
    </rPh>
    <rPh sb="6" eb="7">
      <t>ジ</t>
    </rPh>
    <rPh sb="8" eb="11">
      <t>ソウフサキ</t>
    </rPh>
    <rPh sb="12" eb="14">
      <t>メイショウ</t>
    </rPh>
    <rPh sb="15" eb="17">
      <t>トウロク</t>
    </rPh>
    <phoneticPr fontId="2"/>
  </si>
  <si>
    <t>氏名関係なく「御中」を付加</t>
    <rPh sb="0" eb="2">
      <t>シメイ</t>
    </rPh>
    <rPh sb="2" eb="4">
      <t>カンケイ</t>
    </rPh>
    <rPh sb="7" eb="9">
      <t>オンチュウ</t>
    </rPh>
    <rPh sb="11" eb="13">
      <t>フカ</t>
    </rPh>
    <phoneticPr fontId="2"/>
  </si>
  <si>
    <t>cst_shinsei_DAIRI_JIMU_NAME__select_dsp</t>
  </si>
  <si>
    <t>担当者・検査員のリストを各支店ごとに絞り込む様に変更</t>
    <rPh sb="0" eb="3">
      <t>タントウシャ</t>
    </rPh>
    <rPh sb="4" eb="7">
      <t>ケンサイン</t>
    </rPh>
    <rPh sb="12" eb="15">
      <t>カクシテン</t>
    </rPh>
    <rPh sb="18" eb="19">
      <t>シボ</t>
    </rPh>
    <rPh sb="20" eb="21">
      <t>コ</t>
    </rPh>
    <rPh sb="22" eb="23">
      <t>ヨウ</t>
    </rPh>
    <rPh sb="24" eb="26">
      <t>ヘンコウ</t>
    </rPh>
    <phoneticPr fontId="2"/>
  </si>
  <si>
    <t>（社員マスタ管理画面で本支店欄を空欄にした社員は常に表示）</t>
    <rPh sb="1" eb="3">
      <t>シャイン</t>
    </rPh>
    <rPh sb="6" eb="10">
      <t>カンリガメン</t>
    </rPh>
    <rPh sb="21" eb="23">
      <t>シャイン</t>
    </rPh>
    <rPh sb="24" eb="25">
      <t>ツネ</t>
    </rPh>
    <rPh sb="26" eb="28">
      <t>ヒョウジ</t>
    </rPh>
    <phoneticPr fontId="2"/>
  </si>
  <si>
    <t>引受報告書：計変時に出力されない問題を修正</t>
  </si>
  <si>
    <t>シート名の表示色をピンク系に変更：消防機関同意依頼, 引受報告書, 消防機関同意送付書</t>
  </si>
  <si>
    <t>請求書（完了）：請求先宛名の敬称（御中）の表示位置が不適切な場所にあったのを宛名に付加する形式に変更</t>
  </si>
  <si>
    <t>請求書（完了）：申請手数料欄の金額の表示に「￥」が二重に付加されていた問題を修正</t>
  </si>
  <si>
    <t>消防同意：宛名を簡略表記に。「渋谷消防署 消防長」→「渋谷消防長」、～局 消防長→～局長</t>
    <rPh sb="35" eb="36">
      <t>キョク</t>
    </rPh>
    <rPh sb="37" eb="40">
      <t>ショウボウチョウ</t>
    </rPh>
    <rPh sb="42" eb="43">
      <t>キョク</t>
    </rPh>
    <rPh sb="43" eb="44">
      <t>チョウ</t>
    </rPh>
    <phoneticPr fontId="2"/>
  </si>
  <si>
    <t>浄化槽通知書：左上に不要な番号が残っていたのを修正</t>
    <rPh sb="7" eb="9">
      <t>ヒダリウエ</t>
    </rPh>
    <rPh sb="10" eb="12">
      <t>フヨウ</t>
    </rPh>
    <rPh sb="13" eb="15">
      <t>バンゴウ</t>
    </rPh>
    <rPh sb="16" eb="17">
      <t>ノコ</t>
    </rPh>
    <rPh sb="23" eb="25">
      <t>シュウセイ</t>
    </rPh>
    <phoneticPr fontId="2"/>
  </si>
  <si>
    <t>届出 - その他：名称を「軽微変更届」に変更。記載事項変更届で出力していた帳票を出力する様に修正</t>
    <rPh sb="0" eb="2">
      <t>トドケデ</t>
    </rPh>
    <rPh sb="7" eb="8">
      <t>タ</t>
    </rPh>
    <rPh sb="9" eb="11">
      <t>メイショウ</t>
    </rPh>
    <rPh sb="13" eb="17">
      <t>ケイビヘンコウ</t>
    </rPh>
    <rPh sb="17" eb="18">
      <t>トド</t>
    </rPh>
    <rPh sb="20" eb="22">
      <t>ヘンコウ</t>
    </rPh>
    <rPh sb="23" eb="30">
      <t>キサイジコウヘンコウトドケ</t>
    </rPh>
    <rPh sb="31" eb="33">
      <t>シュツリョク</t>
    </rPh>
    <rPh sb="37" eb="39">
      <t>チョウヒョウ</t>
    </rPh>
    <rPh sb="40" eb="42">
      <t>シュツリョク</t>
    </rPh>
    <rPh sb="44" eb="45">
      <t>ヨウ</t>
    </rPh>
    <rPh sb="46" eb="48">
      <t>シュウセイ</t>
    </rPh>
    <phoneticPr fontId="2"/>
  </si>
  <si>
    <t>日</t>
    <rPh sb="0" eb="1">
      <t>ヒ</t>
    </rPh>
    <phoneticPr fontId="2"/>
  </si>
  <si>
    <t>cst_config_CUSTOM_CODE</t>
    <phoneticPr fontId="2"/>
  </si>
  <si>
    <t>cst_shinsei_UKETUKE_OFFICE_ID__ID</t>
    <phoneticPr fontId="2"/>
  </si>
  <si>
    <t>口座１</t>
    <rPh sb="0" eb="2">
      <t>コウザ</t>
    </rPh>
    <phoneticPr fontId="2"/>
  </si>
  <si>
    <t>口座２</t>
    <rPh sb="0" eb="2">
      <t>コウザ</t>
    </rPh>
    <phoneticPr fontId="2"/>
  </si>
  <si>
    <t>口座３</t>
    <rPh sb="0" eb="2">
      <t>コウザ</t>
    </rPh>
    <phoneticPr fontId="2"/>
  </si>
  <si>
    <t>りそな銀行　  大阪営業部　  普通預金　№5129632　㈱国際確認検査センター</t>
    <phoneticPr fontId="2"/>
  </si>
  <si>
    <t>みずほ銀行　 大阪中央支店　 普通預金　№4025014　㈱国際確認検査センター</t>
    <phoneticPr fontId="2"/>
  </si>
  <si>
    <t>三井住友銀行　天満橋支店　　普通預金　№1345770　㈱国際確認検査センター</t>
    <phoneticPr fontId="2"/>
  </si>
  <si>
    <t>みずほ銀行　 大阪中央支店 　普通預金　№2800169　㈱国際確認検査センター</t>
    <phoneticPr fontId="2"/>
  </si>
  <si>
    <t>各支店の口座出力処理</t>
    <rPh sb="0" eb="1">
      <t>カク</t>
    </rPh>
    <rPh sb="1" eb="3">
      <t>シテン</t>
    </rPh>
    <rPh sb="4" eb="6">
      <t>コウザ</t>
    </rPh>
    <rPh sb="6" eb="8">
      <t>シュツリョク</t>
    </rPh>
    <rPh sb="8" eb="10">
      <t>ショリ</t>
    </rPh>
    <phoneticPr fontId="2"/>
  </si>
  <si>
    <t>東京01</t>
    <rPh sb="0" eb="2">
      <t>トウキョウ</t>
    </rPh>
    <phoneticPr fontId="2"/>
  </si>
  <si>
    <t>東京02</t>
    <rPh sb="0" eb="2">
      <t>トウキョウ</t>
    </rPh>
    <phoneticPr fontId="2"/>
  </si>
  <si>
    <t>東京03</t>
    <rPh sb="0" eb="2">
      <t>トウキョウ</t>
    </rPh>
    <phoneticPr fontId="2"/>
  </si>
  <si>
    <t>大阪01</t>
    <rPh sb="0" eb="2">
      <t>オオサカ</t>
    </rPh>
    <phoneticPr fontId="2"/>
  </si>
  <si>
    <t>大阪02</t>
    <rPh sb="0" eb="2">
      <t>オオサカ</t>
    </rPh>
    <phoneticPr fontId="2"/>
  </si>
  <si>
    <t>大阪03</t>
    <rPh sb="0" eb="2">
      <t>オオサカ</t>
    </rPh>
    <phoneticPr fontId="2"/>
  </si>
  <si>
    <t>阪神01</t>
    <rPh sb="0" eb="2">
      <t>ハンシン</t>
    </rPh>
    <phoneticPr fontId="2"/>
  </si>
  <si>
    <t>阪神02</t>
    <rPh sb="0" eb="2">
      <t>ハンシン</t>
    </rPh>
    <phoneticPr fontId="2"/>
  </si>
  <si>
    <t>阪神03</t>
    <rPh sb="0" eb="2">
      <t>ハンシン</t>
    </rPh>
    <phoneticPr fontId="2"/>
  </si>
  <si>
    <t>九州01</t>
    <rPh sb="0" eb="2">
      <t>キュウシュウ</t>
    </rPh>
    <phoneticPr fontId="2"/>
  </si>
  <si>
    <t>九州02</t>
    <rPh sb="0" eb="2">
      <t>キュウシュウ</t>
    </rPh>
    <phoneticPr fontId="2"/>
  </si>
  <si>
    <t>九州03</t>
    <rPh sb="0" eb="2">
      <t>キュウシュウ</t>
    </rPh>
    <phoneticPr fontId="2"/>
  </si>
  <si>
    <t>東北01</t>
    <rPh sb="0" eb="2">
      <t>トウホク</t>
    </rPh>
    <phoneticPr fontId="2"/>
  </si>
  <si>
    <t>東北02</t>
    <rPh sb="0" eb="2">
      <t>トウホク</t>
    </rPh>
    <phoneticPr fontId="2"/>
  </si>
  <si>
    <t>東北03</t>
    <rPh sb="0" eb="2">
      <t>トウホク</t>
    </rPh>
    <phoneticPr fontId="2"/>
  </si>
  <si>
    <t>口座01</t>
    <rPh sb="0" eb="2">
      <t>コウザ</t>
    </rPh>
    <phoneticPr fontId="2"/>
  </si>
  <si>
    <t>口座02</t>
    <rPh sb="0" eb="2">
      <t>コウザ</t>
    </rPh>
    <phoneticPr fontId="2"/>
  </si>
  <si>
    <t>口座03</t>
    <rPh sb="0" eb="2">
      <t>コウザ</t>
    </rPh>
    <phoneticPr fontId="2"/>
  </si>
  <si>
    <t>don_OFFICE_cst_ADDRESS__print_time</t>
    <phoneticPr fontId="2"/>
  </si>
  <si>
    <t>本審査 - 本審査 意匠一次担当者</t>
    <rPh sb="0" eb="3">
      <t>ホンシンサ</t>
    </rPh>
    <rPh sb="6" eb="9">
      <t>ホンシンサ</t>
    </rPh>
    <rPh sb="10" eb="12">
      <t>イショウ</t>
    </rPh>
    <rPh sb="12" eb="14">
      <t>イチジ</t>
    </rPh>
    <rPh sb="14" eb="17">
      <t>タントウシャ</t>
    </rPh>
    <phoneticPr fontId="2"/>
  </si>
  <si>
    <t>本審査 - 本審査 構造一次担当者</t>
    <rPh sb="0" eb="3">
      <t>ホンシンサ</t>
    </rPh>
    <rPh sb="6" eb="9">
      <t>ホンシンサ</t>
    </rPh>
    <rPh sb="10" eb="12">
      <t>コウゾウ</t>
    </rPh>
    <rPh sb="12" eb="14">
      <t>イチジ</t>
    </rPh>
    <rPh sb="14" eb="17">
      <t>タントウシャ</t>
    </rPh>
    <phoneticPr fontId="2"/>
  </si>
  <si>
    <t>本審査 - 本審査 設備一次担当者</t>
    <rPh sb="0" eb="3">
      <t>ホンシンサ</t>
    </rPh>
    <rPh sb="6" eb="9">
      <t>ホンシンサ</t>
    </rPh>
    <rPh sb="10" eb="12">
      <t>セツビ</t>
    </rPh>
    <rPh sb="12" eb="14">
      <t>イチジ</t>
    </rPh>
    <rPh sb="14" eb="17">
      <t>タントウシャ</t>
    </rPh>
    <phoneticPr fontId="2"/>
  </si>
  <si>
    <t>エラーチェックシート：本審査 - 意匠、構造、設備一次担当者が未入力の時にエラーを表示する様に修正</t>
    <rPh sb="11" eb="14">
      <t>ホンシンサ</t>
    </rPh>
    <rPh sb="17" eb="19">
      <t>イショウ</t>
    </rPh>
    <rPh sb="20" eb="22">
      <t>コウゾウ</t>
    </rPh>
    <rPh sb="23" eb="25">
      <t>セツビ</t>
    </rPh>
    <rPh sb="25" eb="30">
      <t>イチジタントウシャ</t>
    </rPh>
    <rPh sb="31" eb="34">
      <t>ミニュウリョク</t>
    </rPh>
    <rPh sb="35" eb="36">
      <t>トキ</t>
    </rPh>
    <rPh sb="41" eb="43">
      <t>ヒョウジ</t>
    </rPh>
    <rPh sb="45" eb="46">
      <t>ヨウ</t>
    </rPh>
    <rPh sb="47" eb="49">
      <t>シュウセイ</t>
    </rPh>
    <phoneticPr fontId="2"/>
  </si>
  <si>
    <t>エラーチェックシート：昇降機、工作物で申請延面積がエラーチェック対象になっていたのを修正</t>
    <rPh sb="11" eb="14">
      <t>ショウコウキ</t>
    </rPh>
    <rPh sb="15" eb="18">
      <t>コウサクブツ</t>
    </rPh>
    <rPh sb="19" eb="24">
      <t>シンセイノベメンセキ</t>
    </rPh>
    <rPh sb="32" eb="34">
      <t>タイショウ</t>
    </rPh>
    <rPh sb="42" eb="44">
      <t>シュウセイ</t>
    </rPh>
    <phoneticPr fontId="2"/>
  </si>
  <si>
    <t>苗字のみ</t>
    <rPh sb="0" eb="2">
      <t>ミョウジ</t>
    </rPh>
    <phoneticPr fontId="2"/>
  </si>
  <si>
    <t>cst_shinsei_HIKIUKE_TANTO_myouji</t>
    <phoneticPr fontId="2"/>
  </si>
  <si>
    <t>1=東京, 5=東北</t>
    <rPh sb="2" eb="4">
      <t>トウキョウ</t>
    </rPh>
    <rPh sb="8" eb="10">
      <t>トウホク</t>
    </rPh>
    <phoneticPr fontId="2"/>
  </si>
  <si>
    <t>約款の表示処理に東北支店を追加</t>
    <rPh sb="0" eb="2">
      <t>ヤッカン</t>
    </rPh>
    <rPh sb="3" eb="7">
      <t>ヒョウジショリ</t>
    </rPh>
    <rPh sb="8" eb="12">
      <t>トウホクシテン</t>
    </rPh>
    <rPh sb="13" eb="15">
      <t>ツイカ</t>
    </rPh>
    <phoneticPr fontId="2"/>
  </si>
  <si>
    <t>引受送付書：担当者氏名を苗字のみに修正</t>
    <rPh sb="0" eb="5">
      <t>ヒキウケソウフショ</t>
    </rPh>
    <rPh sb="6" eb="9">
      <t>タントウシャ</t>
    </rPh>
    <rPh sb="9" eb="11">
      <t>シメイ</t>
    </rPh>
    <rPh sb="12" eb="14">
      <t>ミョウジ</t>
    </rPh>
    <rPh sb="17" eb="19">
      <t>シュウセイ</t>
    </rPh>
    <phoneticPr fontId="2"/>
  </si>
  <si>
    <t>決裁書への出力処理</t>
    <rPh sb="0" eb="3">
      <t>ケッサイショ</t>
    </rPh>
    <rPh sb="5" eb="9">
      <t>シュツリョクショリ</t>
    </rPh>
    <phoneticPr fontId="2"/>
  </si>
  <si>
    <t>同意・通知の区別</t>
    <rPh sb="0" eb="2">
      <t>ドウイ</t>
    </rPh>
    <rPh sb="3" eb="5">
      <t>ツウチ</t>
    </rPh>
    <rPh sb="6" eb="8">
      <t>クベツ</t>
    </rPh>
    <phoneticPr fontId="2"/>
  </si>
  <si>
    <t>同意依頼日・通知日</t>
    <rPh sb="0" eb="5">
      <t>ドウイイライビ</t>
    </rPh>
    <rPh sb="6" eb="9">
      <t>ツウチビ</t>
    </rPh>
    <phoneticPr fontId="2"/>
  </si>
  <si>
    <t>同意, 通知</t>
    <rPh sb="0" eb="2">
      <t>ドウイ</t>
    </rPh>
    <rPh sb="4" eb="6">
      <t>ツウチ</t>
    </rPh>
    <phoneticPr fontId="2"/>
  </si>
  <si>
    <t>cst_shinsei_FIRE_NOTIFY_SUBMIT_KIND_text</t>
  </si>
  <si>
    <t>cst_shinsei_FIRE_NOTIFY_SUBMIT_KIND_date</t>
    <phoneticPr fontId="2"/>
  </si>
  <si>
    <t>決裁書 - 消防同意通知：切り替えて表示できるように修正</t>
    <rPh sb="0" eb="3">
      <t>ケッサイショ</t>
    </rPh>
    <rPh sb="6" eb="8">
      <t>ショウボウ</t>
    </rPh>
    <rPh sb="8" eb="10">
      <t>ドウイ</t>
    </rPh>
    <rPh sb="10" eb="12">
      <t>ツウチ</t>
    </rPh>
    <rPh sb="13" eb="14">
      <t>キ</t>
    </rPh>
    <rPh sb="15" eb="16">
      <t>カ</t>
    </rPh>
    <rPh sb="18" eb="20">
      <t>ヒョウジ</t>
    </rPh>
    <rPh sb="26" eb="28">
      <t>シュウセイ</t>
    </rPh>
    <phoneticPr fontId="2"/>
  </si>
  <si>
    <t>cst_shinsei_KENSA_YOTEI_DATE</t>
    <phoneticPr fontId="2"/>
  </si>
  <si>
    <t>完了決裁書、完了引受承諾書：九州支店の時に検査予定日を出力</t>
    <rPh sb="0" eb="2">
      <t>カンリョウ</t>
    </rPh>
    <rPh sb="2" eb="5">
      <t>ケッサイショ</t>
    </rPh>
    <rPh sb="6" eb="8">
      <t>カンリョウ</t>
    </rPh>
    <rPh sb="8" eb="13">
      <t>ヒキウケショウダクショ</t>
    </rPh>
    <rPh sb="14" eb="18">
      <t>キュウシュウシテン</t>
    </rPh>
    <rPh sb="19" eb="20">
      <t>トキ</t>
    </rPh>
    <rPh sb="21" eb="26">
      <t>ケンサヨテイビ</t>
    </rPh>
    <rPh sb="27" eb="29">
      <t>シュツリョク</t>
    </rPh>
    <phoneticPr fontId="2"/>
  </si>
  <si>
    <t>● 共通：</t>
    <rPh sb="2" eb="4">
      <t>キョウツウ</t>
    </rPh>
    <phoneticPr fontId="2"/>
  </si>
  <si>
    <t>● 東北支店：</t>
    <rPh sb="2" eb="6">
      <t>トウホクシテン</t>
    </rPh>
    <phoneticPr fontId="2"/>
  </si>
  <si>
    <t>● 九州支店：</t>
    <rPh sb="2" eb="6">
      <t>キュウシュウシテン</t>
    </rPh>
    <phoneticPr fontId="2"/>
  </si>
  <si>
    <t>・完了検査 - 引受承諾書、決裁書：検査予定日が入力されている場合はリンクする様に修正</t>
    <rPh sb="1" eb="5">
      <t>カンリョウケンサ</t>
    </rPh>
    <rPh sb="8" eb="13">
      <t>ヒキウケショウダクショ</t>
    </rPh>
    <rPh sb="14" eb="17">
      <t>ケッサイショ</t>
    </rPh>
    <rPh sb="18" eb="23">
      <t>ケンサヨテイビ</t>
    </rPh>
    <rPh sb="24" eb="26">
      <t>ニュウリョク</t>
    </rPh>
    <rPh sb="31" eb="33">
      <t>バアイ</t>
    </rPh>
    <rPh sb="39" eb="40">
      <t>ヨウ</t>
    </rPh>
    <rPh sb="41" eb="43">
      <t>シュウセイ</t>
    </rPh>
    <phoneticPr fontId="2"/>
  </si>
  <si>
    <t>・引受送付書：担当者氏名を苗字のみに修正（東京本部依頼分）</t>
    <rPh sb="1" eb="6">
      <t>ヒキウケソウフショ</t>
    </rPh>
    <rPh sb="7" eb="10">
      <t>タントウシャ</t>
    </rPh>
    <rPh sb="10" eb="12">
      <t>シメイ</t>
    </rPh>
    <rPh sb="13" eb="15">
      <t>ミョウジ</t>
    </rPh>
    <rPh sb="18" eb="20">
      <t>シュウセイ</t>
    </rPh>
    <rPh sb="21" eb="25">
      <t>トウキョウホンブ</t>
    </rPh>
    <rPh sb="25" eb="28">
      <t>イライブン</t>
    </rPh>
    <phoneticPr fontId="2"/>
  </si>
  <si>
    <t>・エラーチェックシート - 昇降機・工作物：延べ面積のチェックが含まれいたのを修正</t>
    <rPh sb="22" eb="23">
      <t>ノ</t>
    </rPh>
    <rPh sb="24" eb="26">
      <t>メンセキ</t>
    </rPh>
    <rPh sb="32" eb="33">
      <t>フク</t>
    </rPh>
    <rPh sb="39" eb="41">
      <t>シュウセイ</t>
    </rPh>
    <phoneticPr fontId="2"/>
  </si>
  <si>
    <t>・エラーチェックシート - 建築物：本審査 - 意匠、構造、設備一次担当者が未入力の時にエラーを表示する様に修正</t>
    <rPh sb="14" eb="17">
      <t>ケンチクブツ</t>
    </rPh>
    <rPh sb="18" eb="21">
      <t>ホンシンサ</t>
    </rPh>
    <rPh sb="24" eb="26">
      <t>イショウ</t>
    </rPh>
    <rPh sb="27" eb="29">
      <t>コウゾウ</t>
    </rPh>
    <rPh sb="30" eb="32">
      <t>セツビ</t>
    </rPh>
    <rPh sb="32" eb="37">
      <t>イチジタントウシャ</t>
    </rPh>
    <rPh sb="38" eb="41">
      <t>ミニュウリョク</t>
    </rPh>
    <rPh sb="42" eb="43">
      <t>トキ</t>
    </rPh>
    <rPh sb="48" eb="50">
      <t>ヒョウジ</t>
    </rPh>
    <rPh sb="52" eb="53">
      <t>ヨウ</t>
    </rPh>
    <rPh sb="54" eb="56">
      <t>シュウセイ</t>
    </rPh>
    <phoneticPr fontId="2"/>
  </si>
  <si>
    <t>・料金表：基本手数料で一部入力漏れを修正</t>
    <rPh sb="1" eb="4">
      <t>リョウキンヒョウ</t>
    </rPh>
    <rPh sb="5" eb="10">
      <t>キホンテスウリョウ</t>
    </rPh>
    <rPh sb="11" eb="13">
      <t>イチブ</t>
    </rPh>
    <rPh sb="13" eb="16">
      <t>ニュウリョクモ</t>
    </rPh>
    <rPh sb="18" eb="20">
      <t>シュウセイ</t>
    </rPh>
    <phoneticPr fontId="2"/>
  </si>
  <si>
    <t>・中間・完了の送付書に約款を表示</t>
    <rPh sb="1" eb="3">
      <t>チュウカン</t>
    </rPh>
    <rPh sb="4" eb="6">
      <t>カンリョウ</t>
    </rPh>
    <rPh sb="7" eb="10">
      <t>ソウフショ</t>
    </rPh>
    <rPh sb="11" eb="13">
      <t>ヤッカン</t>
    </rPh>
    <rPh sb="14" eb="16">
      <t>ヒョウジ</t>
    </rPh>
    <phoneticPr fontId="2"/>
  </si>
  <si>
    <t>決裁書：ビル管という名称を建築物衛生法に変更</t>
    <rPh sb="0" eb="3">
      <t>ケッサイショ</t>
    </rPh>
    <rPh sb="6" eb="7">
      <t>カン</t>
    </rPh>
    <rPh sb="10" eb="12">
      <t>メイショウ</t>
    </rPh>
    <rPh sb="13" eb="19">
      <t>ケンチクブツエイセイホウ</t>
    </rPh>
    <rPh sb="20" eb="22">
      <t>ヘンコウ</t>
    </rPh>
    <phoneticPr fontId="2"/>
  </si>
  <si>
    <t>特定建築物の通知書（建築物衛生法通知）</t>
    <phoneticPr fontId="2"/>
  </si>
  <si>
    <t>shinsei_UKETUKE_OFFICE_ID__ID</t>
  </si>
  <si>
    <t>2=大阪</t>
    <rPh sb="2" eb="4">
      <t>オオサカ</t>
    </rPh>
    <phoneticPr fontId="2"/>
  </si>
  <si>
    <t>● 大阪本店：</t>
    <rPh sb="2" eb="6">
      <t>オオサカホンテン</t>
    </rPh>
    <phoneticPr fontId="2"/>
  </si>
  <si>
    <t>・決裁書 - 消防同意or通知欄：画面に入力があればリンクする様に修正。</t>
    <rPh sb="1" eb="4">
      <t>ケッサイショ</t>
    </rPh>
    <rPh sb="7" eb="9">
      <t>ショウボウ</t>
    </rPh>
    <rPh sb="9" eb="11">
      <t>ドウイ</t>
    </rPh>
    <rPh sb="13" eb="15">
      <t>ツウチ</t>
    </rPh>
    <rPh sb="15" eb="16">
      <t>ラン</t>
    </rPh>
    <rPh sb="17" eb="19">
      <t>ガメン</t>
    </rPh>
    <rPh sb="20" eb="22">
      <t>ニュウリョク</t>
    </rPh>
    <rPh sb="31" eb="32">
      <t>ヨウ</t>
    </rPh>
    <rPh sb="33" eb="35">
      <t>シュウセイ</t>
    </rPh>
    <phoneticPr fontId="2"/>
  </si>
  <si>
    <t>工作物 - 確認済証：その他必要事項がリンクされていなかったのを修正</t>
    <rPh sb="0" eb="3">
      <t>コウサクブツ</t>
    </rPh>
    <rPh sb="6" eb="10">
      <t>カクニンズミショウ</t>
    </rPh>
    <rPh sb="13" eb="18">
      <t>タヒツヨウジコウ</t>
    </rPh>
    <rPh sb="32" eb="34">
      <t>シュウセイ</t>
    </rPh>
    <phoneticPr fontId="2"/>
  </si>
  <si>
    <t>台帳記載証明書 - 建築主 - 氏名欄：会社名と役職が出力されていなかったのを修正</t>
    <phoneticPr fontId="2"/>
  </si>
  <si>
    <t>完了検査引受承諾書：検査日の書式が標準になっていたのを日付に修正</t>
    <rPh sb="0" eb="9">
      <t>カンリョウケンサヒキウケショウダクショ</t>
    </rPh>
    <rPh sb="10" eb="13">
      <t>ケンサビ</t>
    </rPh>
    <rPh sb="14" eb="16">
      <t>ショシキ</t>
    </rPh>
    <rPh sb="17" eb="19">
      <t>ヒョウジュン</t>
    </rPh>
    <rPh sb="27" eb="29">
      <t>ヒヅケ</t>
    </rPh>
    <rPh sb="30" eb="32">
      <t>シュウセイ</t>
    </rPh>
    <phoneticPr fontId="2"/>
  </si>
  <si>
    <t>沖縄県石垣市 →八重山保健所長</t>
    <phoneticPr fontId="2"/>
  </si>
  <si>
    <t>**shinsei_STR_CALC_BOOK_FLAG</t>
    <phoneticPr fontId="2"/>
  </si>
  <si>
    <t>構造計算書</t>
    <rPh sb="0" eb="5">
      <t>コウゾウケイサンショ</t>
    </rPh>
    <phoneticPr fontId="2"/>
  </si>
  <si>
    <t>**shinsei_STR_CALC_BOOK_FLAG__umu</t>
    <phoneticPr fontId="2"/>
  </si>
  <si>
    <t>構造計算書の入力（構造担当者の入力との整合チェック）</t>
    <rPh sb="0" eb="5">
      <t>コウゾウケイサンショ</t>
    </rPh>
    <rPh sb="6" eb="8">
      <t>ニュウリョク</t>
    </rPh>
    <rPh sb="9" eb="11">
      <t>コウゾウ</t>
    </rPh>
    <rPh sb="11" eb="14">
      <t>タントウシャ</t>
    </rPh>
    <rPh sb="15" eb="17">
      <t>ニュウリョク</t>
    </rPh>
    <rPh sb="19" eb="21">
      <t>セイゴウ</t>
    </rPh>
    <phoneticPr fontId="2"/>
  </si>
  <si>
    <t>入力チェックに構造計算書を追加</t>
    <rPh sb="0" eb="2">
      <t>ニュウリョク</t>
    </rPh>
    <rPh sb="7" eb="12">
      <t>コウゾウケイサンショ</t>
    </rPh>
    <rPh sb="13" eb="15">
      <t>ツイカ</t>
    </rPh>
    <phoneticPr fontId="2"/>
  </si>
  <si>
    <t>○</t>
    <phoneticPr fontId="2"/>
  </si>
  <si>
    <t>本審査：意匠、設備、構造担当者の未入力チェックを昇降機、工作物も有効になるように修正</t>
    <rPh sb="0" eb="3">
      <t>ホンシンサ</t>
    </rPh>
    <rPh sb="4" eb="6">
      <t>イショウ</t>
    </rPh>
    <rPh sb="7" eb="9">
      <t>セツビ</t>
    </rPh>
    <rPh sb="10" eb="12">
      <t>コウゾウ</t>
    </rPh>
    <rPh sb="12" eb="15">
      <t>タントウシャ</t>
    </rPh>
    <rPh sb="16" eb="19">
      <t>ミニュウリョク</t>
    </rPh>
    <rPh sb="24" eb="27">
      <t>ショウコウキ</t>
    </rPh>
    <rPh sb="28" eb="31">
      <t>コウサクブツ</t>
    </rPh>
    <rPh sb="32" eb="34">
      <t>ユウコウ</t>
    </rPh>
    <rPh sb="40" eb="42">
      <t>シュウセイ</t>
    </rPh>
    <phoneticPr fontId="2"/>
  </si>
  <si>
    <t>チェックシート - 消防通知：昇降機時も対象になるように修正</t>
    <rPh sb="10" eb="14">
      <t>ショウボウツウチ</t>
    </rPh>
    <rPh sb="15" eb="18">
      <t>ショウコウキ</t>
    </rPh>
    <rPh sb="18" eb="19">
      <t>ジ</t>
    </rPh>
    <rPh sb="20" eb="22">
      <t>タイショウ</t>
    </rPh>
    <rPh sb="28" eb="30">
      <t>シュウセイ</t>
    </rPh>
    <phoneticPr fontId="2"/>
  </si>
  <si>
    <t>建築物_完了検査済証_1506</t>
    <phoneticPr fontId="2"/>
  </si>
  <si>
    <t>建築物_中間合格証_1506</t>
    <phoneticPr fontId="2"/>
  </si>
  <si>
    <t>工作物_審査報告書_1506</t>
    <phoneticPr fontId="2"/>
  </si>
  <si>
    <t>決定することができない旨の通知書_1506</t>
    <phoneticPr fontId="2"/>
  </si>
  <si>
    <t>適合しない旨の通知書_1506</t>
    <phoneticPr fontId="2"/>
  </si>
  <si>
    <t>建築物_確認済証_1506</t>
    <phoneticPr fontId="2"/>
  </si>
  <si>
    <t>昇降機_確認済証_1506</t>
    <phoneticPr fontId="2"/>
  </si>
  <si>
    <t>昇降機以外_確認済証_1506</t>
    <rPh sb="3" eb="5">
      <t>イガイ</t>
    </rPh>
    <phoneticPr fontId="2"/>
  </si>
  <si>
    <t>工作物_確認済証_1506</t>
    <phoneticPr fontId="2"/>
  </si>
  <si>
    <t>建築物_審査報告書_1506</t>
    <phoneticPr fontId="2"/>
  </si>
  <si>
    <t>昇降機_審査報告書_1506</t>
    <phoneticPr fontId="2"/>
  </si>
  <si>
    <t>6月法改正に伴う帳票新規作成</t>
    <phoneticPr fontId="2"/>
  </si>
  <si>
    <t>確認決裁書：修正中</t>
    <rPh sb="0" eb="5">
      <t>カクニンケッサイショ</t>
    </rPh>
    <rPh sb="6" eb="9">
      <t>シュウセイチュウ</t>
    </rPh>
    <phoneticPr fontId="2"/>
  </si>
  <si>
    <t>確認決裁書(EV)_1506</t>
    <phoneticPr fontId="2"/>
  </si>
  <si>
    <t>確認決裁書(EV) (表面のみ)_1506</t>
    <phoneticPr fontId="2"/>
  </si>
  <si>
    <t>確認決裁書(工)_1506</t>
    <phoneticPr fontId="2"/>
  </si>
  <si>
    <t>確認決裁書(工) (表面のみ)_1506</t>
    <phoneticPr fontId="2"/>
  </si>
  <si>
    <t>確認決裁書の新書式を搭載</t>
    <rPh sb="0" eb="5">
      <t>カクニンケッサイショ</t>
    </rPh>
    <rPh sb="6" eb="9">
      <t>シンショシキ</t>
    </rPh>
    <rPh sb="10" eb="12">
      <t>トウサイ</t>
    </rPh>
    <phoneticPr fontId="2"/>
  </si>
  <si>
    <t>昇降機_完了検査済証_1506</t>
    <phoneticPr fontId="2"/>
  </si>
  <si>
    <t>工作物_完了検査済証_1506</t>
    <phoneticPr fontId="2"/>
  </si>
  <si>
    <t>□ルート2検査員ユーザID</t>
    <phoneticPr fontId="2"/>
  </si>
  <si>
    <t>**shinsei_KOUZOU_ROUTE2_KENSA_USER_ID</t>
    <phoneticPr fontId="2"/>
  </si>
  <si>
    <t>cst_shinsei_KOUZOU_ROUTE2_KENSA_USER_ID</t>
    <phoneticPr fontId="2"/>
  </si>
  <si>
    <t>□ルート2フラグ</t>
    <phoneticPr fontId="2"/>
  </si>
  <si>
    <t>**shinsei_KOUZOU_ROUTE2</t>
    <phoneticPr fontId="2"/>
  </si>
  <si>
    <t>ルート2検査員ユーザIDとルート2フラグのcstを作成、ルート2検査員ユーザIDを確認済証と確認審査報告書にリンク</t>
    <phoneticPr fontId="2"/>
  </si>
  <si>
    <t>確認済証シート</t>
    <rPh sb="0" eb="2">
      <t>カクニン</t>
    </rPh>
    <rPh sb="2" eb="3">
      <t>スミ</t>
    </rPh>
    <rPh sb="3" eb="4">
      <t>ショウ</t>
    </rPh>
    <phoneticPr fontId="2"/>
  </si>
  <si>
    <t>hiderowsflag_建築物_確認済証_1506</t>
    <phoneticPr fontId="2"/>
  </si>
  <si>
    <t>hiderowsflag_建築物_審査報告書_1506</t>
    <phoneticPr fontId="2"/>
  </si>
  <si>
    <t>審査報告書シート</t>
    <rPh sb="0" eb="2">
      <t>シンサ</t>
    </rPh>
    <rPh sb="2" eb="5">
      <t>ホウコクショ</t>
    </rPh>
    <phoneticPr fontId="2"/>
  </si>
  <si>
    <t>■ ルート2の非表示対応ﾌﾗｸﾞ</t>
    <rPh sb="7" eb="10">
      <t>ヒヒョウジ</t>
    </rPh>
    <rPh sb="10" eb="12">
      <t>タイオウ</t>
    </rPh>
    <phoneticPr fontId="2"/>
  </si>
  <si>
    <t>引受日</t>
    <rPh sb="0" eb="1">
      <t>ヒ</t>
    </rPh>
    <rPh sb="1" eb="2">
      <t>ウ</t>
    </rPh>
    <rPh sb="2" eb="3">
      <t>ヒ</t>
    </rPh>
    <phoneticPr fontId="2"/>
  </si>
  <si>
    <t>2015/05/31まで</t>
    <phoneticPr fontId="2"/>
  </si>
  <si>
    <t>2015/06/01から</t>
    <phoneticPr fontId="2"/>
  </si>
  <si>
    <t>**prule_HIKIUKE_DATE__20150531le</t>
    <phoneticPr fontId="2"/>
  </si>
  <si>
    <t>dINFOMATION 受付日のpruleを追加（6月法改正に対応）</t>
    <rPh sb="12" eb="15">
      <t>ウケツケビ</t>
    </rPh>
    <rPh sb="22" eb="24">
      <t>ツイカ</t>
    </rPh>
    <rPh sb="26" eb="27">
      <t>ガツ</t>
    </rPh>
    <rPh sb="27" eb="30">
      <t>ホウカイセイ</t>
    </rPh>
    <rPh sb="31" eb="33">
      <t>タイオウ</t>
    </rPh>
    <phoneticPr fontId="2"/>
  </si>
  <si>
    <t>ルート2の場合の非表示に対応</t>
    <rPh sb="5" eb="7">
      <t>バアイ</t>
    </rPh>
    <rPh sb="8" eb="11">
      <t>ヒヒョウジ</t>
    </rPh>
    <rPh sb="12" eb="14">
      <t>タイオウ</t>
    </rPh>
    <phoneticPr fontId="2"/>
  </si>
  <si>
    <t>※"hiderows_****"と"hiderowsflag_****"を、DATA_cstと確認済証と審査報告書に組み込む</t>
    <rPh sb="47" eb="49">
      <t>カクニン</t>
    </rPh>
    <rPh sb="49" eb="50">
      <t>スミ</t>
    </rPh>
    <rPh sb="50" eb="51">
      <t>ショウ</t>
    </rPh>
    <rPh sb="52" eb="54">
      <t>シンサ</t>
    </rPh>
    <rPh sb="54" eb="57">
      <t>ホウコクショ</t>
    </rPh>
    <rPh sb="58" eb="59">
      <t>ク</t>
    </rPh>
    <rPh sb="60" eb="61">
      <t>コ</t>
    </rPh>
    <phoneticPr fontId="2"/>
  </si>
  <si>
    <t>ルート2の非表示式修正</t>
    <phoneticPr fontId="2"/>
  </si>
  <si>
    <t>_1506の帳票の未使用を解除</t>
    <rPh sb="6" eb="8">
      <t>チョウヒョウ</t>
    </rPh>
    <rPh sb="9" eb="12">
      <t>ミシヨウ</t>
    </rPh>
    <rPh sb="13" eb="15">
      <t>カイジョ</t>
    </rPh>
    <phoneticPr fontId="2"/>
  </si>
  <si>
    <t>■ ルート２検査員表記</t>
    <rPh sb="6" eb="9">
      <t>ケンサイン</t>
    </rPh>
    <rPh sb="9" eb="11">
      <t>ヒョウキ</t>
    </rPh>
    <phoneticPr fontId="2"/>
  </si>
  <si>
    <t>ルート２検査員表記</t>
    <phoneticPr fontId="2"/>
  </si>
  <si>
    <t>検査員とルート２検査員が同人物時、済証のルート２検査員を非表示</t>
    <phoneticPr fontId="2"/>
  </si>
  <si>
    <t>cst_shinsei_KOUZOU_ROUTE2_KENSA_USER_ID_SUMISHO</t>
    <phoneticPr fontId="2"/>
  </si>
  <si>
    <t>検査員とルート２検査員が同人物時、済証のルート２検査員を非表示へ</t>
    <phoneticPr fontId="2"/>
  </si>
  <si>
    <t>5/29 大阪からの修正依頼メールに沿って修正</t>
    <rPh sb="5" eb="7">
      <t>オオサカ</t>
    </rPh>
    <rPh sb="10" eb="12">
      <t>シュウセイ</t>
    </rPh>
    <rPh sb="12" eb="14">
      <t>イライ</t>
    </rPh>
    <rPh sb="18" eb="19">
      <t>ソ</t>
    </rPh>
    <rPh sb="21" eb="23">
      <t>シュウセイ</t>
    </rPh>
    <phoneticPr fontId="2"/>
  </si>
  <si>
    <t>**prule_HIKIUKE_DATE__null</t>
    <phoneticPr fontId="2"/>
  </si>
  <si>
    <t>ｄＩＮＦＯＭＡＴＩＯＮ　引受日のnullのpruleを追加</t>
    <rPh sb="12" eb="14">
      <t>ヒキウケ</t>
    </rPh>
    <rPh sb="14" eb="15">
      <t>ビ</t>
    </rPh>
    <rPh sb="27" eb="29">
      <t>ツイカ</t>
    </rPh>
    <phoneticPr fontId="2"/>
  </si>
  <si>
    <t>決裁書：ルート、及びプログラムの行を削除</t>
    <rPh sb="0" eb="3">
      <t>ケッサイショ</t>
    </rPh>
    <rPh sb="8" eb="9">
      <t>オヨ</t>
    </rPh>
    <rPh sb="16" eb="17">
      <t>ギョウ</t>
    </rPh>
    <rPh sb="18" eb="20">
      <t>サクジョ</t>
    </rPh>
    <phoneticPr fontId="2"/>
  </si>
  <si>
    <t>※太枠内をご記入願います。</t>
    <rPh sb="1" eb="2">
      <t>フト</t>
    </rPh>
    <rPh sb="2" eb="4">
      <t>ワクナイ</t>
    </rPh>
    <rPh sb="6" eb="8">
      <t>キニュウ</t>
    </rPh>
    <rPh sb="8" eb="9">
      <t>ネガ</t>
    </rPh>
    <phoneticPr fontId="2"/>
  </si>
  <si>
    <t>申請手数料　請求額
　</t>
    <rPh sb="0" eb="2">
      <t>シンセイ</t>
    </rPh>
    <rPh sb="2" eb="5">
      <t>テスウリョウ</t>
    </rPh>
    <rPh sb="6" eb="8">
      <t>セイキュウ</t>
    </rPh>
    <rPh sb="8" eb="9">
      <t>ガク</t>
    </rPh>
    <phoneticPr fontId="2"/>
  </si>
  <si>
    <t>☜建築物の計画に左記の方法を採用している場合は、</t>
    <rPh sb="8" eb="10">
      <t>サキ</t>
    </rPh>
    <phoneticPr fontId="2"/>
  </si>
  <si>
    <t>　チェック及び採用している床面積を明記してください。</t>
    <phoneticPr fontId="2"/>
  </si>
  <si>
    <t>Ａ”</t>
    <phoneticPr fontId="2"/>
  </si>
  <si>
    <t>建_請求書_大阪_旧</t>
    <rPh sb="9" eb="10">
      <t>キュウ</t>
    </rPh>
    <phoneticPr fontId="2"/>
  </si>
  <si>
    <t>事前審査で出力される請求書を差替え</t>
    <rPh sb="0" eb="4">
      <t>ジゼンシンサ</t>
    </rPh>
    <rPh sb="5" eb="7">
      <t>シュツリョク</t>
    </rPh>
    <rPh sb="10" eb="13">
      <t>セイキュウショ</t>
    </rPh>
    <rPh sb="14" eb="16">
      <t>サシカ</t>
    </rPh>
    <phoneticPr fontId="2"/>
  </si>
  <si>
    <t>**prule_ISSUE_DATE__20150531le</t>
    <phoneticPr fontId="2"/>
  </si>
  <si>
    <t>**prule_ISSUE_DATE__20150601ge</t>
    <phoneticPr fontId="2"/>
  </si>
  <si>
    <t>**prule_ISSUE_DATE__null</t>
    <phoneticPr fontId="2"/>
  </si>
  <si>
    <t>確認済証、合格証、検査済証、報告書、できない旨の通知書の引受日による新旧切替処理を解除</t>
    <rPh sb="0" eb="4">
      <t>カクニンズミショウ</t>
    </rPh>
    <rPh sb="5" eb="8">
      <t>ゴウカクショウ</t>
    </rPh>
    <rPh sb="9" eb="13">
      <t>ケンサズミショウ</t>
    </rPh>
    <rPh sb="14" eb="17">
      <t>ホウコクショ</t>
    </rPh>
    <rPh sb="22" eb="23">
      <t>ムネ</t>
    </rPh>
    <rPh sb="24" eb="26">
      <t>ツウチ</t>
    </rPh>
    <rPh sb="26" eb="27">
      <t>ショ</t>
    </rPh>
    <rPh sb="28" eb="31">
      <t>ヒキウケビ</t>
    </rPh>
    <rPh sb="34" eb="36">
      <t>シンキュウ</t>
    </rPh>
    <rPh sb="36" eb="38">
      <t>キリカエ</t>
    </rPh>
    <rPh sb="38" eb="40">
      <t>ショリ</t>
    </rPh>
    <rPh sb="41" eb="43">
      <t>カイジョ</t>
    </rPh>
    <phoneticPr fontId="2"/>
  </si>
  <si>
    <t>（両方を並べて表示させ、目視で選んでもらう）</t>
    <rPh sb="1" eb="3">
      <t>リョウホウ</t>
    </rPh>
    <rPh sb="4" eb="5">
      <t>ナラ</t>
    </rPh>
    <rPh sb="7" eb="9">
      <t>ヒョウジ</t>
    </rPh>
    <rPh sb="12" eb="14">
      <t>モクシ</t>
    </rPh>
    <rPh sb="15" eb="16">
      <t>エラ</t>
    </rPh>
    <phoneticPr fontId="2"/>
  </si>
  <si>
    <t>確認決裁書（工作物）：審査欄の設備の斜線を削除</t>
    <rPh sb="0" eb="5">
      <t>カクニンケッサイショ</t>
    </rPh>
    <rPh sb="6" eb="9">
      <t>コウサクブツ</t>
    </rPh>
    <rPh sb="11" eb="14">
      <t>シンサラン</t>
    </rPh>
    <rPh sb="15" eb="17">
      <t>セツビ</t>
    </rPh>
    <rPh sb="18" eb="20">
      <t>シャセン</t>
    </rPh>
    <rPh sb="21" eb="23">
      <t>サクジョ</t>
    </rPh>
    <phoneticPr fontId="2"/>
  </si>
  <si>
    <t>中間・完了引受承諾書：検査予定日の出力処理を大阪本店の場合も出力する様に修正</t>
    <rPh sb="0" eb="2">
      <t>チュウカン</t>
    </rPh>
    <rPh sb="3" eb="5">
      <t>カンリョウ</t>
    </rPh>
    <rPh sb="5" eb="10">
      <t>ヒキウケショウダクショ</t>
    </rPh>
    <rPh sb="11" eb="16">
      <t>ケンサヨテイビ</t>
    </rPh>
    <rPh sb="17" eb="19">
      <t>シュツリョク</t>
    </rPh>
    <rPh sb="19" eb="21">
      <t>ショリ</t>
    </rPh>
    <rPh sb="22" eb="26">
      <t>オオサカホンテン</t>
    </rPh>
    <rPh sb="27" eb="29">
      <t>バアイ</t>
    </rPh>
    <rPh sb="30" eb="32">
      <t>シュツリョク</t>
    </rPh>
    <rPh sb="34" eb="35">
      <t>ヨウ</t>
    </rPh>
    <rPh sb="36" eb="38">
      <t>シュウセイ</t>
    </rPh>
    <phoneticPr fontId="2"/>
  </si>
  <si>
    <t>dINFOMATION　**prule_kensaresult_ok、**prule_strcalcbookflag_yes、**prule_prefofficeflag_yesの行を削除</t>
    <phoneticPr fontId="2"/>
  </si>
  <si>
    <t>建_請求書_大阪2 を追加</t>
    <rPh sb="11" eb="13">
      <t>ツイカ</t>
    </rPh>
    <phoneticPr fontId="2"/>
  </si>
  <si>
    <t>cst_shinsei_KAKU_SUMI_NO__top</t>
    <phoneticPr fontId="2"/>
  </si>
  <si>
    <t>cst_shinsei_KAKU_SUMI_NO__bottom</t>
    <phoneticPr fontId="2"/>
  </si>
  <si>
    <t>shinsei_HEN_SUMI_NO</t>
    <phoneticPr fontId="2"/>
  </si>
  <si>
    <t>shinsei_HEN_SUMI_KOUFU_DATE</t>
    <phoneticPr fontId="2"/>
  </si>
  <si>
    <t>shinsei_HEN_SUMI_KOUFU_NAME</t>
    <phoneticPr fontId="2"/>
  </si>
  <si>
    <t>cst_shinsei_HEN_SUMI_NO__top</t>
    <phoneticPr fontId="2"/>
  </si>
  <si>
    <t>cst_shinsei_HEN_SUMI_NO__bottom</t>
    <phoneticPr fontId="2"/>
  </si>
  <si>
    <t>cst_shinsei_HEN_SUMI_NO__dsp</t>
    <phoneticPr fontId="2"/>
  </si>
  <si>
    <t>cst_shinsei_HEN_SUMI_KOUFU_DATE__txt</t>
    <phoneticPr fontId="2"/>
  </si>
  <si>
    <t>計画変更時の直前の確認申請の情報が出力されていなかったのを修正</t>
    <rPh sb="0" eb="2">
      <t>ケイカク</t>
    </rPh>
    <rPh sb="2" eb="4">
      <t>ヘンコウ</t>
    </rPh>
    <rPh sb="4" eb="5">
      <t>ジ</t>
    </rPh>
    <rPh sb="6" eb="8">
      <t>チョクゼン</t>
    </rPh>
    <rPh sb="9" eb="11">
      <t>カクニン</t>
    </rPh>
    <rPh sb="11" eb="13">
      <t>シンセイ</t>
    </rPh>
    <rPh sb="14" eb="16">
      <t>ジョウホウ</t>
    </rPh>
    <rPh sb="17" eb="19">
      <t>シュツリョク</t>
    </rPh>
    <rPh sb="29" eb="31">
      <t>シュウセイ</t>
    </rPh>
    <phoneticPr fontId="2"/>
  </si>
  <si>
    <t>その他（入力した文字列が出力される）</t>
    <rPh sb="2" eb="3">
      <t>タ</t>
    </rPh>
    <rPh sb="4" eb="6">
      <t>ニュウリョク</t>
    </rPh>
    <rPh sb="8" eb="11">
      <t>モジレツ</t>
    </rPh>
    <rPh sb="12" eb="14">
      <t>シュツリョク</t>
    </rPh>
    <phoneticPr fontId="2"/>
  </si>
  <si>
    <t>cst_shinsei_ev_KOUSAKU_KOUJI_SONOTA__box</t>
    <phoneticPr fontId="2"/>
  </si>
  <si>
    <t>cst_shinsei_ev_KOUSAKU_KOUJI_SONOTA__dsp</t>
    <phoneticPr fontId="2"/>
  </si>
  <si>
    <t>工作物：済証、及び報告書の工事種別が正しく出力されていなかったのを修正</t>
    <rPh sb="0" eb="3">
      <t>コウサクブツ</t>
    </rPh>
    <rPh sb="4" eb="6">
      <t>ズミショウ</t>
    </rPh>
    <rPh sb="7" eb="8">
      <t>オヨ</t>
    </rPh>
    <rPh sb="9" eb="12">
      <t>ホウコクショ</t>
    </rPh>
    <rPh sb="13" eb="17">
      <t>コウジシュベツ</t>
    </rPh>
    <rPh sb="18" eb="19">
      <t>タダ</t>
    </rPh>
    <rPh sb="21" eb="23">
      <t>シュツリョク</t>
    </rPh>
    <rPh sb="33" eb="35">
      <t>シュウセイ</t>
    </rPh>
    <phoneticPr fontId="2"/>
  </si>
  <si>
    <t>中間・完了引受承諾書：検査予定日の出力処理を大阪本店の場合も出力する様に修正したが、</t>
    <rPh sb="0" eb="2">
      <t>チュウカン</t>
    </rPh>
    <rPh sb="3" eb="5">
      <t>カンリョウ</t>
    </rPh>
    <rPh sb="5" eb="10">
      <t>ヒキウケショウダクショ</t>
    </rPh>
    <rPh sb="11" eb="16">
      <t>ケンサヨテイビ</t>
    </rPh>
    <rPh sb="17" eb="19">
      <t>シュツリョク</t>
    </rPh>
    <rPh sb="19" eb="21">
      <t>ショリ</t>
    </rPh>
    <rPh sb="22" eb="26">
      <t>オオサカホンテン</t>
    </rPh>
    <rPh sb="27" eb="29">
      <t>バアイ</t>
    </rPh>
    <rPh sb="30" eb="32">
      <t>シュツリョク</t>
    </rPh>
    <rPh sb="34" eb="35">
      <t>ヨウ</t>
    </rPh>
    <rPh sb="36" eb="38">
      <t>シュウセイ</t>
    </rPh>
    <phoneticPr fontId="2"/>
  </si>
  <si>
    <t>検査からそれはまずいと指摘を受けたため、大阪本店はリンク解除</t>
    <rPh sb="0" eb="2">
      <t>ケンサ</t>
    </rPh>
    <rPh sb="11" eb="13">
      <t>シテキ</t>
    </rPh>
    <rPh sb="14" eb="15">
      <t>ウ</t>
    </rPh>
    <rPh sb="20" eb="24">
      <t>オオサカホンテン</t>
    </rPh>
    <rPh sb="28" eb="30">
      <t>カイジョ</t>
    </rPh>
    <phoneticPr fontId="2"/>
  </si>
  <si>
    <t>東北支店と九州支店のメアドが間違っていたのを修正</t>
    <rPh sb="0" eb="4">
      <t>トウホクシテン</t>
    </rPh>
    <rPh sb="5" eb="9">
      <t>キュウシュウシテン</t>
    </rPh>
    <rPh sb="14" eb="16">
      <t>マチガ</t>
    </rPh>
    <rPh sb="22" eb="24">
      <t>シュウセイ</t>
    </rPh>
    <phoneticPr fontId="2"/>
  </si>
  <si>
    <t>**shinseijudgehist_accept_isyou1_BEGIN_DATE</t>
    <phoneticPr fontId="2"/>
  </si>
  <si>
    <t>**shinseijudgehist_accept_isyou1_END_DATE</t>
    <phoneticPr fontId="2"/>
  </si>
  <si>
    <t>終了日</t>
    <rPh sb="0" eb="3">
      <t>シュウリョウビ</t>
    </rPh>
    <phoneticPr fontId="2"/>
  </si>
  <si>
    <t>本審査 - 意匠担当１ - 終了日 を追加</t>
    <rPh sb="0" eb="3">
      <t>ホンシンサ</t>
    </rPh>
    <rPh sb="6" eb="10">
      <t>イショウタントウ</t>
    </rPh>
    <rPh sb="14" eb="17">
      <t>シュウリョウビ</t>
    </rPh>
    <rPh sb="19" eb="21">
      <t>ツイカ</t>
    </rPh>
    <phoneticPr fontId="2"/>
  </si>
  <si>
    <t>決裁書用：九州支店の時に検査予定日を出力</t>
    <rPh sb="0" eb="3">
      <t>ケッサイショ</t>
    </rPh>
    <rPh sb="3" eb="4">
      <t>ヨウ</t>
    </rPh>
    <rPh sb="5" eb="9">
      <t>キュウシュウシテン</t>
    </rPh>
    <rPh sb="10" eb="11">
      <t>トキ</t>
    </rPh>
    <rPh sb="12" eb="17">
      <t>ケンサヨテイビ</t>
    </rPh>
    <rPh sb="18" eb="20">
      <t>シュツリョク</t>
    </rPh>
    <phoneticPr fontId="2"/>
  </si>
  <si>
    <t>引受承諾証用：九州支店・大阪本店の時に検査予定日を出力</t>
    <rPh sb="0" eb="5">
      <t>ヒキウケショウダクショウ</t>
    </rPh>
    <rPh sb="5" eb="6">
      <t>ヨウ</t>
    </rPh>
    <rPh sb="7" eb="9">
      <t>キュウシュウ</t>
    </rPh>
    <rPh sb="9" eb="11">
      <t>シテン</t>
    </rPh>
    <rPh sb="12" eb="16">
      <t>オオサカホンテン</t>
    </rPh>
    <rPh sb="17" eb="18">
      <t>トキ</t>
    </rPh>
    <rPh sb="19" eb="24">
      <t>ケンサヨテイビ</t>
    </rPh>
    <rPh sb="25" eb="27">
      <t>シュツリョク</t>
    </rPh>
    <phoneticPr fontId="2"/>
  </si>
  <si>
    <t>4=九州</t>
    <rPh sb="2" eb="4">
      <t>キュウシュウ</t>
    </rPh>
    <phoneticPr fontId="2"/>
  </si>
  <si>
    <t>cst_shinsei_KENSA_YOTEI_DATE__hikiuke</t>
    <phoneticPr fontId="2"/>
  </si>
  <si>
    <t>検査引受承諾書：（大阪本店）検査日に検査予定日をリンク</t>
    <rPh sb="0" eb="7">
      <t>ケンサヒキウケショウダクショ</t>
    </rPh>
    <rPh sb="9" eb="13">
      <t>オオサカホンテン</t>
    </rPh>
    <rPh sb="14" eb="17">
      <t>ケンサビ</t>
    </rPh>
    <rPh sb="18" eb="23">
      <t>ケンサヨテイビ</t>
    </rPh>
    <phoneticPr fontId="2"/>
  </si>
  <si>
    <t>理事長 井上 俊之</t>
    <phoneticPr fontId="2"/>
  </si>
  <si>
    <t>構造審査室長</t>
    <phoneticPr fontId="2"/>
  </si>
  <si>
    <t>代表取締役 吉川　充</t>
    <phoneticPr fontId="2"/>
  </si>
  <si>
    <t>dSTR_OFFICE_info ベターリビング・アウェイの会社情報を変更</t>
    <phoneticPr fontId="2"/>
  </si>
  <si>
    <t>完了検査決裁書：検討書を説明書に変更</t>
    <rPh sb="0" eb="4">
      <t>カンリョウケンサ</t>
    </rPh>
    <rPh sb="4" eb="7">
      <t>ケッサイショ</t>
    </rPh>
    <rPh sb="8" eb="11">
      <t>ケントウショ</t>
    </rPh>
    <rPh sb="12" eb="15">
      <t>セツメイショ</t>
    </rPh>
    <rPh sb="16" eb="18">
      <t>ヘンコウ</t>
    </rPh>
    <phoneticPr fontId="2"/>
  </si>
  <si>
    <t>dOFFICE_name　請求発生日の会社タイプ以降の式が間違っていた問題を修正</t>
    <rPh sb="13" eb="15">
      <t>セイキュウ</t>
    </rPh>
    <rPh sb="15" eb="18">
      <t>ハッセイビ</t>
    </rPh>
    <rPh sb="19" eb="21">
      <t>カイシャ</t>
    </rPh>
    <rPh sb="24" eb="26">
      <t>イコウ</t>
    </rPh>
    <rPh sb="27" eb="28">
      <t>シキ</t>
    </rPh>
    <rPh sb="29" eb="31">
      <t>マチガ</t>
    </rPh>
    <rPh sb="35" eb="37">
      <t>モンダイ</t>
    </rPh>
    <rPh sb="38" eb="40">
      <t>シュウセイ</t>
    </rPh>
    <phoneticPr fontId="2"/>
  </si>
  <si>
    <t>完了検査決裁書：検討書を説明書に変更する処理が不完全だったのを修正</t>
    <rPh sb="0" eb="4">
      <t>カンリョウケンサ</t>
    </rPh>
    <rPh sb="4" eb="7">
      <t>ケッサイショ</t>
    </rPh>
    <rPh sb="8" eb="11">
      <t>ケントウショ</t>
    </rPh>
    <rPh sb="12" eb="15">
      <t>セツメイショ</t>
    </rPh>
    <rPh sb="16" eb="18">
      <t>ヘンコウ</t>
    </rPh>
    <rPh sb="20" eb="22">
      <t>ショリ</t>
    </rPh>
    <rPh sb="23" eb="26">
      <t>フカンゼン</t>
    </rPh>
    <rPh sb="31" eb="33">
      <t>シュウセイ</t>
    </rPh>
    <phoneticPr fontId="2"/>
  </si>
  <si>
    <t>東京都中央区京橋2丁目8-7</t>
  </si>
  <si>
    <t>東京都中央区京橋2丁目8-7</t>
    <phoneticPr fontId="2"/>
  </si>
  <si>
    <t>読売八重洲ビル 2階</t>
  </si>
  <si>
    <t>03-3562-8980</t>
  </si>
  <si>
    <t>03-3562-8981</t>
  </si>
  <si>
    <t>03-3562-8991</t>
  </si>
  <si>
    <t>03-3562-8989</t>
  </si>
  <si>
    <t>104-0031</t>
  </si>
  <si>
    <t>住所変更対応</t>
    <rPh sb="0" eb="6">
      <t>ジュウショヘンコウタイオウ</t>
    </rPh>
    <phoneticPr fontId="2"/>
  </si>
  <si>
    <t>決裁書の変更</t>
    <rPh sb="0" eb="3">
      <t>ケッサイショ</t>
    </rPh>
    <rPh sb="4" eb="6">
      <t>ヘンコウ</t>
    </rPh>
    <phoneticPr fontId="2"/>
  </si>
  <si>
    <r>
      <t>他の担当部長</t>
    </r>
    <r>
      <rPr>
        <strike/>
        <sz val="10"/>
        <color indexed="10"/>
        <rFont val="ＭＳ Ｐゴシック"/>
        <family val="3"/>
        <charset val="128"/>
      </rPr>
      <t>又は執行役員</t>
    </r>
    <r>
      <rPr>
        <sz val="10"/>
        <color indexed="8"/>
        <rFont val="ＭＳ Ｐゴシック"/>
        <family val="3"/>
        <charset val="128"/>
      </rPr>
      <t>が当該決裁を代行する。　　→　執行役員がなくなったため変更（全ての決裁書）</t>
    </r>
  </si>
  <si>
    <r>
      <t>（交付決</t>
    </r>
    <r>
      <rPr>
        <strike/>
        <sz val="10"/>
        <color indexed="10"/>
        <rFont val="ＭＳ Ｐゴシック"/>
        <family val="3"/>
        <charset val="128"/>
      </rPr>
      <t>済</t>
    </r>
    <r>
      <rPr>
        <sz val="10"/>
        <color indexed="8"/>
        <rFont val="ＭＳ Ｐゴシック"/>
        <family val="3"/>
        <charset val="128"/>
      </rPr>
      <t>裁者ではないので注意）　　　　　　　　　　　　 　→　打ち間違いのため訂正（中間と完了のみ）</t>
    </r>
  </si>
  <si>
    <t>兵庫県2</t>
    <phoneticPr fontId="2"/>
  </si>
  <si>
    <t>適判機関：兵庫県建築センターの完全一致検索用略称(CODE)が間違っていた為、理事長名が出ていなかった問題を修正</t>
    <phoneticPr fontId="2"/>
  </si>
  <si>
    <t>約款の差替え</t>
    <rPh sb="0" eb="2">
      <t>ヤッカン</t>
    </rPh>
    <rPh sb="3" eb="5">
      <t>サシカ</t>
    </rPh>
    <phoneticPr fontId="2"/>
  </si>
  <si>
    <t>新しいシートを左に寄せて、色を白にする</t>
    <rPh sb="0" eb="1">
      <t>アタラ</t>
    </rPh>
    <rPh sb="7" eb="8">
      <t>ヒダリ</t>
    </rPh>
    <rPh sb="9" eb="10">
      <t>ヨ</t>
    </rPh>
    <rPh sb="13" eb="14">
      <t>イロ</t>
    </rPh>
    <rPh sb="15" eb="16">
      <t>シロ</t>
    </rPh>
    <phoneticPr fontId="2"/>
  </si>
  <si>
    <t>旧書式シートの並び替えを右に寄せてグレーにする</t>
    <rPh sb="0" eb="1">
      <t>キュウ</t>
    </rPh>
    <rPh sb="1" eb="3">
      <t>ショシキ</t>
    </rPh>
    <rPh sb="7" eb="8">
      <t>ナラ</t>
    </rPh>
    <rPh sb="9" eb="10">
      <t>カ</t>
    </rPh>
    <rPh sb="12" eb="13">
      <t>ミギ</t>
    </rPh>
    <rPh sb="14" eb="15">
      <t>ヨ</t>
    </rPh>
    <phoneticPr fontId="2"/>
  </si>
  <si>
    <t>DATA_fee_detail　手数料明細3の単価のcstの式が間違えていた箇所を修正</t>
    <rPh sb="16" eb="19">
      <t>テスウリョウ</t>
    </rPh>
    <rPh sb="19" eb="21">
      <t>メイサイ</t>
    </rPh>
    <rPh sb="23" eb="25">
      <t>タンカ</t>
    </rPh>
    <rPh sb="30" eb="31">
      <t>シキ</t>
    </rPh>
    <rPh sb="32" eb="34">
      <t>マチガ</t>
    </rPh>
    <rPh sb="38" eb="40">
      <t>カショ</t>
    </rPh>
    <rPh sb="41" eb="43">
      <t>シュウセイ</t>
    </rPh>
    <phoneticPr fontId="2"/>
  </si>
  <si>
    <t>理事長　室木　眞則</t>
    <phoneticPr fontId="2"/>
  </si>
  <si>
    <t>公益財団法人 東京都防災・建築まちづくりセンター 理事長名変更</t>
    <rPh sb="25" eb="28">
      <t>リジチョウ</t>
    </rPh>
    <rPh sb="28" eb="29">
      <t>メイ</t>
    </rPh>
    <rPh sb="29" eb="31">
      <t>ヘンコウ</t>
    </rPh>
    <phoneticPr fontId="2"/>
  </si>
  <si>
    <t>消防通知（昇降機）　横浜市の場合、宛先は「横浜市消防長」に固定</t>
    <rPh sb="10" eb="13">
      <t>ヨコハマシ</t>
    </rPh>
    <rPh sb="14" eb="16">
      <t>バアイ</t>
    </rPh>
    <rPh sb="17" eb="19">
      <t>アテサキ</t>
    </rPh>
    <rPh sb="21" eb="24">
      <t>ヨコハマシ</t>
    </rPh>
    <rPh sb="24" eb="26">
      <t>ショウボウ</t>
    </rPh>
    <rPh sb="26" eb="27">
      <t>チョウ</t>
    </rPh>
    <rPh sb="29" eb="31">
      <t>コテイ</t>
    </rPh>
    <phoneticPr fontId="2"/>
  </si>
  <si>
    <t>構造適判　さいたま住宅検査センター　理事長名変更</t>
    <rPh sb="0" eb="2">
      <t>コウゾウ</t>
    </rPh>
    <rPh sb="2" eb="3">
      <t>テキ</t>
    </rPh>
    <rPh sb="3" eb="4">
      <t>ハン</t>
    </rPh>
    <rPh sb="9" eb="11">
      <t>ジュウタク</t>
    </rPh>
    <rPh sb="11" eb="13">
      <t>ケンサ</t>
    </rPh>
    <rPh sb="18" eb="21">
      <t>リジチョウ</t>
    </rPh>
    <rPh sb="21" eb="22">
      <t>メイ</t>
    </rPh>
    <rPh sb="22" eb="24">
      <t>ヘンコウ</t>
    </rPh>
    <phoneticPr fontId="2"/>
  </si>
  <si>
    <t>ビューロベリタス　代表の役職名を代表取締役　に変更</t>
  </si>
  <si>
    <t>代表取締役 佐々木  泰介</t>
    <phoneticPr fontId="2"/>
  </si>
  <si>
    <t>大阪請求書　発行日設定・受付担当者設定・手数料合計設定</t>
    <rPh sb="0" eb="2">
      <t>オオサカ</t>
    </rPh>
    <rPh sb="2" eb="5">
      <t>セイキュウショ</t>
    </rPh>
    <rPh sb="6" eb="9">
      <t>ハッコウビ</t>
    </rPh>
    <rPh sb="9" eb="11">
      <t>セッテイ</t>
    </rPh>
    <rPh sb="12" eb="14">
      <t>ウケツケ</t>
    </rPh>
    <rPh sb="14" eb="17">
      <t>タントウシャ</t>
    </rPh>
    <rPh sb="17" eb="19">
      <t>セッテイ</t>
    </rPh>
    <rPh sb="20" eb="23">
      <t>テスウリョウ</t>
    </rPh>
    <rPh sb="23" eb="25">
      <t>ゴウケイ</t>
    </rPh>
    <rPh sb="25" eb="27">
      <t>セッテイ</t>
    </rPh>
    <phoneticPr fontId="2"/>
  </si>
  <si>
    <t>理事長 土井 英尚</t>
    <phoneticPr fontId="2"/>
  </si>
  <si>
    <t>三重県建設技術センターの理事長名を変更</t>
    <rPh sb="12" eb="15">
      <t>リジチョウ</t>
    </rPh>
    <rPh sb="15" eb="16">
      <t>メイ</t>
    </rPh>
    <rPh sb="17" eb="19">
      <t>ヘンコウ</t>
    </rPh>
    <phoneticPr fontId="2"/>
  </si>
  <si>
    <t>引受承諾書　宛名の建築主を切替可能に設定</t>
    <rPh sb="0" eb="2">
      <t>ヒキウケ</t>
    </rPh>
    <rPh sb="2" eb="4">
      <t>ショウダク</t>
    </rPh>
    <rPh sb="4" eb="5">
      <t>ショ</t>
    </rPh>
    <rPh sb="6" eb="8">
      <t>アテナ</t>
    </rPh>
    <rPh sb="9" eb="11">
      <t>ケンチク</t>
    </rPh>
    <rPh sb="11" eb="12">
      <t>ヌシ</t>
    </rPh>
    <rPh sb="13" eb="15">
      <t>キリカエ</t>
    </rPh>
    <rPh sb="15" eb="17">
      <t>カノウ</t>
    </rPh>
    <rPh sb="18" eb="20">
      <t>セッテイ</t>
    </rPh>
    <phoneticPr fontId="2"/>
  </si>
  <si>
    <t>　なお、この処分に不服があるときは、この通知を受けた日の翌日から起算して３か月以内に</t>
    <phoneticPr fontId="2"/>
  </si>
  <si>
    <t>■ ～しない旨の通知書　文言切替処理</t>
    <rPh sb="6" eb="7">
      <t>ムネ</t>
    </rPh>
    <rPh sb="8" eb="10">
      <t>ツウチ</t>
    </rPh>
    <rPh sb="10" eb="11">
      <t>ショ</t>
    </rPh>
    <rPh sb="12" eb="14">
      <t>モンゴン</t>
    </rPh>
    <rPh sb="14" eb="16">
      <t>キリカエ</t>
    </rPh>
    <rPh sb="16" eb="18">
      <t>ショリ</t>
    </rPh>
    <phoneticPr fontId="2"/>
  </si>
  <si>
    <t>通知日による文言の切替用のフラグ</t>
    <phoneticPr fontId="2"/>
  </si>
  <si>
    <t>flg_NOTIFY_DATE</t>
    <phoneticPr fontId="2"/>
  </si>
  <si>
    <t>法改正の基準日：1604ge,1506ge,1506le</t>
    <phoneticPr fontId="2"/>
  </si>
  <si>
    <t>flg_NOTIFY_DATE__1506</t>
    <phoneticPr fontId="2"/>
  </si>
  <si>
    <t>※ 1506geは1506～160331を示す</t>
    <phoneticPr fontId="2"/>
  </si>
  <si>
    <t>適合するかどうかを決定することができない旨の通知書</t>
    <phoneticPr fontId="10"/>
  </si>
  <si>
    <t>日付による文言の変更</t>
    <rPh sb="0" eb="2">
      <t>ヒヅケ</t>
    </rPh>
    <rPh sb="5" eb="7">
      <t>モンゴン</t>
    </rPh>
    <rPh sb="8" eb="10">
      <t>ヘンコウ</t>
    </rPh>
    <phoneticPr fontId="10"/>
  </si>
  <si>
    <t>条番（・・・の規定による）</t>
    <rPh sb="0" eb="2">
      <t>ジョウバン</t>
    </rPh>
    <rPh sb="7" eb="9">
      <t>キテイ</t>
    </rPh>
    <phoneticPr fontId="10"/>
  </si>
  <si>
    <t>cng_NOTIFY_DATE_Keteidekinai_jouban</t>
    <phoneticPr fontId="2"/>
  </si>
  <si>
    <t>1506leの条番</t>
    <rPh sb="7" eb="9">
      <t>ジョウバン</t>
    </rPh>
    <phoneticPr fontId="10"/>
  </si>
  <si>
    <t>cst_NOTIFY_DATE_Keteidekinai_jouban_1506le</t>
    <phoneticPr fontId="2"/>
  </si>
  <si>
    <t>建築基準法第６条の２第９項の規定による</t>
    <phoneticPr fontId="2"/>
  </si>
  <si>
    <t>1506geの条番</t>
    <rPh sb="7" eb="9">
      <t>ジョウバン</t>
    </rPh>
    <phoneticPr fontId="10"/>
  </si>
  <si>
    <t>cst_NOTIFY_DATE_Keteidekinai_jouban_1506ge</t>
    <phoneticPr fontId="2"/>
  </si>
  <si>
    <t>建築基準法第６条の２第４項の規定による</t>
    <phoneticPr fontId="2"/>
  </si>
  <si>
    <t>文言（下記による確認申請書は・・・）</t>
    <rPh sb="0" eb="2">
      <t>モンゴン</t>
    </rPh>
    <rPh sb="3" eb="5">
      <t>カキ</t>
    </rPh>
    <rPh sb="8" eb="13">
      <t>カクニンシンセイショ</t>
    </rPh>
    <phoneticPr fontId="10"/>
  </si>
  <si>
    <t>cng_NOTIFY_DATE_Keteidekinai_mongon</t>
    <phoneticPr fontId="2"/>
  </si>
  <si>
    <t>1506leの文言</t>
    <rPh sb="7" eb="9">
      <t>モンゴン</t>
    </rPh>
    <phoneticPr fontId="10"/>
  </si>
  <si>
    <t>cst_NOTIFY_DATE_Keteidekinai_mongon_1506le</t>
    <phoneticPr fontId="10"/>
  </si>
  <si>
    <t>1604leの文言</t>
    <rPh sb="7" eb="9">
      <t>モンゴン</t>
    </rPh>
    <phoneticPr fontId="10"/>
  </si>
  <si>
    <t>cst_NOTIFY_DATE_Keteidekinai_mongon_1506ge</t>
    <phoneticPr fontId="2"/>
  </si>
  <si>
    <t>適合しない旨の通知書</t>
    <phoneticPr fontId="10"/>
  </si>
  <si>
    <t>cng_NOTIFY_DATE_Tekigousinai_jouban</t>
    <phoneticPr fontId="10"/>
  </si>
  <si>
    <t>cst_NOTIFY_DATE_Tekigousinai_jouban_1506le</t>
    <phoneticPr fontId="2"/>
  </si>
  <si>
    <t>cst_NOTIFY_DATE_Tekigousinai_jouban_1506ge</t>
    <phoneticPr fontId="10"/>
  </si>
  <si>
    <t>cng_NOTIFY_DATE_Tekigousinai_mongon</t>
    <phoneticPr fontId="2"/>
  </si>
  <si>
    <t>cst_NOTIFY_DATE_Tekigousinai_mongon_1506le</t>
    <phoneticPr fontId="10"/>
  </si>
  <si>
    <t>　別添の確認申請書及び添付図書に記載の計画は、下記の理由により建築基準法第6条第1項（同法第6条の3第1項の規定により読み替えて適用される同法第6条第1項）の建築基準関係規定に適合しないことを認めましたので、同条第9項（同法第87条第1項、第87条の2又は第88条第1項若しくは第2項において準用する場合を含む。）の規定により通知します。
　</t>
    <phoneticPr fontId="10"/>
  </si>
  <si>
    <t>cst_NOTIFY_DATE_Tekigousinai_mongon_1506ge</t>
    <phoneticPr fontId="2"/>
  </si>
  <si>
    <t>　下記による確認申請書は、下記の理由により建築基準法第６条第１項（同法第６条の３第１項の規定により読み替えて適用される同法第６条第１項）の建築基準関係規定に適合するかどうかを決定することができないので、同法第6条の2第9項（同法第87条第1項、第87条の2又は第88条第1項若しくは第2項において準用する場合を含む。）の規定により通知します。
　</t>
    <phoneticPr fontId="10"/>
  </si>
  <si>
    <t>決定しない、適合しない旨_1506シートを削除</t>
    <phoneticPr fontId="2"/>
  </si>
  <si>
    <t>～できない旨の通知書系の条番及び文言の変更（平成28年4月1日の法改正に対応）</t>
    <phoneticPr fontId="2"/>
  </si>
  <si>
    <t>理事長　江原　秀明</t>
    <phoneticPr fontId="2"/>
  </si>
  <si>
    <t>構造部長</t>
    <phoneticPr fontId="2"/>
  </si>
  <si>
    <t>茨城県建築センター　理事長名を平成28年4月1日より江原　秀明に変更</t>
    <phoneticPr fontId="2"/>
  </si>
  <si>
    <t>福岡建築住宅センター　理事長名を平成27年4月1日より脊戸　俊介に変更</t>
    <rPh sb="0" eb="2">
      <t>フクオカ</t>
    </rPh>
    <rPh sb="2" eb="4">
      <t>ケンチク</t>
    </rPh>
    <rPh sb="4" eb="6">
      <t>ジュウタク</t>
    </rPh>
    <rPh sb="11" eb="14">
      <t>リジチョウ</t>
    </rPh>
    <rPh sb="14" eb="15">
      <t>メイ</t>
    </rPh>
    <rPh sb="16" eb="18">
      <t>ヘイセイ</t>
    </rPh>
    <rPh sb="20" eb="21">
      <t>ネン</t>
    </rPh>
    <rPh sb="22" eb="23">
      <t>ガツ</t>
    </rPh>
    <rPh sb="24" eb="25">
      <t>ニチ</t>
    </rPh>
    <rPh sb="33" eb="35">
      <t>ヘンコウ</t>
    </rPh>
    <phoneticPr fontId="2"/>
  </si>
  <si>
    <t>福岡県住宅2</t>
    <phoneticPr fontId="2"/>
  </si>
  <si>
    <t>工作物　完了帳票　「その他必要な事項」が何故か文字色が白色になっていた問題を修正</t>
    <rPh sb="0" eb="3">
      <t>コウサクブツ</t>
    </rPh>
    <rPh sb="4" eb="6">
      <t>カンリョウ</t>
    </rPh>
    <rPh sb="6" eb="8">
      <t>チョウヒョウ</t>
    </rPh>
    <rPh sb="12" eb="13">
      <t>タ</t>
    </rPh>
    <rPh sb="13" eb="15">
      <t>ヒツヨウ</t>
    </rPh>
    <rPh sb="16" eb="18">
      <t>ジコウ</t>
    </rPh>
    <rPh sb="20" eb="22">
      <t>ナゼ</t>
    </rPh>
    <rPh sb="23" eb="25">
      <t>モジ</t>
    </rPh>
    <rPh sb="25" eb="26">
      <t>イロ</t>
    </rPh>
    <rPh sb="27" eb="28">
      <t>シロ</t>
    </rPh>
    <rPh sb="28" eb="29">
      <t>イロ</t>
    </rPh>
    <rPh sb="35" eb="37">
      <t>モンダイ</t>
    </rPh>
    <rPh sb="38" eb="40">
      <t>シュウセイ</t>
    </rPh>
    <phoneticPr fontId="2"/>
  </si>
  <si>
    <t>複数棟による加算が選択されているか検索</t>
    <rPh sb="9" eb="11">
      <t>センタク</t>
    </rPh>
    <rPh sb="17" eb="19">
      <t>ケンサク</t>
    </rPh>
    <phoneticPr fontId="2"/>
  </si>
  <si>
    <t>search_CHARGE_DETAIL_fukusuutou</t>
    <phoneticPr fontId="2"/>
  </si>
  <si>
    <t>search_CHARGE_DETAIL_fukusuutou_fee</t>
    <phoneticPr fontId="2"/>
  </si>
  <si>
    <t>disp_CHARGE_DETAIL_fukusuutou_fee</t>
    <phoneticPr fontId="2"/>
  </si>
  <si>
    <t>cellname01</t>
    <phoneticPr fontId="2"/>
  </si>
  <si>
    <t>cellname02</t>
    <phoneticPr fontId="2"/>
  </si>
  <si>
    <t>cellname03</t>
    <phoneticPr fontId="2"/>
  </si>
  <si>
    <t>cellname04</t>
    <phoneticPr fontId="2"/>
  </si>
  <si>
    <t>cellname05</t>
    <phoneticPr fontId="2"/>
  </si>
  <si>
    <t>fukusuutou</t>
  </si>
  <si>
    <t>hinananzen</t>
  </si>
  <si>
    <t>taikabouka</t>
  </si>
  <si>
    <t>genkaitairyoku</t>
  </si>
  <si>
    <t>shoukouki_heigan</t>
  </si>
  <si>
    <t>separate01</t>
    <phoneticPr fontId="2"/>
  </si>
  <si>
    <t>separate02</t>
    <phoneticPr fontId="2"/>
  </si>
  <si>
    <t>separate03</t>
    <phoneticPr fontId="2"/>
  </si>
  <si>
    <t>separate04</t>
    <phoneticPr fontId="2"/>
  </si>
  <si>
    <t>search_CHARGE_DETAIL_kakunin_fee</t>
    <phoneticPr fontId="2"/>
  </si>
  <si>
    <t>明細項目名と共通処理名の定義（表示順で登録する事）</t>
    <rPh sb="0" eb="2">
      <t>メイサイ</t>
    </rPh>
    <rPh sb="2" eb="5">
      <t>コウモクメイ</t>
    </rPh>
    <rPh sb="6" eb="8">
      <t>キョウツウ</t>
    </rPh>
    <rPh sb="8" eb="10">
      <t>ショリ</t>
    </rPh>
    <rPh sb="10" eb="11">
      <t>メイ</t>
    </rPh>
    <rPh sb="12" eb="14">
      <t>テイギ</t>
    </rPh>
    <rPh sb="15" eb="18">
      <t>ヒョウジジュン</t>
    </rPh>
    <rPh sb="19" eb="21">
      <t>トウロク</t>
    </rPh>
    <rPh sb="23" eb="24">
      <t>コト</t>
    </rPh>
    <phoneticPr fontId="2"/>
  </si>
  <si>
    <t>手数料詳細：明細リストに追加した「複数棟による加算」を引受承諾書の明細に出力するように修正</t>
    <rPh sb="0" eb="3">
      <t>テスウリョウ</t>
    </rPh>
    <rPh sb="3" eb="5">
      <t>ショウサイ</t>
    </rPh>
    <rPh sb="6" eb="8">
      <t>メイサイ</t>
    </rPh>
    <rPh sb="12" eb="14">
      <t>ツイカ</t>
    </rPh>
    <rPh sb="17" eb="19">
      <t>フクスウ</t>
    </rPh>
    <rPh sb="19" eb="20">
      <t>トウ</t>
    </rPh>
    <rPh sb="23" eb="25">
      <t>カサン</t>
    </rPh>
    <rPh sb="27" eb="29">
      <t>ヒキウケ</t>
    </rPh>
    <rPh sb="29" eb="32">
      <t>ショウダクショ</t>
    </rPh>
    <rPh sb="33" eb="35">
      <t>メイサイ</t>
    </rPh>
    <rPh sb="36" eb="38">
      <t>シュツリョク</t>
    </rPh>
    <rPh sb="43" eb="45">
      <t>シュウセイ</t>
    </rPh>
    <phoneticPr fontId="2"/>
  </si>
  <si>
    <t>確認審査報告書の工事種別「移転」のチェックボックスにリンクが貼られていなかった問題を修正</t>
    <rPh sb="0" eb="2">
      <t>カクニン</t>
    </rPh>
    <rPh sb="2" eb="4">
      <t>シンサ</t>
    </rPh>
    <rPh sb="4" eb="7">
      <t>ホウコクショ</t>
    </rPh>
    <rPh sb="8" eb="10">
      <t>コウジ</t>
    </rPh>
    <rPh sb="10" eb="12">
      <t>シュベツ</t>
    </rPh>
    <rPh sb="13" eb="15">
      <t>イテン</t>
    </rPh>
    <rPh sb="30" eb="31">
      <t>ハ</t>
    </rPh>
    <rPh sb="39" eb="41">
      <t>モンダイ</t>
    </rPh>
    <rPh sb="42" eb="44">
      <t>シュウセイ</t>
    </rPh>
    <phoneticPr fontId="2"/>
  </si>
  <si>
    <t>　　　　　　　　確認申請手数料請求書（建築物）　　</t>
    <rPh sb="8" eb="10">
      <t>カクニン</t>
    </rPh>
    <rPh sb="10" eb="12">
      <t>シンセイ</t>
    </rPh>
    <rPh sb="12" eb="15">
      <t>テスウリョウ</t>
    </rPh>
    <rPh sb="15" eb="18">
      <t>セイキュウショ</t>
    </rPh>
    <rPh sb="19" eb="22">
      <t>ケンチクブツ</t>
    </rPh>
    <phoneticPr fontId="2"/>
  </si>
  <si>
    <t>（大阪）</t>
    <rPh sb="1" eb="3">
      <t>オオサカ</t>
    </rPh>
    <phoneticPr fontId="2"/>
  </si>
  <si>
    <t>担当者名</t>
    <phoneticPr fontId="2"/>
  </si>
  <si>
    <t>（支払期日　　　　　　　　　　正式受付日まで）</t>
    <rPh sb="1" eb="3">
      <t>シハライ</t>
    </rPh>
    <rPh sb="3" eb="5">
      <t>キジツ</t>
    </rPh>
    <phoneticPr fontId="2"/>
  </si>
  <si>
    <t>円）</t>
    <phoneticPr fontId="2"/>
  </si>
  <si>
    <t>×（70％・50％・30％）</t>
  </si>
  <si>
    <t>用途変更・移転・大規模の模様替え等（対象面積　　　　　　　　　　　</t>
    <rPh sb="0" eb="2">
      <t>ヨウト</t>
    </rPh>
    <rPh sb="2" eb="4">
      <t>ヘンコウ</t>
    </rPh>
    <rPh sb="5" eb="7">
      <t>イテン</t>
    </rPh>
    <rPh sb="8" eb="11">
      <t>ダイキボ</t>
    </rPh>
    <rPh sb="12" eb="14">
      <t>モヨウ</t>
    </rPh>
    <rPh sb="14" eb="15">
      <t>ガ</t>
    </rPh>
    <rPh sb="16" eb="17">
      <t>トウ</t>
    </rPh>
    <rPh sb="18" eb="20">
      <t>タイショウ</t>
    </rPh>
    <rPh sb="20" eb="22">
      <t>メンセキ</t>
    </rPh>
    <phoneticPr fontId="2"/>
  </si>
  <si>
    <t>×（  　　）</t>
  </si>
  <si>
    <t>棟（20％）</t>
    <rPh sb="0" eb="1">
      <t>トウ</t>
    </rPh>
    <phoneticPr fontId="2"/>
  </si>
  <si>
    <t>棟（10％）</t>
    <rPh sb="0" eb="1">
      <t>トウ</t>
    </rPh>
    <phoneticPr fontId="2"/>
  </si>
  <si>
    <t>（九州）</t>
    <rPh sb="1" eb="3">
      <t>キュウシュウ</t>
    </rPh>
    <phoneticPr fontId="2"/>
  </si>
  <si>
    <t>請求書の文言１</t>
  </si>
  <si>
    <t>請求書の文言１</t>
    <rPh sb="0" eb="3">
      <t>セイキュウショ</t>
    </rPh>
    <rPh sb="4" eb="6">
      <t>モンゴン</t>
    </rPh>
    <phoneticPr fontId="2"/>
  </si>
  <si>
    <t>請求書の文言２</t>
  </si>
  <si>
    <t>請求書の文言２</t>
    <rPh sb="0" eb="3">
      <t>セイキュウショ</t>
    </rPh>
    <rPh sb="4" eb="6">
      <t>モンゴン</t>
    </rPh>
    <phoneticPr fontId="2"/>
  </si>
  <si>
    <t>支店名（）表記</t>
    <rPh sb="0" eb="2">
      <t>シテン</t>
    </rPh>
    <rPh sb="2" eb="3">
      <t>メイ</t>
    </rPh>
    <rPh sb="5" eb="7">
      <t>ヒョウキ</t>
    </rPh>
    <phoneticPr fontId="2"/>
  </si>
  <si>
    <t>（東京）</t>
    <rPh sb="1" eb="3">
      <t>トウキョウ</t>
    </rPh>
    <phoneticPr fontId="2"/>
  </si>
  <si>
    <t>確認申請手数料は下記口座にお振込を</t>
  </si>
  <si>
    <t>お願い致します。</t>
  </si>
  <si>
    <t>確認申請手数料は下記口座にお振込、又は</t>
  </si>
  <si>
    <t>窓口にて現金でお支払いをお願い致します。</t>
    <phoneticPr fontId="2"/>
  </si>
  <si>
    <t>支店名カッコ表記</t>
  </si>
  <si>
    <t>don_OFFICE_WORD1__print_time</t>
    <phoneticPr fontId="2"/>
  </si>
  <si>
    <t>don_OFFICE_WORD2__print_time</t>
    <phoneticPr fontId="2"/>
  </si>
  <si>
    <t>don_OFFICE_NAME_kakko__print_time</t>
    <phoneticPr fontId="2"/>
  </si>
  <si>
    <t>新書式 2016/07 から使用</t>
    <rPh sb="0" eb="3">
      <t>シンショシキ</t>
    </rPh>
    <rPh sb="14" eb="16">
      <t>シヨウ</t>
    </rPh>
    <phoneticPr fontId="2"/>
  </si>
  <si>
    <t>■ 請求書の出力処理等</t>
    <rPh sb="2" eb="5">
      <t>セイキュウショ</t>
    </rPh>
    <rPh sb="6" eb="8">
      <t>シュツリョク</t>
    </rPh>
    <rPh sb="8" eb="10">
      <t>ショリ</t>
    </rPh>
    <rPh sb="10" eb="11">
      <t>ナド</t>
    </rPh>
    <phoneticPr fontId="2"/>
  </si>
  <si>
    <t>工事種別：用途変更・移転・大規模の模様替え等に該当した時のフラグ</t>
    <rPh sb="0" eb="4">
      <t>コウジシュベツ</t>
    </rPh>
    <rPh sb="5" eb="9">
      <t>ヨウトヘンコウ</t>
    </rPh>
    <rPh sb="10" eb="12">
      <t>イテン</t>
    </rPh>
    <rPh sb="13" eb="16">
      <t>ダイキボ</t>
    </rPh>
    <rPh sb="17" eb="20">
      <t>モヨウガ</t>
    </rPh>
    <rPh sb="21" eb="22">
      <t>ナド</t>
    </rPh>
    <rPh sb="23" eb="25">
      <t>ガイトウ</t>
    </rPh>
    <rPh sb="27" eb="28">
      <t>トキ</t>
    </rPh>
    <phoneticPr fontId="2"/>
  </si>
  <si>
    <t>0：以外, 1：該当する</t>
    <rPh sb="2" eb="4">
      <t>イガイ</t>
    </rPh>
    <rPh sb="8" eb="10">
      <t>ガイトウ</t>
    </rPh>
    <phoneticPr fontId="2"/>
  </si>
  <si>
    <t>計画変更手数料欄出力処理</t>
    <rPh sb="0" eb="4">
      <t>ケイカクヘンコウ</t>
    </rPh>
    <rPh sb="4" eb="7">
      <t>テスウリョウ</t>
    </rPh>
    <rPh sb="7" eb="8">
      <t>ラン</t>
    </rPh>
    <rPh sb="8" eb="12">
      <t>シュツリョクショリ</t>
    </rPh>
    <phoneticPr fontId="2"/>
  </si>
  <si>
    <t>確認申請手数料欄出力処理</t>
    <rPh sb="0" eb="7">
      <t>カクニンシンセイテスウリョウ</t>
    </rPh>
    <rPh sb="7" eb="8">
      <t>ラン</t>
    </rPh>
    <rPh sb="8" eb="12">
      <t>シュツリョクショリ</t>
    </rPh>
    <phoneticPr fontId="2"/>
  </si>
  <si>
    <t>請求書：</t>
  </si>
  <si>
    <t>用途変更・移転・大規模の模様替え等手数料欄出力処理</t>
    <rPh sb="0" eb="4">
      <t>ヨウトヘンコウ</t>
    </rPh>
    <rPh sb="5" eb="7">
      <t>イテン</t>
    </rPh>
    <rPh sb="8" eb="11">
      <t>ダイキボ</t>
    </rPh>
    <rPh sb="12" eb="15">
      <t>モヨウガ</t>
    </rPh>
    <rPh sb="16" eb="17">
      <t>ナド</t>
    </rPh>
    <rPh sb="17" eb="20">
      <t>テスウリョウ</t>
    </rPh>
    <rPh sb="20" eb="21">
      <t>ラン</t>
    </rPh>
    <rPh sb="21" eb="23">
      <t>シュツリョク</t>
    </rPh>
    <rPh sb="23" eb="25">
      <t>ショリ</t>
    </rPh>
    <phoneticPr fontId="2"/>
  </si>
  <si>
    <t>計画変更フラグ</t>
    <rPh sb="0" eb="4">
      <t>ケイカクヘンコウ</t>
    </rPh>
    <phoneticPr fontId="2"/>
  </si>
  <si>
    <t>chek_shinsei_INSPECTION_TYPE_alter</t>
  </si>
  <si>
    <t>chek_shinsei_INSPECTION_TYPE_alter</t>
    <phoneticPr fontId="2"/>
  </si>
  <si>
    <t>chek_KOUJI_youto_iten_moyou</t>
  </si>
  <si>
    <t>cst_BASIC_CHARGE__kakunin</t>
    <phoneticPr fontId="2"/>
  </si>
  <si>
    <t>cst_BASIC_CHARGE__alter</t>
    <phoneticPr fontId="2"/>
  </si>
  <si>
    <t>cst_BASIC_CHARGE__youto_iten_moyou</t>
    <phoneticPr fontId="2"/>
  </si>
  <si>
    <t>cst_shinsei__RECEIPT_PRICE_BASIC_CHARGE</t>
    <phoneticPr fontId="2"/>
  </si>
  <si>
    <t>50,000以内</t>
    <rPh sb="6" eb="8">
      <t>イナイ</t>
    </rPh>
    <phoneticPr fontId="2"/>
  </si>
  <si>
    <t>50,000超</t>
    <rPh sb="6" eb="7">
      <t>チョウ</t>
    </rPh>
    <phoneticPr fontId="2"/>
  </si>
  <si>
    <t>GTR</t>
    <phoneticPr fontId="2"/>
  </si>
  <si>
    <t>LEQ</t>
    <phoneticPr fontId="2"/>
  </si>
  <si>
    <t>cst_KASAN_fukusuutou__leq</t>
    <phoneticPr fontId="2"/>
  </si>
  <si>
    <t>cst_NOBE_MENSEKI_SHINSEI__erea</t>
    <phoneticPr fontId="2"/>
  </si>
  <si>
    <t>1：50000未満, 2：50000超</t>
    <rPh sb="7" eb="9">
      <t>ミマン</t>
    </rPh>
    <rPh sb="18" eb="19">
      <t>チョウ</t>
    </rPh>
    <phoneticPr fontId="2"/>
  </si>
  <si>
    <t>cst_KASAN_fukusuutou__gtr</t>
    <phoneticPr fontId="2"/>
  </si>
  <si>
    <t>複数棟加算の50,000㎡切替処理</t>
    <rPh sb="0" eb="3">
      <t>フクスウトウ</t>
    </rPh>
    <rPh sb="3" eb="5">
      <t>カサン</t>
    </rPh>
    <rPh sb="13" eb="17">
      <t>キリカエショリ</t>
    </rPh>
    <phoneticPr fontId="2"/>
  </si>
  <si>
    <t>避難安全検証法の出力処理</t>
    <rPh sb="0" eb="7">
      <t>ヒナンアンゼンケンショウホウ</t>
    </rPh>
    <rPh sb="8" eb="12">
      <t>シュツリョクショリ</t>
    </rPh>
    <phoneticPr fontId="2"/>
  </si>
  <si>
    <t>cst_CHARGE_DETAIL_hinananzen_fee</t>
    <phoneticPr fontId="2"/>
  </si>
  <si>
    <t>新しい大阪の請求書１を追加</t>
    <rPh sb="0" eb="1">
      <t>アタラ</t>
    </rPh>
    <rPh sb="3" eb="5">
      <t>オオサカ</t>
    </rPh>
    <rPh sb="6" eb="9">
      <t>セイキュウショ</t>
    </rPh>
    <rPh sb="11" eb="13">
      <t>ツイカ</t>
    </rPh>
    <phoneticPr fontId="2"/>
  </si>
  <si>
    <t>建_請求書_大阪_旧2</t>
  </si>
  <si>
    <t>建_請求書_大阪</t>
    <phoneticPr fontId="2"/>
  </si>
  <si>
    <t>建_請求書_大阪 の旧書式を非表示、請求日のリンク漏れ対応</t>
    <rPh sb="0" eb="1">
      <t>ケン</t>
    </rPh>
    <rPh sb="2" eb="5">
      <t>セイキュウショ</t>
    </rPh>
    <rPh sb="6" eb="8">
      <t>オオサカ</t>
    </rPh>
    <rPh sb="10" eb="11">
      <t>キュウ</t>
    </rPh>
    <rPh sb="11" eb="13">
      <t>ショシキ</t>
    </rPh>
    <rPh sb="14" eb="17">
      <t>ヒヒョウジ</t>
    </rPh>
    <rPh sb="18" eb="20">
      <t>セイキュウ</t>
    </rPh>
    <rPh sb="20" eb="21">
      <t>ビ</t>
    </rPh>
    <rPh sb="25" eb="26">
      <t>モ</t>
    </rPh>
    <rPh sb="27" eb="29">
      <t>タイオウ</t>
    </rPh>
    <phoneticPr fontId="2"/>
  </si>
  <si>
    <t>建_請求書_大阪2_旧</t>
  </si>
  <si>
    <t>建_請求書_大阪2</t>
    <rPh sb="6" eb="8">
      <t>オオサカ</t>
    </rPh>
    <phoneticPr fontId="2"/>
  </si>
  <si>
    <t>建_請求書_大阪2の差替え対応</t>
    <rPh sb="0" eb="1">
      <t>ケン</t>
    </rPh>
    <rPh sb="2" eb="5">
      <t>セイキュウショ</t>
    </rPh>
    <rPh sb="6" eb="8">
      <t>オオサカ</t>
    </rPh>
    <rPh sb="10" eb="12">
      <t>サシカ</t>
    </rPh>
    <rPh sb="13" eb="15">
      <t>タイオウ</t>
    </rPh>
    <phoneticPr fontId="2"/>
  </si>
  <si>
    <t>建_請求書_大阪2：担当者のリンク漏れを修正</t>
    <rPh sb="0" eb="1">
      <t>ケン</t>
    </rPh>
    <rPh sb="2" eb="5">
      <t>セイキュウショ</t>
    </rPh>
    <rPh sb="6" eb="8">
      <t>オオサカ</t>
    </rPh>
    <rPh sb="10" eb="13">
      <t>タントウシャ</t>
    </rPh>
    <rPh sb="17" eb="18">
      <t>モ</t>
    </rPh>
    <rPh sb="20" eb="22">
      <t>シュウセイ</t>
    </rPh>
    <phoneticPr fontId="2"/>
  </si>
  <si>
    <t>建_請求書_大阪、建_請求書_大阪2の旧書式を削除</t>
    <rPh sb="19" eb="22">
      <t>キュウショシキ</t>
    </rPh>
    <rPh sb="23" eb="25">
      <t>サクジョ</t>
    </rPh>
    <phoneticPr fontId="2"/>
  </si>
  <si>
    <t>理事長　橋本　公博</t>
    <phoneticPr fontId="2"/>
  </si>
  <si>
    <t>dSTR_OFFICE_info　日本建築センターの理事長名を、2016/06/13切替で橋本　公博に変更</t>
    <phoneticPr fontId="2"/>
  </si>
  <si>
    <t>理事長　小林　典雄</t>
    <phoneticPr fontId="2"/>
  </si>
  <si>
    <t>一般財団法人 長野県建築住宅センター 理事長名変更</t>
    <phoneticPr fontId="2"/>
  </si>
  <si>
    <t>理事長　鵜山 克己</t>
    <phoneticPr fontId="2"/>
  </si>
  <si>
    <t>理事長　鵜山 克己</t>
    <phoneticPr fontId="2"/>
  </si>
  <si>
    <t>千葉県建設技術センター　理事長名変更</t>
    <rPh sb="0" eb="3">
      <t>チバケン</t>
    </rPh>
    <rPh sb="3" eb="5">
      <t>ケンセツ</t>
    </rPh>
    <rPh sb="5" eb="7">
      <t>ギジュツ</t>
    </rPh>
    <rPh sb="12" eb="15">
      <t>リジチョウ</t>
    </rPh>
    <rPh sb="15" eb="16">
      <t>メイ</t>
    </rPh>
    <rPh sb="16" eb="18">
      <t>ヘンコウ</t>
    </rPh>
    <phoneticPr fontId="2"/>
  </si>
  <si>
    <t>三重県2</t>
    <phoneticPr fontId="2"/>
  </si>
  <si>
    <t>三重県建設技術センター　完全一致の文言が異なっていた為、理事長名が出ていない問題を修正</t>
    <rPh sb="0" eb="7">
      <t>ミエケンケンセツギジュツ</t>
    </rPh>
    <rPh sb="12" eb="14">
      <t>カンゼン</t>
    </rPh>
    <rPh sb="14" eb="16">
      <t>イッチ</t>
    </rPh>
    <rPh sb="17" eb="19">
      <t>ブンゲン</t>
    </rPh>
    <rPh sb="20" eb="21">
      <t>コト</t>
    </rPh>
    <rPh sb="26" eb="27">
      <t>タメ</t>
    </rPh>
    <rPh sb="28" eb="31">
      <t>リジチョウ</t>
    </rPh>
    <rPh sb="31" eb="32">
      <t>メイ</t>
    </rPh>
    <rPh sb="33" eb="34">
      <t>デ</t>
    </rPh>
    <rPh sb="38" eb="40">
      <t>モンダイ</t>
    </rPh>
    <rPh sb="41" eb="43">
      <t>シュウセイ</t>
    </rPh>
    <phoneticPr fontId="2"/>
  </si>
  <si>
    <t>中間、完了引受承諾書　文言変更 振込期日の文言を削除</t>
    <rPh sb="0" eb="2">
      <t>チュウカン</t>
    </rPh>
    <rPh sb="3" eb="5">
      <t>カンリョウ</t>
    </rPh>
    <rPh sb="5" eb="7">
      <t>ヒキウケ</t>
    </rPh>
    <rPh sb="7" eb="9">
      <t>ショウダク</t>
    </rPh>
    <rPh sb="9" eb="10">
      <t>ショ</t>
    </rPh>
    <rPh sb="11" eb="13">
      <t>モンゴン</t>
    </rPh>
    <rPh sb="13" eb="15">
      <t>ヘンコウ</t>
    </rPh>
    <rPh sb="16" eb="18">
      <t>フリコミ</t>
    </rPh>
    <rPh sb="18" eb="20">
      <t>キジツ</t>
    </rPh>
    <rPh sb="21" eb="23">
      <t>モンゴン</t>
    </rPh>
    <rPh sb="24" eb="26">
      <t>サクジョ</t>
    </rPh>
    <phoneticPr fontId="2"/>
  </si>
  <si>
    <t>1=東京, 2=大阪, 4=九州</t>
    <rPh sb="2" eb="4">
      <t>トウキョウ</t>
    </rPh>
    <rPh sb="8" eb="10">
      <t>オオサカ</t>
    </rPh>
    <rPh sb="14" eb="16">
      <t>キュウシュウ</t>
    </rPh>
    <phoneticPr fontId="2"/>
  </si>
  <si>
    <t>振込確認表：完了検査日の出力処理を東京も日付を出力する様に修正</t>
    <rPh sb="0" eb="5">
      <t>フリコミカクニンヒョウ</t>
    </rPh>
    <rPh sb="6" eb="11">
      <t>カンリョウケンサビ</t>
    </rPh>
    <rPh sb="12" eb="14">
      <t>シュツリョク</t>
    </rPh>
    <rPh sb="14" eb="16">
      <t>ショリ</t>
    </rPh>
    <rPh sb="17" eb="19">
      <t>トウキョウ</t>
    </rPh>
    <rPh sb="20" eb="22">
      <t>ヒヅケ</t>
    </rPh>
    <rPh sb="23" eb="25">
      <t>シュツリョク</t>
    </rPh>
    <rPh sb="27" eb="28">
      <t>ヨウ</t>
    </rPh>
    <rPh sb="29" eb="31">
      <t>シュウセイ</t>
    </rPh>
    <phoneticPr fontId="2"/>
  </si>
  <si>
    <t>UPDATE TEST</t>
    <phoneticPr fontId="2"/>
  </si>
  <si>
    <t>大規模の修繕</t>
  </si>
  <si>
    <t>大規模の模様替え</t>
  </si>
  <si>
    <t>大規模な → 大規模の に修正</t>
    <rPh sb="0" eb="3">
      <t>ダイキボ</t>
    </rPh>
    <rPh sb="7" eb="10">
      <t>ダイキボ</t>
    </rPh>
    <rPh sb="13" eb="15">
      <t>シュウセイ</t>
    </rPh>
    <phoneticPr fontId="2"/>
  </si>
  <si>
    <t>報告書宛先　御殿場市かつ工作物であれば、「御殿場市長」行きに設定</t>
    <rPh sb="0" eb="3">
      <t>ホウコクショ</t>
    </rPh>
    <rPh sb="3" eb="5">
      <t>アテサキ</t>
    </rPh>
    <rPh sb="6" eb="10">
      <t>ゴテンバシ</t>
    </rPh>
    <rPh sb="12" eb="15">
      <t>コウサクブツ</t>
    </rPh>
    <rPh sb="21" eb="26">
      <t>ゴテンバシチョウ</t>
    </rPh>
    <rPh sb="27" eb="28">
      <t>イ</t>
    </rPh>
    <rPh sb="30" eb="32">
      <t>セッテイ</t>
    </rPh>
    <phoneticPr fontId="2"/>
  </si>
  <si>
    <t>中間・完了引受承諾書の※手数料欄の部分のセル結合を解除</t>
    <rPh sb="0" eb="2">
      <t>チュウカン</t>
    </rPh>
    <rPh sb="3" eb="5">
      <t>カンリョウ</t>
    </rPh>
    <rPh sb="5" eb="7">
      <t>ヒキウケ</t>
    </rPh>
    <rPh sb="7" eb="9">
      <t>ショウダク</t>
    </rPh>
    <rPh sb="9" eb="10">
      <t>ショ</t>
    </rPh>
    <rPh sb="12" eb="15">
      <t>テスウリョウ</t>
    </rPh>
    <rPh sb="15" eb="16">
      <t>ラン</t>
    </rPh>
    <rPh sb="17" eb="19">
      <t>ブブン</t>
    </rPh>
    <rPh sb="22" eb="24">
      <t>ケツゴウ</t>
    </rPh>
    <rPh sb="25" eb="27">
      <t>カイジョ</t>
    </rPh>
    <phoneticPr fontId="2"/>
  </si>
  <si>
    <t>建築主１～建築主９（様付）※ 建築主間もスペース区切り</t>
    <rPh sb="0" eb="2">
      <t>ケンチク</t>
    </rPh>
    <rPh sb="2" eb="3">
      <t>ヌシ</t>
    </rPh>
    <rPh sb="5" eb="7">
      <t>ケンチク</t>
    </rPh>
    <rPh sb="7" eb="8">
      <t>ヌシ</t>
    </rPh>
    <rPh sb="10" eb="11">
      <t>サマ</t>
    </rPh>
    <rPh sb="11" eb="12">
      <t>ツ</t>
    </rPh>
    <rPh sb="15" eb="18">
      <t>ケンチクヌシ</t>
    </rPh>
    <rPh sb="18" eb="19">
      <t>カン</t>
    </rPh>
    <rPh sb="24" eb="26">
      <t>クギ</t>
    </rPh>
    <phoneticPr fontId="2"/>
  </si>
  <si>
    <t>建築主１～建築主９（様付）※ 建築主間は改行コード区切り</t>
    <rPh sb="0" eb="2">
      <t>ケンチク</t>
    </rPh>
    <rPh sb="2" eb="3">
      <t>ヌシ</t>
    </rPh>
    <rPh sb="5" eb="7">
      <t>ケンチク</t>
    </rPh>
    <rPh sb="7" eb="8">
      <t>ヌシ</t>
    </rPh>
    <rPh sb="10" eb="11">
      <t>サマ</t>
    </rPh>
    <rPh sb="11" eb="12">
      <t>ツ</t>
    </rPh>
    <rPh sb="15" eb="18">
      <t>ケンチクヌシ</t>
    </rPh>
    <rPh sb="18" eb="19">
      <t>カン</t>
    </rPh>
    <rPh sb="20" eb="22">
      <t>カイギョウ</t>
    </rPh>
    <rPh sb="25" eb="27">
      <t>クギ</t>
    </rPh>
    <phoneticPr fontId="2"/>
  </si>
  <si>
    <t>cst_owner_all__space_space_sama</t>
    <phoneticPr fontId="2"/>
  </si>
  <si>
    <t>chng_OWNER_renmei_one_space__issue</t>
    <phoneticPr fontId="2"/>
  </si>
  <si>
    <t>検査申請請求書の建築主欄を連名対応</t>
    <rPh sb="0" eb="4">
      <t>ケンサシンセイ</t>
    </rPh>
    <rPh sb="4" eb="7">
      <t>セイキュウショ</t>
    </rPh>
    <rPh sb="8" eb="11">
      <t>ケンチクヌシ</t>
    </rPh>
    <rPh sb="11" eb="12">
      <t>ラン</t>
    </rPh>
    <rPh sb="13" eb="15">
      <t>レンメイ</t>
    </rPh>
    <rPh sb="15" eb="17">
      <t>タイオウ</t>
    </rPh>
    <phoneticPr fontId="2"/>
  </si>
  <si>
    <t>cst_shinsei_TOKKI_JIKOU__dsp2</t>
    <phoneticPr fontId="2"/>
  </si>
  <si>
    <t>検査済証の項番６のレイアウトの修正</t>
    <rPh sb="0" eb="4">
      <t>ケンサズミショウ</t>
    </rPh>
    <rPh sb="5" eb="7">
      <t>コウバン</t>
    </rPh>
    <rPh sb="15" eb="17">
      <t>シュウセイ</t>
    </rPh>
    <phoneticPr fontId="2"/>
  </si>
  <si>
    <t>各報告書の下部の会社名の右側に支店情報の出力を追加</t>
    <rPh sb="0" eb="4">
      <t>カクホウコクショ</t>
    </rPh>
    <rPh sb="5" eb="7">
      <t>カブ</t>
    </rPh>
    <rPh sb="8" eb="11">
      <t>カイシャメイ</t>
    </rPh>
    <rPh sb="12" eb="14">
      <t>ミギガワ</t>
    </rPh>
    <rPh sb="15" eb="17">
      <t>シテン</t>
    </rPh>
    <rPh sb="17" eb="19">
      <t>ジョウホウ</t>
    </rPh>
    <rPh sb="20" eb="22">
      <t>シュツリョク</t>
    </rPh>
    <rPh sb="23" eb="25">
      <t>ツイカ</t>
    </rPh>
    <phoneticPr fontId="2"/>
  </si>
  <si>
    <t>検査引受承諾書：物件名の追加</t>
    <rPh sb="0" eb="7">
      <t>ケンサヒキウケショウダクショ</t>
    </rPh>
    <rPh sb="8" eb="11">
      <t>ブッケンメイ</t>
    </rPh>
    <rPh sb="12" eb="14">
      <t>ツイカ</t>
    </rPh>
    <phoneticPr fontId="2"/>
  </si>
  <si>
    <t>昇降機の定格速度（cst_shinsei_ev_EV_SPEED）に3000/2000と入力するパターンに対応</t>
    <rPh sb="0" eb="3">
      <t>ショウコウキ</t>
    </rPh>
    <rPh sb="4" eb="8">
      <t>テイカクソクド</t>
    </rPh>
    <rPh sb="44" eb="46">
      <t>ニュウリョク</t>
    </rPh>
    <rPh sb="53" eb="55">
      <t>タイオウ</t>
    </rPh>
    <phoneticPr fontId="2"/>
  </si>
  <si>
    <t>※ cst_shinsei_ev_EV_SPEEDの表示形式を文字列に変更</t>
    <rPh sb="26" eb="30">
      <t>ヒョウジケイシキ</t>
    </rPh>
    <rPh sb="31" eb="34">
      <t>モジレツ</t>
    </rPh>
    <rPh sb="35" eb="37">
      <t>ヘンコウ</t>
    </rPh>
    <phoneticPr fontId="2"/>
  </si>
  <si>
    <t>検査引受承諾書：手数料欄の右側のセル結合を文字の書込ができる様に解除</t>
    <rPh sb="0" eb="7">
      <t>ケンサヒキウケショウダクショ</t>
    </rPh>
    <rPh sb="8" eb="12">
      <t>テスウリョウラン</t>
    </rPh>
    <rPh sb="13" eb="15">
      <t>ミギガワ</t>
    </rPh>
    <rPh sb="18" eb="20">
      <t>ケツゴウ</t>
    </rPh>
    <rPh sb="21" eb="23">
      <t>モジ</t>
    </rPh>
    <rPh sb="24" eb="26">
      <t>カキコミ</t>
    </rPh>
    <rPh sb="30" eb="31">
      <t>ヨウ</t>
    </rPh>
    <rPh sb="32" eb="34">
      <t>カイジョ</t>
    </rPh>
    <phoneticPr fontId="2"/>
  </si>
  <si>
    <t>代表取締役　相良　敏行</t>
  </si>
  <si>
    <t>適判機関：建築まちづくりセンターの理事長名が追加されていなかったのを修正</t>
    <rPh sb="0" eb="4">
      <t>テキハンキカン</t>
    </rPh>
    <rPh sb="5" eb="7">
      <t>ケンチク</t>
    </rPh>
    <rPh sb="17" eb="21">
      <t>リジチョウメイ</t>
    </rPh>
    <rPh sb="22" eb="24">
      <t>ツイカ</t>
    </rPh>
    <rPh sb="34" eb="36">
      <t>シュウセイ</t>
    </rPh>
    <phoneticPr fontId="2"/>
  </si>
  <si>
    <t>適判機関：九州住宅保証株式会社を追加</t>
    <rPh sb="0" eb="4">
      <t>テキハンキカン</t>
    </rPh>
    <rPh sb="16" eb="18">
      <t>ツイカ</t>
    </rPh>
    <phoneticPr fontId="2"/>
  </si>
  <si>
    <t>九州住宅保証</t>
  </si>
  <si>
    <t>建築主：会社名のみの場合に敬称（様）が付かないのを修正</t>
    <rPh sb="0" eb="3">
      <t>ケンチクヌシ</t>
    </rPh>
    <rPh sb="4" eb="7">
      <t>カイシャメイ</t>
    </rPh>
    <rPh sb="10" eb="12">
      <t>バアイ</t>
    </rPh>
    <rPh sb="13" eb="15">
      <t>ケイショウ</t>
    </rPh>
    <rPh sb="16" eb="17">
      <t>サマ</t>
    </rPh>
    <rPh sb="19" eb="20">
      <t>ツ</t>
    </rPh>
    <rPh sb="25" eb="27">
      <t>シュウセイ</t>
    </rPh>
    <phoneticPr fontId="2"/>
  </si>
  <si>
    <t>となります。）、処分の取消しの訴えを提起することができます（なお、この通知又は裁決の送達を受けた日の翌日から起算して６か月以内であつても、処分又は裁決の日から１年を経過すると処分の取消しの訴えを提起することができなくなります。）。</t>
    <phoneticPr fontId="2"/>
  </si>
  <si>
    <t>できない旨　文言変更対応</t>
    <phoneticPr fontId="2"/>
  </si>
  <si>
    <t>に対して審査請求をすることができます（なお、この通知を受けた日の翌日から起算して３か月以内であつても、処分の日から１年を経過すると審査請求をすることができなくなります。）。また、この通知を受けた日（当該処分につき審査請求をした場合においては、これに対する裁決の送達を受けた日）の翌日から起算して６か月以内に</t>
    <phoneticPr fontId="2"/>
  </si>
  <si>
    <t>確認決裁書 差し替え及び　大阪を両面印刷可能な設定へ変更</t>
    <rPh sb="6" eb="7">
      <t>サ</t>
    </rPh>
    <rPh sb="8" eb="9">
      <t>カ</t>
    </rPh>
    <rPh sb="10" eb="11">
      <t>オヨ</t>
    </rPh>
    <rPh sb="13" eb="15">
      <t>オオサカ</t>
    </rPh>
    <rPh sb="16" eb="18">
      <t>リョウメン</t>
    </rPh>
    <rPh sb="18" eb="20">
      <t>インサツ</t>
    </rPh>
    <rPh sb="20" eb="22">
      <t>カノウ</t>
    </rPh>
    <rPh sb="23" eb="25">
      <t>セッテイ</t>
    </rPh>
    <rPh sb="26" eb="28">
      <t>ヘンコウ</t>
    </rPh>
    <phoneticPr fontId="2"/>
  </si>
  <si>
    <t>確認決裁書_1704</t>
    <phoneticPr fontId="2"/>
  </si>
  <si>
    <t>確認決裁書 (表面のみ)_1704</t>
    <phoneticPr fontId="2"/>
  </si>
  <si>
    <t>理事長 栁澤  一正</t>
    <rPh sb="0" eb="3">
      <t>リジチョウ</t>
    </rPh>
    <rPh sb="5" eb="6">
      <t>タク</t>
    </rPh>
    <rPh sb="8" eb="10">
      <t>カズマサ</t>
    </rPh>
    <phoneticPr fontId="2"/>
  </si>
  <si>
    <t>さいたまセンターの代表者名の漢字間違い（正：理事長 栁澤 一正）</t>
    <rPh sb="9" eb="12">
      <t>ダイヒョウシャ</t>
    </rPh>
    <rPh sb="12" eb="13">
      <t>メイ</t>
    </rPh>
    <rPh sb="14" eb="18">
      <t>カンジマチガ</t>
    </rPh>
    <rPh sb="20" eb="21">
      <t>セイ</t>
    </rPh>
    <rPh sb="22" eb="25">
      <t>リジチョウ</t>
    </rPh>
    <phoneticPr fontId="2"/>
  </si>
  <si>
    <t>■ 消防同意：京都市対応</t>
    <rPh sb="2" eb="6">
      <t>ショウボウドウイ</t>
    </rPh>
    <rPh sb="7" eb="10">
      <t>キョウトシ</t>
    </rPh>
    <rPh sb="10" eb="12">
      <t>タイオウ</t>
    </rPh>
    <phoneticPr fontId="2"/>
  </si>
  <si>
    <t>cst_shinsei_DOUI_kyoto_city</t>
  </si>
  <si>
    <t>消防同意依頼書：京都市対応</t>
    <rPh sb="0" eb="7">
      <t>ショウボウドウイイライショ</t>
    </rPh>
    <rPh sb="8" eb="11">
      <t>キョウトシ</t>
    </rPh>
    <rPh sb="11" eb="13">
      <t>タイオウ</t>
    </rPh>
    <phoneticPr fontId="2"/>
  </si>
  <si>
    <t>理事長　宗野　義潔</t>
    <phoneticPr fontId="2"/>
  </si>
  <si>
    <t>公益財団法人 兵庫県住宅建築総合センター　理事長変更</t>
    <phoneticPr fontId="2"/>
  </si>
  <si>
    <t>理事長 祖父江 隆弘</t>
    <rPh sb="9" eb="10">
      <t>ヒロ</t>
    </rPh>
    <phoneticPr fontId="2"/>
  </si>
  <si>
    <t>愛知県建築住宅センターの理事長名修正</t>
    <rPh sb="0" eb="7">
      <t>アイチケンケンチクジュウタク</t>
    </rPh>
    <rPh sb="12" eb="16">
      <t>リジチョウメイ</t>
    </rPh>
    <rPh sb="16" eb="18">
      <t>シュウセイ</t>
    </rPh>
    <phoneticPr fontId="2"/>
  </si>
  <si>
    <t>cst_TOKUREI_56</t>
    <phoneticPr fontId="2"/>
  </si>
  <si>
    <t>平成29年7月1日以降　代表社名を非表示設定および各帳票レイアウト変更</t>
    <rPh sb="0" eb="2">
      <t>ヘイセイ</t>
    </rPh>
    <rPh sb="4" eb="5">
      <t>ネン</t>
    </rPh>
    <rPh sb="6" eb="7">
      <t>ガツ</t>
    </rPh>
    <rPh sb="8" eb="9">
      <t>ヒ</t>
    </rPh>
    <rPh sb="9" eb="11">
      <t>イコウ</t>
    </rPh>
    <rPh sb="12" eb="14">
      <t>ダイヒョウ</t>
    </rPh>
    <rPh sb="14" eb="16">
      <t>シャメイ</t>
    </rPh>
    <rPh sb="17" eb="20">
      <t>ヒヒョウジ</t>
    </rPh>
    <rPh sb="20" eb="22">
      <t>セッテイ</t>
    </rPh>
    <rPh sb="25" eb="26">
      <t>カク</t>
    </rPh>
    <rPh sb="26" eb="28">
      <t>チョウヒョウ</t>
    </rPh>
    <rPh sb="33" eb="35">
      <t>ヘンコウ</t>
    </rPh>
    <phoneticPr fontId="2"/>
  </si>
  <si>
    <t>タイトル部分のスペース調整、文字の大きさの調整</t>
    <rPh sb="4" eb="6">
      <t>ブブン</t>
    </rPh>
    <rPh sb="11" eb="13">
      <t>チョウセイ</t>
    </rPh>
    <rPh sb="14" eb="16">
      <t>モジ</t>
    </rPh>
    <rPh sb="17" eb="18">
      <t>オオ</t>
    </rPh>
    <rPh sb="21" eb="23">
      <t>チョウセイ</t>
    </rPh>
    <phoneticPr fontId="2"/>
  </si>
  <si>
    <t>理事長　井上　一朗</t>
    <rPh sb="0" eb="3">
      <t>リジチョウ</t>
    </rPh>
    <rPh sb="4" eb="6">
      <t>イノウエ</t>
    </rPh>
    <rPh sb="7" eb="9">
      <t>イチロウ</t>
    </rPh>
    <phoneticPr fontId="2"/>
  </si>
  <si>
    <t>日本建築総合試験所　理事長変更</t>
    <rPh sb="0" eb="9">
      <t>ニホンケンチクソウゴウシケンショ</t>
    </rPh>
    <rPh sb="10" eb="13">
      <t>リジチョウ</t>
    </rPh>
    <rPh sb="13" eb="15">
      <t>ヘンコウ</t>
    </rPh>
    <phoneticPr fontId="2"/>
  </si>
  <si>
    <t>理事長 脊戸　俊介</t>
    <phoneticPr fontId="2"/>
  </si>
  <si>
    <t>理事長 田辺　清喜</t>
    <phoneticPr fontId="2"/>
  </si>
  <si>
    <t>理事長 小路　芳晴</t>
    <phoneticPr fontId="2"/>
  </si>
  <si>
    <t>一般財団法人 福岡県建築住宅センター 理事長変更</t>
    <rPh sb="19" eb="24">
      <t>リジチョウヘンコウ</t>
    </rPh>
    <phoneticPr fontId="2"/>
  </si>
  <si>
    <t>天空率の表示文言　適用　を削除</t>
    <rPh sb="0" eb="2">
      <t>テンクウ</t>
    </rPh>
    <rPh sb="2" eb="3">
      <t>リツ</t>
    </rPh>
    <rPh sb="4" eb="6">
      <t>ヒョウジ</t>
    </rPh>
    <rPh sb="6" eb="8">
      <t>モンゴン</t>
    </rPh>
    <rPh sb="9" eb="11">
      <t>テキヨウ</t>
    </rPh>
    <rPh sb="13" eb="15">
      <t>サクジョ</t>
    </rPh>
    <phoneticPr fontId="2"/>
  </si>
  <si>
    <t>代表取締役社長　 金谷　輝範</t>
    <phoneticPr fontId="2"/>
  </si>
  <si>
    <t>6/23付け株式会社　都市居住評価センター　代表取締役社長変更</t>
    <rPh sb="4" eb="5">
      <t>ツ</t>
    </rPh>
    <rPh sb="29" eb="31">
      <t>ヘンコウ</t>
    </rPh>
    <phoneticPr fontId="2"/>
  </si>
  <si>
    <t>代表取締役社長　栁澤　恒雄</t>
    <phoneticPr fontId="2"/>
  </si>
  <si>
    <t>6/29付けハウスプラス確認検査株式会社　代表取締役社長変更</t>
    <rPh sb="21" eb="30">
      <t>ダイヒョウトリシマリヤクシャチョウヘンコウ</t>
    </rPh>
    <phoneticPr fontId="2"/>
  </si>
  <si>
    <t>昇降機及び工作物　完了検査報告書　レイアウト調整</t>
    <rPh sb="0" eb="3">
      <t>ショウコウキ</t>
    </rPh>
    <rPh sb="3" eb="4">
      <t>オヨ</t>
    </rPh>
    <rPh sb="5" eb="8">
      <t>コウサクブツ</t>
    </rPh>
    <rPh sb="9" eb="11">
      <t>カンリョウ</t>
    </rPh>
    <rPh sb="11" eb="13">
      <t>ケンサ</t>
    </rPh>
    <rPh sb="13" eb="15">
      <t>ホウコク</t>
    </rPh>
    <rPh sb="15" eb="16">
      <t>ショ</t>
    </rPh>
    <rPh sb="22" eb="24">
      <t>チョウセイ</t>
    </rPh>
    <phoneticPr fontId="2"/>
  </si>
  <si>
    <t>代表者の履歴管理の開始日が現状に合わない場合があるのを修正</t>
    <rPh sb="0" eb="3">
      <t>ダイヒョウシャ</t>
    </rPh>
    <rPh sb="4" eb="8">
      <t>リレキカンリ</t>
    </rPh>
    <rPh sb="9" eb="12">
      <t>カイシビ</t>
    </rPh>
    <rPh sb="13" eb="15">
      <t>ゲンジョウ</t>
    </rPh>
    <rPh sb="16" eb="17">
      <t>ア</t>
    </rPh>
    <rPh sb="20" eb="22">
      <t>バアイ</t>
    </rPh>
    <rPh sb="27" eb="29">
      <t>シュウセイ</t>
    </rPh>
    <phoneticPr fontId="2"/>
  </si>
  <si>
    <t>search_CHARGE_DETAIL_sonotakasan</t>
    <phoneticPr fontId="2"/>
  </si>
  <si>
    <t>search_CHARGE_DETAIL_sonotakasan_fee</t>
    <phoneticPr fontId="2"/>
  </si>
  <si>
    <t>disp_CHARGE_DETAIL_sonotakasan_fee</t>
    <phoneticPr fontId="2"/>
  </si>
  <si>
    <t>その他の加算が選択されているか検索</t>
    <rPh sb="2" eb="3">
      <t>タ</t>
    </rPh>
    <rPh sb="4" eb="6">
      <t>カサン</t>
    </rPh>
    <rPh sb="7" eb="9">
      <t>センタク</t>
    </rPh>
    <rPh sb="15" eb="17">
      <t>ケンサク</t>
    </rPh>
    <phoneticPr fontId="2"/>
  </si>
  <si>
    <t>cellname06</t>
    <phoneticPr fontId="2"/>
  </si>
  <si>
    <t>sonotakasan</t>
  </si>
  <si>
    <t>separate05</t>
    <phoneticPr fontId="2"/>
  </si>
  <si>
    <t>手数料詳細画面の増減項目に追加したリストを引受承諾書に出力する処理を追加</t>
    <rPh sb="0" eb="7">
      <t>テスウリョウショウサイガメン</t>
    </rPh>
    <rPh sb="8" eb="10">
      <t>ゾウゲン</t>
    </rPh>
    <rPh sb="10" eb="12">
      <t>コウモク</t>
    </rPh>
    <rPh sb="13" eb="15">
      <t>ツイカ</t>
    </rPh>
    <rPh sb="21" eb="22">
      <t>ヒ</t>
    </rPh>
    <rPh sb="22" eb="23">
      <t>ウ</t>
    </rPh>
    <rPh sb="23" eb="26">
      <t>ショウダクショ</t>
    </rPh>
    <rPh sb="27" eb="29">
      <t>シュツリョク</t>
    </rPh>
    <rPh sb="31" eb="33">
      <t>ショリ</t>
    </rPh>
    <rPh sb="34" eb="36">
      <t>ツイカ</t>
    </rPh>
    <phoneticPr fontId="2"/>
  </si>
  <si>
    <t>理事長 村岸　明</t>
    <phoneticPr fontId="2"/>
  </si>
  <si>
    <t>一般財団法人 日本建築設備・昇降機センター　理事長変更対応</t>
    <phoneticPr fontId="2"/>
  </si>
  <si>
    <t>cst_shinsei__REPORT_STRUCTRESULT_NOTIFY_RESULT__word</t>
    <phoneticPr fontId="2"/>
  </si>
  <si>
    <t>中間検査決裁書・建築物_審査報告書の依頼を修正</t>
    <rPh sb="0" eb="2">
      <t>チュウカン</t>
    </rPh>
    <rPh sb="2" eb="4">
      <t>ケンサ</t>
    </rPh>
    <rPh sb="4" eb="6">
      <t>ケッサイ</t>
    </rPh>
    <rPh sb="6" eb="7">
      <t>ショ</t>
    </rPh>
    <rPh sb="8" eb="11">
      <t>ケンチクブツ</t>
    </rPh>
    <rPh sb="12" eb="14">
      <t>シンサ</t>
    </rPh>
    <rPh sb="14" eb="17">
      <t>ホウコクショ</t>
    </rPh>
    <rPh sb="18" eb="20">
      <t>イライ</t>
    </rPh>
    <rPh sb="21" eb="23">
      <t>シュウセイ</t>
    </rPh>
    <phoneticPr fontId="2"/>
  </si>
  <si>
    <t>消防同意時の発行者 - 代表者の表示の切替</t>
    <rPh sb="0" eb="4">
      <t>ショウボウドウイ</t>
    </rPh>
    <rPh sb="4" eb="5">
      <t>ジ</t>
    </rPh>
    <rPh sb="6" eb="9">
      <t>ハッコウシャ</t>
    </rPh>
    <rPh sb="12" eb="15">
      <t>ダイヒョウシャ</t>
    </rPh>
    <rPh sb="16" eb="18">
      <t>ヒョウジ</t>
    </rPh>
    <rPh sb="19" eb="21">
      <t>キリカエ</t>
    </rPh>
    <phoneticPr fontId="2"/>
  </si>
  <si>
    <t>※ 2017/07/01 以降は非表示処理に加え、地名地番が東京都の場合は表示する</t>
    <rPh sb="13" eb="15">
      <t>イコウ</t>
    </rPh>
    <rPh sb="16" eb="19">
      <t>ヒヒョウジ</t>
    </rPh>
    <rPh sb="19" eb="21">
      <t>ショリ</t>
    </rPh>
    <rPh sb="22" eb="23">
      <t>クワ</t>
    </rPh>
    <rPh sb="25" eb="29">
      <t>チメイチバン</t>
    </rPh>
    <rPh sb="30" eb="33">
      <t>トウキョウト</t>
    </rPh>
    <rPh sb="34" eb="36">
      <t>バアイ</t>
    </rPh>
    <rPh sb="37" eb="39">
      <t>ヒョウジ</t>
    </rPh>
    <phoneticPr fontId="2"/>
  </si>
  <si>
    <t>cst_shinsei_FIRE_SUBMIT_OFFICE_DAIHYOUSYA</t>
    <phoneticPr fontId="2"/>
  </si>
  <si>
    <t>消防署同意の発行者 - 代表者を東京都の場合は表示する様に修正</t>
    <rPh sb="0" eb="5">
      <t>ショウボウショドウイ</t>
    </rPh>
    <rPh sb="6" eb="9">
      <t>ハッコウシャ</t>
    </rPh>
    <rPh sb="12" eb="15">
      <t>ダイヒョウシャ</t>
    </rPh>
    <rPh sb="16" eb="19">
      <t>トウキョウト</t>
    </rPh>
    <rPh sb="20" eb="22">
      <t>バアイ</t>
    </rPh>
    <rPh sb="23" eb="25">
      <t>ヒョウジ</t>
    </rPh>
    <rPh sb="27" eb="28">
      <t>ヨウ</t>
    </rPh>
    <rPh sb="29" eb="31">
      <t>シュウセイ</t>
    </rPh>
    <phoneticPr fontId="2"/>
  </si>
  <si>
    <t>※ 2017/11/08 東京都に限らずすべての物件において全支店で代表者を表示する様に修正</t>
    <rPh sb="13" eb="16">
      <t>トウキョウト</t>
    </rPh>
    <rPh sb="17" eb="18">
      <t>カギ</t>
    </rPh>
    <rPh sb="24" eb="26">
      <t>ブッケン</t>
    </rPh>
    <rPh sb="30" eb="33">
      <t>ゼンシテン</t>
    </rPh>
    <rPh sb="34" eb="37">
      <t>ダイヒョウシャ</t>
    </rPh>
    <rPh sb="38" eb="40">
      <t>ヒョウジ</t>
    </rPh>
    <rPh sb="42" eb="43">
      <t>ヨウ</t>
    </rPh>
    <rPh sb="44" eb="46">
      <t>シュウセイ</t>
    </rPh>
    <phoneticPr fontId="2"/>
  </si>
  <si>
    <t>消防同意の発行者を東京都に限らずすべての物件において全支店で代表者を表示する様に修正</t>
    <rPh sb="0" eb="4">
      <t>ショウボウドウイ</t>
    </rPh>
    <rPh sb="5" eb="8">
      <t>ハッコウシャ</t>
    </rPh>
    <phoneticPr fontId="2"/>
  </si>
  <si>
    <t>株式会社 建築構造センター 代表者変更対応</t>
  </si>
  <si>
    <t>代表取締役社長 鈴木　宏夫</t>
  </si>
  <si>
    <t>省エネ適判ありが選択されているか検索</t>
    <rPh sb="0" eb="1">
      <t>ショウ</t>
    </rPh>
    <rPh sb="3" eb="5">
      <t>テキハン</t>
    </rPh>
    <rPh sb="8" eb="10">
      <t>センタク</t>
    </rPh>
    <rPh sb="16" eb="18">
      <t>ケンサク</t>
    </rPh>
    <phoneticPr fontId="2"/>
  </si>
  <si>
    <t>search_CHARGE_DETAIL_ecoteki</t>
    <phoneticPr fontId="2"/>
  </si>
  <si>
    <t>search_CHARGE_DETAIL_ecoteki_fee</t>
    <phoneticPr fontId="2"/>
  </si>
  <si>
    <t>disp_CHARGE_DETAIL_ecoteki_fee</t>
    <phoneticPr fontId="2"/>
  </si>
  <si>
    <t>cellname07</t>
    <phoneticPr fontId="2"/>
  </si>
  <si>
    <t>ecoteki</t>
    <phoneticPr fontId="2"/>
  </si>
  <si>
    <t>separate06</t>
    <phoneticPr fontId="2"/>
  </si>
  <si>
    <t>※ 単独でカッコでくくって出力する。</t>
    <rPh sb="2" eb="4">
      <t>タンドク</t>
    </rPh>
    <rPh sb="13" eb="15">
      <t>シュツリョク</t>
    </rPh>
    <phoneticPr fontId="2"/>
  </si>
  <si>
    <t>手数料詳細 - 加減明細に省エネ適判を追加、及び引受承諾書に出力する処理を追加</t>
    <rPh sb="0" eb="5">
      <t>テスウリョウショウサイ</t>
    </rPh>
    <rPh sb="8" eb="12">
      <t>カゲンメイサイ</t>
    </rPh>
    <rPh sb="13" eb="14">
      <t>ショウ</t>
    </rPh>
    <rPh sb="16" eb="18">
      <t>テキハン</t>
    </rPh>
    <rPh sb="19" eb="21">
      <t>ツイカ</t>
    </rPh>
    <rPh sb="22" eb="23">
      <t>オヨ</t>
    </rPh>
    <rPh sb="24" eb="29">
      <t>ヒキウケショウダクショ</t>
    </rPh>
    <rPh sb="30" eb="32">
      <t>シュツリョク</t>
    </rPh>
    <rPh sb="34" eb="36">
      <t>ショリ</t>
    </rPh>
    <rPh sb="37" eb="39">
      <t>ツイカ</t>
    </rPh>
    <phoneticPr fontId="2"/>
  </si>
  <si>
    <t>株式会社 建築構造センターの代表者名を削除</t>
    <rPh sb="14" eb="18">
      <t>ダイヒョウシャメイ</t>
    </rPh>
    <rPh sb="19" eb="21">
      <t>サクジョ</t>
    </rPh>
    <phoneticPr fontId="2"/>
  </si>
  <si>
    <t>約款差し替え（中間・完了含む）</t>
    <rPh sb="0" eb="2">
      <t>ヤッカン</t>
    </rPh>
    <rPh sb="2" eb="3">
      <t>サ</t>
    </rPh>
    <rPh sb="4" eb="5">
      <t>カ</t>
    </rPh>
    <rPh sb="7" eb="9">
      <t>チュウカン</t>
    </rPh>
    <rPh sb="10" eb="12">
      <t>カンリョウ</t>
    </rPh>
    <rPh sb="12" eb="13">
      <t>フク</t>
    </rPh>
    <phoneticPr fontId="2"/>
  </si>
  <si>
    <t>約款差し替え（中間・完了含む）</t>
    <phoneticPr fontId="2"/>
  </si>
  <si>
    <t>審査報告書の誤字を修正（地階の階数が二回記載されていた）</t>
    <rPh sb="0" eb="5">
      <t>シンサホウコクショ</t>
    </rPh>
    <rPh sb="6" eb="8">
      <t>ゴジ</t>
    </rPh>
    <rPh sb="9" eb="11">
      <t>シュウセイ</t>
    </rPh>
    <rPh sb="12" eb="14">
      <t>チカイ</t>
    </rPh>
    <rPh sb="15" eb="17">
      <t>カイスウ</t>
    </rPh>
    <rPh sb="18" eb="20">
      <t>ニカイ</t>
    </rPh>
    <rPh sb="20" eb="22">
      <t>キサイ</t>
    </rPh>
    <phoneticPr fontId="2"/>
  </si>
  <si>
    <t>橋本商会ビル</t>
    <phoneticPr fontId="2"/>
  </si>
  <si>
    <t>九州支店の部屋番号を削除</t>
    <rPh sb="0" eb="4">
      <t>キュウシュウシテン</t>
    </rPh>
    <rPh sb="5" eb="9">
      <t>ヘヤバンゴウ</t>
    </rPh>
    <rPh sb="10" eb="12">
      <t>サクジョ</t>
    </rPh>
    <phoneticPr fontId="2"/>
  </si>
  <si>
    <t>095-829-2292</t>
  </si>
  <si>
    <t>九州支店のFAX番号の修正</t>
    <rPh sb="0" eb="4">
      <t>キュウシュウシテン</t>
    </rPh>
    <rPh sb="8" eb="10">
      <t>バンゴウ</t>
    </rPh>
    <rPh sb="11" eb="13">
      <t>シュウセイ</t>
    </rPh>
    <phoneticPr fontId="2"/>
  </si>
  <si>
    <t>銀行名変更対応</t>
    <rPh sb="0" eb="5">
      <t>ギンコウメイヘンコウ</t>
    </rPh>
    <rPh sb="5" eb="7">
      <t>タイオウ</t>
    </rPh>
    <phoneticPr fontId="2"/>
  </si>
  <si>
    <t>東京案件時：阪神支店でも「東京都引受報告書」を出力する様に修正</t>
    <rPh sb="0" eb="2">
      <t>トウキョウ</t>
    </rPh>
    <rPh sb="2" eb="4">
      <t>アンケン</t>
    </rPh>
    <rPh sb="4" eb="5">
      <t>ジ</t>
    </rPh>
    <rPh sb="6" eb="10">
      <t>ハンシンシテン</t>
    </rPh>
    <rPh sb="23" eb="25">
      <t>シュツリョク</t>
    </rPh>
    <rPh sb="27" eb="28">
      <t>ヨウ</t>
    </rPh>
    <rPh sb="29" eb="31">
      <t>シュウセイ</t>
    </rPh>
    <phoneticPr fontId="2"/>
  </si>
  <si>
    <t>理事長　竹本　明正</t>
  </si>
  <si>
    <t>理事長変更対応</t>
  </si>
  <si>
    <t>消防通知交付者欄に代表者名を追加</t>
    <rPh sb="0" eb="4">
      <t>ショウボウツウチ</t>
    </rPh>
    <rPh sb="4" eb="7">
      <t>コウフシャ</t>
    </rPh>
    <rPh sb="7" eb="8">
      <t>ラン</t>
    </rPh>
    <rPh sb="9" eb="13">
      <t>ダイヒョウシャメイ</t>
    </rPh>
    <rPh sb="14" eb="16">
      <t>ツイカ</t>
    </rPh>
    <phoneticPr fontId="2"/>
  </si>
  <si>
    <t>cst_city_FIRE_STATION_ID__DEST_NAME_ev__disp</t>
    <phoneticPr fontId="2"/>
  </si>
  <si>
    <t>昇降機 - 消防通知：横浜の場合の宛名の処理に様が付加しなかったのを修正</t>
    <rPh sb="0" eb="3">
      <t>ショウコウキ</t>
    </rPh>
    <rPh sb="6" eb="10">
      <t>ショウボウツウチ</t>
    </rPh>
    <rPh sb="11" eb="13">
      <t>ヨコハマ</t>
    </rPh>
    <rPh sb="14" eb="16">
      <t>バアイ</t>
    </rPh>
    <rPh sb="17" eb="19">
      <t>アテナ</t>
    </rPh>
    <rPh sb="20" eb="22">
      <t>ショリ</t>
    </rPh>
    <rPh sb="23" eb="24">
      <t>サマ</t>
    </rPh>
    <rPh sb="25" eb="27">
      <t>フカ</t>
    </rPh>
    <rPh sb="34" eb="36">
      <t>シュウセイ</t>
    </rPh>
    <phoneticPr fontId="2"/>
  </si>
  <si>
    <t xml:space="preserve"> - 様付</t>
    <rPh sb="3" eb="5">
      <t>サマツ</t>
    </rPh>
    <phoneticPr fontId="2"/>
  </si>
  <si>
    <t xml:space="preserve"> - 様付（昇降機 - 通知用）</t>
    <rPh sb="3" eb="5">
      <t>サマツキ</t>
    </rPh>
    <rPh sb="6" eb="9">
      <t>ショウコウキ</t>
    </rPh>
    <rPh sb="12" eb="14">
      <t>ツウチ</t>
    </rPh>
    <rPh sb="14" eb="15">
      <t>ヨウ</t>
    </rPh>
    <phoneticPr fontId="2"/>
  </si>
  <si>
    <t>会長　安齋　俊彦</t>
  </si>
  <si>
    <t>住宅金融普及協会　会長名変更(5/31付け)</t>
  </si>
  <si>
    <t>さいたま住宅検査センター　理事長名変更(6/29付け)</t>
  </si>
  <si>
    <t>理事長 岩﨑　康夫</t>
    <rPh sb="0" eb="3">
      <t>リジチョウ</t>
    </rPh>
    <phoneticPr fontId="2"/>
  </si>
  <si>
    <t>ハウスプラス確認検査　代表取締役社長名変更（6/27付け）</t>
    <rPh sb="6" eb="8">
      <t>カクニン</t>
    </rPh>
    <rPh sb="8" eb="10">
      <t>ケンサ</t>
    </rPh>
    <rPh sb="11" eb="13">
      <t>ダイヒョウ</t>
    </rPh>
    <rPh sb="13" eb="16">
      <t>トリシマリヤク</t>
    </rPh>
    <rPh sb="16" eb="18">
      <t>シャチョウ</t>
    </rPh>
    <rPh sb="18" eb="19">
      <t>メイ</t>
    </rPh>
    <rPh sb="19" eb="21">
      <t>ヘンコウ</t>
    </rPh>
    <rPh sb="26" eb="27">
      <t>ヅ</t>
    </rPh>
    <phoneticPr fontId="2"/>
  </si>
  <si>
    <t>代表取締役社長　吉田　正司</t>
    <rPh sb="0" eb="2">
      <t>ダイヒョウ</t>
    </rPh>
    <rPh sb="2" eb="5">
      <t>トリシマリヤク</t>
    </rPh>
    <rPh sb="5" eb="7">
      <t>シャチョウ</t>
    </rPh>
    <phoneticPr fontId="2"/>
  </si>
  <si>
    <t>消防同意依頼書　連絡先変更、引受報告書　③罫線削除</t>
    <rPh sb="0" eb="2">
      <t>ショウボウ</t>
    </rPh>
    <rPh sb="2" eb="4">
      <t>ドウイ</t>
    </rPh>
    <rPh sb="4" eb="7">
      <t>イライショ</t>
    </rPh>
    <rPh sb="8" eb="10">
      <t>レンラク</t>
    </rPh>
    <rPh sb="10" eb="11">
      <t>サキ</t>
    </rPh>
    <rPh sb="11" eb="13">
      <t>ヘンコウ</t>
    </rPh>
    <rPh sb="14" eb="16">
      <t>ヒキウケ</t>
    </rPh>
    <rPh sb="16" eb="19">
      <t>ホウコクショ</t>
    </rPh>
    <rPh sb="21" eb="23">
      <t>ケイセン</t>
    </rPh>
    <rPh sb="23" eb="25">
      <t>サクジョ</t>
    </rPh>
    <phoneticPr fontId="2"/>
  </si>
  <si>
    <t>木材技術2</t>
    <phoneticPr fontId="2"/>
  </si>
  <si>
    <t>日本住宅・木材技術センター</t>
    <phoneticPr fontId="2"/>
  </si>
  <si>
    <t>AN</t>
    <phoneticPr fontId="2"/>
  </si>
  <si>
    <t>シンイチ</t>
    <phoneticPr fontId="2"/>
  </si>
  <si>
    <t>シンイチ株式会社</t>
    <phoneticPr fontId="2"/>
  </si>
  <si>
    <t>新留 一彦</t>
    <phoneticPr fontId="2"/>
  </si>
  <si>
    <t>dSTR_OFFICE_info 機関名 修正</t>
    <rPh sb="21" eb="23">
      <t>シュウセイ</t>
    </rPh>
    <phoneticPr fontId="2"/>
  </si>
  <si>
    <t>一般財団法人 日本建築センター</t>
    <rPh sb="0" eb="2">
      <t>イッパン</t>
    </rPh>
    <rPh sb="2" eb="4">
      <t>ザイダン</t>
    </rPh>
    <rPh sb="4" eb="6">
      <t>ホウジン</t>
    </rPh>
    <rPh sb="7" eb="9">
      <t>ニホン</t>
    </rPh>
    <rPh sb="9" eb="11">
      <t>ケンチク</t>
    </rPh>
    <phoneticPr fontId="2"/>
  </si>
  <si>
    <t>一般財団法人 日本建築設備・昇降機センター</t>
    <rPh sb="0" eb="2">
      <t>イッパン</t>
    </rPh>
    <rPh sb="2" eb="4">
      <t>ザイダン</t>
    </rPh>
    <rPh sb="4" eb="6">
      <t>ホウジン</t>
    </rPh>
    <rPh sb="7" eb="9">
      <t>ニホン</t>
    </rPh>
    <rPh sb="9" eb="11">
      <t>ケンチク</t>
    </rPh>
    <rPh sb="11" eb="13">
      <t>セツビ</t>
    </rPh>
    <rPh sb="14" eb="17">
      <t>ショウコウキ</t>
    </rPh>
    <phoneticPr fontId="2"/>
  </si>
  <si>
    <t>一般財団法人 ベターリビング</t>
    <rPh sb="0" eb="2">
      <t>イッパン</t>
    </rPh>
    <rPh sb="2" eb="4">
      <t>ザイダン</t>
    </rPh>
    <rPh sb="4" eb="6">
      <t>ホウジン</t>
    </rPh>
    <phoneticPr fontId="2"/>
  </si>
  <si>
    <t>一般財団法人 住宅金融普及協会</t>
    <rPh sb="0" eb="2">
      <t>イッパン</t>
    </rPh>
    <phoneticPr fontId="2"/>
  </si>
  <si>
    <t>公益財団法人 東京都防災・建築まちづくりセンター</t>
    <rPh sb="0" eb="2">
      <t>コウエキ</t>
    </rPh>
    <phoneticPr fontId="2"/>
  </si>
  <si>
    <t>一般財団法人 神奈川県建築安全協会</t>
  </si>
  <si>
    <t>一般財団法人 さいたま住宅検査センター</t>
    <rPh sb="0" eb="2">
      <t>イッパン</t>
    </rPh>
    <phoneticPr fontId="2"/>
  </si>
  <si>
    <t>公益財団法人 千葉県建設技術センター</t>
    <rPh sb="0" eb="2">
      <t>コウエキ</t>
    </rPh>
    <phoneticPr fontId="2"/>
  </si>
  <si>
    <t>一般財団法人 茨城県建築センター</t>
  </si>
  <si>
    <t>特定非営利活動法人 静岡県建築技術安心支援センター</t>
  </si>
  <si>
    <t>株式会社 都市居住評価センター</t>
  </si>
  <si>
    <t>ビューローベリタスジャパン株式会社</t>
  </si>
  <si>
    <t>株式会社 建築構造センター</t>
  </si>
  <si>
    <t>株式会社 グッド・アイズ建築検査機構</t>
  </si>
  <si>
    <t>株式会社 東京建築検査機構</t>
  </si>
  <si>
    <t>株式会社 神奈川建築確認検査機関</t>
  </si>
  <si>
    <t>一般社団法人 日本膜構造協会</t>
    <rPh sb="0" eb="2">
      <t>イッパン</t>
    </rPh>
    <phoneticPr fontId="2"/>
  </si>
  <si>
    <t>一般財団法人 愛知県建築住宅センター</t>
  </si>
  <si>
    <t>公益財団法人 三重県建設技術センター</t>
    <rPh sb="0" eb="2">
      <t>コウエキ</t>
    </rPh>
    <phoneticPr fontId="2"/>
  </si>
  <si>
    <t>一般財団法人 日本建築総合試験所</t>
  </si>
  <si>
    <t>公益財団法人 兵庫県住宅建築総合センター</t>
    <rPh sb="0" eb="2">
      <t>コウエキ</t>
    </rPh>
    <phoneticPr fontId="2"/>
  </si>
  <si>
    <t>一般財団法人 群馬県建築構造技術センター</t>
  </si>
  <si>
    <t>日本建築検査協会株式会社</t>
    <rPh sb="0" eb="2">
      <t>ニホン</t>
    </rPh>
    <rPh sb="2" eb="4">
      <t>ケンチク</t>
    </rPh>
    <rPh sb="4" eb="6">
      <t>ケンサ</t>
    </rPh>
    <rPh sb="6" eb="8">
      <t>キョウカイ</t>
    </rPh>
    <rPh sb="8" eb="12">
      <t>カブシキガイシャ</t>
    </rPh>
    <phoneticPr fontId="2"/>
  </si>
  <si>
    <t>一般財団法人 長野県建築住宅センター</t>
  </si>
  <si>
    <t>一般財団法人 石川県建築住宅センター</t>
  </si>
  <si>
    <t>一般財団法人 福岡県建築住宅センター</t>
  </si>
  <si>
    <t>一般財団法人 宮城県建築住宅センター</t>
  </si>
  <si>
    <t>九州住宅保証株式会社</t>
  </si>
  <si>
    <t>dSTR_OFFICE_info cst_JUDGE_OFFICE_date_erea__AN  追加</t>
    <rPh sb="49" eb="51">
      <t>ツイカ</t>
    </rPh>
    <phoneticPr fontId="2"/>
  </si>
  <si>
    <t>東京都引受報告書を九州等他支店でも東京都案件の場合に出力できるように修正</t>
    <rPh sb="9" eb="11">
      <t>キュウシュウ</t>
    </rPh>
    <rPh sb="11" eb="12">
      <t>ナド</t>
    </rPh>
    <rPh sb="12" eb="15">
      <t>タシテン</t>
    </rPh>
    <rPh sb="17" eb="20">
      <t>トウキョウト</t>
    </rPh>
    <rPh sb="20" eb="22">
      <t>アンケン</t>
    </rPh>
    <rPh sb="23" eb="25">
      <t>バアイ</t>
    </rPh>
    <rPh sb="26" eb="28">
      <t>シュツリョク</t>
    </rPh>
    <rPh sb="34" eb="36">
      <t>シュウセイ</t>
    </rPh>
    <phoneticPr fontId="2"/>
  </si>
  <si>
    <t>理事長　鈴木　敦夫</t>
    <rPh sb="0" eb="3">
      <t>リジチョウ</t>
    </rPh>
    <rPh sb="4" eb="6">
      <t>スズキ</t>
    </rPh>
    <rPh sb="7" eb="9">
      <t>アツオ</t>
    </rPh>
    <phoneticPr fontId="2"/>
  </si>
  <si>
    <t>NPO法人 静岡県建築技術安心支援センター 理事長名変更（5/31付け）</t>
  </si>
  <si>
    <t>cst_shinsei__REPORT_ISSUE_DATE_2</t>
    <phoneticPr fontId="2"/>
  </si>
  <si>
    <t>年号変更対応</t>
    <rPh sb="0" eb="2">
      <t>ネンゴウ</t>
    </rPh>
    <rPh sb="2" eb="4">
      <t>ヘンコウ</t>
    </rPh>
    <rPh sb="4" eb="6">
      <t>タイオウ</t>
    </rPh>
    <phoneticPr fontId="2"/>
  </si>
  <si>
    <t>三木香澄</t>
    <rPh sb="0" eb="2">
      <t>ミキ</t>
    </rPh>
    <rPh sb="2" eb="4">
      <t>カスミ</t>
    </rPh>
    <phoneticPr fontId="2"/>
  </si>
  <si>
    <t>年号変更対応　修正</t>
    <rPh sb="0" eb="2">
      <t>ネンゴウ</t>
    </rPh>
    <rPh sb="2" eb="4">
      <t>ヘンコウ</t>
    </rPh>
    <rPh sb="4" eb="6">
      <t>タイオウ</t>
    </rPh>
    <rPh sb="7" eb="9">
      <t>シュウセイ</t>
    </rPh>
    <phoneticPr fontId="2"/>
  </si>
  <si>
    <t>マウスカーソルの位置を初期位置に修正</t>
    <phoneticPr fontId="2"/>
  </si>
  <si>
    <t>寺田</t>
    <rPh sb="0" eb="2">
      <t>テラダ</t>
    </rPh>
    <phoneticPr fontId="2"/>
  </si>
  <si>
    <t>確認決裁書 (表面のみ)_1704　照会日の表示形式を日付に変更</t>
    <rPh sb="18" eb="20">
      <t>ショウカイ</t>
    </rPh>
    <rPh sb="20" eb="21">
      <t>ビ</t>
    </rPh>
    <rPh sb="22" eb="24">
      <t>ヒョウジ</t>
    </rPh>
    <rPh sb="24" eb="26">
      <t>ケイシキ</t>
    </rPh>
    <rPh sb="27" eb="29">
      <t>ヒヅケ</t>
    </rPh>
    <rPh sb="30" eb="32">
      <t>ヘンコウ</t>
    </rPh>
    <phoneticPr fontId="2"/>
  </si>
  <si>
    <t>中間・完了引受承諾書、中間・完了引受通知書　建築場所・物件名が見切れないようにセルの調整</t>
    <rPh sb="0" eb="2">
      <t>チュウカン</t>
    </rPh>
    <rPh sb="3" eb="5">
      <t>カンリョウ</t>
    </rPh>
    <rPh sb="5" eb="7">
      <t>ヒキウケ</t>
    </rPh>
    <rPh sb="7" eb="10">
      <t>ショウダクショ</t>
    </rPh>
    <rPh sb="11" eb="13">
      <t>チュウカン</t>
    </rPh>
    <rPh sb="14" eb="16">
      <t>カンリョウ</t>
    </rPh>
    <rPh sb="16" eb="18">
      <t>ヒキウケ</t>
    </rPh>
    <rPh sb="18" eb="20">
      <t>ツウチ</t>
    </rPh>
    <rPh sb="20" eb="21">
      <t>ショ</t>
    </rPh>
    <rPh sb="22" eb="24">
      <t>ケンチク</t>
    </rPh>
    <rPh sb="24" eb="26">
      <t>バショ</t>
    </rPh>
    <rPh sb="27" eb="29">
      <t>ブッケン</t>
    </rPh>
    <rPh sb="29" eb="30">
      <t>メイ</t>
    </rPh>
    <rPh sb="31" eb="33">
      <t>ミキ</t>
    </rPh>
    <rPh sb="42" eb="44">
      <t>チョウセイ</t>
    </rPh>
    <phoneticPr fontId="2"/>
  </si>
  <si>
    <t>中間・完了引受承諾書　手数料振込確認表　引受番号のフォントを14に変更</t>
    <rPh sb="0" eb="2">
      <t>チュウカン</t>
    </rPh>
    <rPh sb="3" eb="5">
      <t>カンリョウ</t>
    </rPh>
    <rPh sb="5" eb="10">
      <t>ヒキウケショウダクショ</t>
    </rPh>
    <rPh sb="11" eb="14">
      <t>テスウリョウ</t>
    </rPh>
    <rPh sb="14" eb="16">
      <t>フリコミ</t>
    </rPh>
    <rPh sb="16" eb="18">
      <t>カクニン</t>
    </rPh>
    <rPh sb="18" eb="19">
      <t>ヒョウ</t>
    </rPh>
    <rPh sb="20" eb="22">
      <t>ヒキウケ</t>
    </rPh>
    <rPh sb="22" eb="24">
      <t>バンゴウ</t>
    </rPh>
    <rPh sb="33" eb="35">
      <t>ヘンコウ</t>
    </rPh>
    <phoneticPr fontId="2"/>
  </si>
  <si>
    <t>中間・完了引受承諾書、中間・完了引受通知書　工事完了予定日・工事終了予定日変更</t>
    <rPh sb="22" eb="24">
      <t>コウジ</t>
    </rPh>
    <rPh sb="24" eb="26">
      <t>カンリョウ</t>
    </rPh>
    <rPh sb="26" eb="28">
      <t>ヨテイ</t>
    </rPh>
    <rPh sb="28" eb="29">
      <t>ビ</t>
    </rPh>
    <rPh sb="30" eb="32">
      <t>コウジ</t>
    </rPh>
    <rPh sb="32" eb="34">
      <t>シュウリョウ</t>
    </rPh>
    <rPh sb="34" eb="36">
      <t>ヨテイ</t>
    </rPh>
    <rPh sb="36" eb="37">
      <t>ビ</t>
    </rPh>
    <rPh sb="37" eb="39">
      <t>ヘンコウ</t>
    </rPh>
    <phoneticPr fontId="2"/>
  </si>
  <si>
    <t>日付表示を元に戻す</t>
    <rPh sb="0" eb="2">
      <t>ヒヅケ</t>
    </rPh>
    <rPh sb="2" eb="4">
      <t>ヒョウジ</t>
    </rPh>
    <rPh sb="5" eb="6">
      <t>モト</t>
    </rPh>
    <rPh sb="7" eb="8">
      <t>モド</t>
    </rPh>
    <phoneticPr fontId="2"/>
  </si>
  <si>
    <t>中間・完了引受通知書　レイアウト調整</t>
    <rPh sb="16" eb="18">
      <t>チョウセイ</t>
    </rPh>
    <phoneticPr fontId="2"/>
  </si>
  <si>
    <t>消防機関同意送付書　日付を上段は同意送付日、下段は空欄で表示に修正</t>
    <rPh sb="10" eb="12">
      <t>ヒヅケ</t>
    </rPh>
    <rPh sb="13" eb="15">
      <t>ジョウダン</t>
    </rPh>
    <rPh sb="16" eb="18">
      <t>ドウイ</t>
    </rPh>
    <rPh sb="18" eb="20">
      <t>ソウフ</t>
    </rPh>
    <rPh sb="20" eb="21">
      <t>ビ</t>
    </rPh>
    <rPh sb="22" eb="24">
      <t>カダン</t>
    </rPh>
    <rPh sb="25" eb="27">
      <t>クウラン</t>
    </rPh>
    <rPh sb="28" eb="30">
      <t>ヒョウジ</t>
    </rPh>
    <rPh sb="31" eb="33">
      <t>シュウセイ</t>
    </rPh>
    <phoneticPr fontId="2"/>
  </si>
  <si>
    <t>引受承諾書　レイアウト調整</t>
    <rPh sb="0" eb="2">
      <t>ヒキウケ</t>
    </rPh>
    <rPh sb="2" eb="5">
      <t>ショウダクショ</t>
    </rPh>
    <rPh sb="11" eb="13">
      <t>チョウセイ</t>
    </rPh>
    <phoneticPr fontId="2"/>
  </si>
  <si>
    <t>建_請求書_東京FAX　直打ちのH（F86）の部分を修正</t>
    <rPh sb="12" eb="14">
      <t>ジカウ</t>
    </rPh>
    <rPh sb="23" eb="25">
      <t>ブブン</t>
    </rPh>
    <rPh sb="26" eb="28">
      <t>シュウセイ</t>
    </rPh>
    <phoneticPr fontId="2"/>
  </si>
  <si>
    <t>理事長　松本　悟</t>
    <phoneticPr fontId="2"/>
  </si>
  <si>
    <t>福岡県建築住宅センター　理事長変更（4/1）</t>
    <rPh sb="0" eb="7">
      <t>フクオカケンケンチクジュウタク</t>
    </rPh>
    <rPh sb="12" eb="17">
      <t>リジチョウヘンコウ</t>
    </rPh>
    <phoneticPr fontId="2"/>
  </si>
  <si>
    <t>ア　設置計画書に加え、消防用設備等の図面を添付する場合</t>
    <rPh sb="2" eb="7">
      <t>セッチケイカクショ</t>
    </rPh>
    <rPh sb="8" eb="9">
      <t>クワ</t>
    </rPh>
    <rPh sb="11" eb="14">
      <t>ショウボウヨウ</t>
    </rPh>
    <rPh sb="14" eb="16">
      <t>セツビ</t>
    </rPh>
    <rPh sb="16" eb="17">
      <t>ナド</t>
    </rPh>
    <rPh sb="18" eb="20">
      <t>ズメン</t>
    </rPh>
    <rPh sb="21" eb="23">
      <t>テンプ</t>
    </rPh>
    <rPh sb="25" eb="27">
      <t>バアイ</t>
    </rPh>
    <phoneticPr fontId="2"/>
  </si>
  <si>
    <t>イ　消防用設備等を設置しないために設置計画書が作成されていない場合</t>
    <rPh sb="2" eb="5">
      <t>ショウボウヨウ</t>
    </rPh>
    <rPh sb="5" eb="7">
      <t>セツビ</t>
    </rPh>
    <rPh sb="7" eb="8">
      <t>ナド</t>
    </rPh>
    <rPh sb="9" eb="11">
      <t>セッチ</t>
    </rPh>
    <rPh sb="17" eb="19">
      <t>セッチ</t>
    </rPh>
    <rPh sb="19" eb="22">
      <t>ケイカクショ</t>
    </rPh>
    <rPh sb="23" eb="25">
      <t>サクセイ</t>
    </rPh>
    <rPh sb="31" eb="33">
      <t>バアイ</t>
    </rPh>
    <phoneticPr fontId="2"/>
  </si>
  <si>
    <t>消防用設備等については、「消防用設備等又は特殊消防用設備等設置計画書」により審査しましたので、確認申請書に添付されている図面のうち消防用設備等の設置位置等を示す内容は、消防同意において参考資料としてください。</t>
    <rPh sb="0" eb="3">
      <t>ショウボウヨウ</t>
    </rPh>
    <rPh sb="3" eb="5">
      <t>セツビ</t>
    </rPh>
    <rPh sb="5" eb="6">
      <t>ナド</t>
    </rPh>
    <rPh sb="13" eb="16">
      <t>ショウボウヨウ</t>
    </rPh>
    <rPh sb="16" eb="18">
      <t>セツビ</t>
    </rPh>
    <rPh sb="18" eb="19">
      <t>ナド</t>
    </rPh>
    <rPh sb="19" eb="20">
      <t>マタ</t>
    </rPh>
    <phoneticPr fontId="2"/>
  </si>
  <si>
    <t>「消防用設備等又は特殊消防用設備等設置計画書」については、消防用設備等を設置しないため、添付されていません。</t>
    <rPh sb="1" eb="6">
      <t>ショウボウヨウセツビ</t>
    </rPh>
    <rPh sb="6" eb="7">
      <t>ナド</t>
    </rPh>
    <rPh sb="7" eb="8">
      <t>マタ</t>
    </rPh>
    <rPh sb="9" eb="14">
      <t>トクシュショウボウヨウ</t>
    </rPh>
    <rPh sb="14" eb="16">
      <t>セツビ</t>
    </rPh>
    <rPh sb="16" eb="17">
      <t>ナド</t>
    </rPh>
    <rPh sb="17" eb="19">
      <t>セッチ</t>
    </rPh>
    <rPh sb="19" eb="22">
      <t>ケイカクショ</t>
    </rPh>
    <rPh sb="29" eb="34">
      <t>ショウボウヨウセツビ</t>
    </rPh>
    <rPh sb="34" eb="35">
      <t>ナド</t>
    </rPh>
    <rPh sb="36" eb="38">
      <t>セッチ</t>
    </rPh>
    <rPh sb="44" eb="46">
      <t>テンプ</t>
    </rPh>
    <phoneticPr fontId="2"/>
  </si>
  <si>
    <t>cst_shinsei_DOUI_kyoto_word__list</t>
    <phoneticPr fontId="2"/>
  </si>
  <si>
    <t>cst_shinsei_DOUI_kyoto_word__link</t>
    <phoneticPr fontId="2"/>
  </si>
  <si>
    <t>cst_shinsei_DOUI_kyoto_word__4</t>
    <phoneticPr fontId="2"/>
  </si>
  <si>
    <t>cst_shinsei_DOUI_kyoto_word__2</t>
    <phoneticPr fontId="2"/>
  </si>
  <si>
    <t>cst_shinsei_DOUI_kyoto_word__3</t>
    <phoneticPr fontId="2"/>
  </si>
  <si>
    <t>cst_shinsei_DOUI_kyoto_word__result</t>
    <phoneticPr fontId="2"/>
  </si>
  <si>
    <t>京都市の場合の消防同意依頼書のその他欄の出力を三者択一に変更</t>
    <rPh sb="0" eb="3">
      <t>キョウトシ</t>
    </rPh>
    <rPh sb="4" eb="6">
      <t>バアイ</t>
    </rPh>
    <rPh sb="7" eb="11">
      <t>ショウボウドウイ</t>
    </rPh>
    <rPh sb="11" eb="14">
      <t>イライショ</t>
    </rPh>
    <rPh sb="17" eb="18">
      <t>タ</t>
    </rPh>
    <rPh sb="18" eb="19">
      <t>ラン</t>
    </rPh>
    <rPh sb="20" eb="22">
      <t>シュツリョク</t>
    </rPh>
    <rPh sb="23" eb="27">
      <t>サンシャタクイツ</t>
    </rPh>
    <rPh sb="28" eb="30">
      <t>ヘンコウ</t>
    </rPh>
    <phoneticPr fontId="2"/>
  </si>
  <si>
    <t>松葉</t>
    <rPh sb="0" eb="2">
      <t>マツバ</t>
    </rPh>
    <phoneticPr fontId="2"/>
  </si>
  <si>
    <t>cst_shinsei_DOUI_kyoto_mes</t>
    <phoneticPr fontId="2"/>
  </si>
  <si>
    <t>※文中の日付は係る確認の同意依頼日を用いる</t>
    <rPh sb="1" eb="3">
      <t>ブンチュウ</t>
    </rPh>
    <rPh sb="4" eb="6">
      <t>ヒヅケ</t>
    </rPh>
    <rPh sb="7" eb="8">
      <t>カカ</t>
    </rPh>
    <rPh sb="9" eb="11">
      <t>カクニン</t>
    </rPh>
    <rPh sb="12" eb="14">
      <t>ドウイ</t>
    </rPh>
    <rPh sb="14" eb="16">
      <t>イライ</t>
    </rPh>
    <rPh sb="16" eb="17">
      <t>ビ</t>
    </rPh>
    <rPh sb="18" eb="19">
      <t>モチ</t>
    </rPh>
    <phoneticPr fontId="2"/>
  </si>
  <si>
    <t>**kakaru_shinsei_FIRE_SUBMIT_DATE</t>
    <phoneticPr fontId="2"/>
  </si>
  <si>
    <t>cst_kakaru_shinsei_FIRE_SUBMIT_DATE__ge</t>
  </si>
  <si>
    <t>cst_kakaru_shinsei_FIRE_SUBMIT_DATE__m</t>
  </si>
  <si>
    <t>cst_kakaru_shinsei_FIRE_SUBMIT_DATE__d</t>
  </si>
  <si>
    <t xml:space="preserve"> - 消防同意依頼日</t>
    <rPh sb="3" eb="5">
      <t>ショウボウ</t>
    </rPh>
    <rPh sb="5" eb="7">
      <t>ドウイ</t>
    </rPh>
    <rPh sb="7" eb="10">
      <t>イライビ</t>
    </rPh>
    <phoneticPr fontId="2"/>
  </si>
  <si>
    <t>※ 計画変更時に表示</t>
    <rPh sb="2" eb="7">
      <t>ケイカクヘンコウジ</t>
    </rPh>
    <rPh sb="8" eb="10">
      <t>ヒョウジ</t>
    </rPh>
    <phoneticPr fontId="2"/>
  </si>
  <si>
    <t>※ 京都市の場合のその他に記載する文言を選択する項目</t>
  </si>
  <si>
    <t>消防同意依頼書 - 京都市の場合のその他の文言選択</t>
    <rPh sb="0" eb="7">
      <t>ショウボウドウイイライショ</t>
    </rPh>
    <rPh sb="10" eb="13">
      <t>キョウトシ</t>
    </rPh>
    <rPh sb="14" eb="16">
      <t>バアイ</t>
    </rPh>
    <rPh sb="19" eb="20">
      <t>タ</t>
    </rPh>
    <rPh sb="21" eb="25">
      <t>モンゴンセンタク</t>
    </rPh>
    <phoneticPr fontId="2"/>
  </si>
  <si>
    <t>チェックシート - 入力チェックに京都市の消防同意の場合の入力を促す項目を追加</t>
    <rPh sb="10" eb="12">
      <t>ニュウリョク</t>
    </rPh>
    <rPh sb="17" eb="20">
      <t>キョウトシ</t>
    </rPh>
    <rPh sb="21" eb="25">
      <t>ショウボウドウイ</t>
    </rPh>
    <rPh sb="26" eb="28">
      <t>バアイ</t>
    </rPh>
    <rPh sb="29" eb="31">
      <t>ニュウリョク</t>
    </rPh>
    <rPh sb="32" eb="33">
      <t>ウナガ</t>
    </rPh>
    <rPh sb="34" eb="36">
      <t>コウモク</t>
    </rPh>
    <rPh sb="37" eb="39">
      <t>ツイカ</t>
    </rPh>
    <phoneticPr fontId="2"/>
  </si>
  <si>
    <t>◇ 検査申請時の係る確認申請情報</t>
    <rPh sb="2" eb="6">
      <t>ケンサシンセイ</t>
    </rPh>
    <rPh sb="6" eb="7">
      <t>ジ</t>
    </rPh>
    <rPh sb="8" eb="9">
      <t>カカ</t>
    </rPh>
    <rPh sb="10" eb="12">
      <t>カクニン</t>
    </rPh>
    <rPh sb="12" eb="14">
      <t>シンセイ</t>
    </rPh>
    <rPh sb="14" eb="16">
      <t>ジョウホウ</t>
    </rPh>
    <phoneticPr fontId="2"/>
  </si>
  <si>
    <t xml:space="preserve"> - 受付日</t>
    <rPh sb="3" eb="6">
      <t>ウケツケビ</t>
    </rPh>
    <phoneticPr fontId="2"/>
  </si>
  <si>
    <t xml:space="preserve"> - 引受日</t>
    <rPh sb="3" eb="5">
      <t>ヒキウケ</t>
    </rPh>
    <rPh sb="5" eb="6">
      <t>ビ</t>
    </rPh>
    <phoneticPr fontId="2"/>
  </si>
  <si>
    <t xml:space="preserve"> - 引受番号</t>
    <rPh sb="3" eb="5">
      <t>ヒキウケ</t>
    </rPh>
    <rPh sb="5" eb="7">
      <t>バンゴウ</t>
    </rPh>
    <phoneticPr fontId="2"/>
  </si>
  <si>
    <t xml:space="preserve"> - 種別</t>
    <phoneticPr fontId="2"/>
  </si>
  <si>
    <t xml:space="preserve"> - 確認済証交付日</t>
    <phoneticPr fontId="2"/>
  </si>
  <si>
    <t xml:space="preserve"> - 確認済証番号</t>
    <phoneticPr fontId="2"/>
  </si>
  <si>
    <t xml:space="preserve"> - 確認済証交付者</t>
    <phoneticPr fontId="2"/>
  </si>
  <si>
    <t>◇ 計画変更時の係る確認申請情報</t>
    <rPh sb="2" eb="6">
      <t>ケイカクヘンコウ</t>
    </rPh>
    <rPh sb="6" eb="7">
      <t>ジ</t>
    </rPh>
    <rPh sb="8" eb="9">
      <t>カカ</t>
    </rPh>
    <rPh sb="10" eb="12">
      <t>カクニン</t>
    </rPh>
    <rPh sb="12" eb="14">
      <t>シンセイ</t>
    </rPh>
    <rPh sb="14" eb="16">
      <t>ジョウホウ</t>
    </rPh>
    <phoneticPr fontId="2"/>
  </si>
  <si>
    <t>確認済証交付日</t>
  </si>
  <si>
    <t>確認済証交付番号</t>
  </si>
  <si>
    <t>確認済証交付者（会社＋代表者）</t>
  </si>
  <si>
    <t>◇ 計画変更時の直前の確認データ</t>
  </si>
  <si>
    <t>計画変更 - 直前の確認データ - 交付日</t>
  </si>
  <si>
    <t>計画変更 - 直前の確認データ - 交付番号</t>
  </si>
  <si>
    <t>計画変更 - 直前の確認データ - 交付者</t>
  </si>
  <si>
    <t>計画変更 - 直前の確認データ - 行政経由番号</t>
  </si>
  <si>
    <t>入力欄：</t>
    <rPh sb="0" eb="3">
      <t>ニュウリョクラン</t>
    </rPh>
    <phoneticPr fontId="2"/>
  </si>
  <si>
    <t>消防同意依頼日</t>
    <rPh sb="0" eb="2">
      <t>ショウボウ</t>
    </rPh>
    <rPh sb="2" eb="4">
      <t>ドウイ</t>
    </rPh>
    <rPh sb="4" eb="7">
      <t>イライビ</t>
    </rPh>
    <phoneticPr fontId="2"/>
  </si>
  <si>
    <t>**cyokuzen_shinsei_FIRE_SUBMIT_DATE</t>
    <phoneticPr fontId="2"/>
  </si>
  <si>
    <t>cst_cyokuzen_shinsei_FIRE_SUBMIT_DATE__ge</t>
    <phoneticPr fontId="2"/>
  </si>
  <si>
    <t>cst_cyokuzen_shinsei_FIRE_SUBMIT_DATE__d</t>
    <phoneticPr fontId="2"/>
  </si>
  <si>
    <t>cyokuzen_shinsei_ISSUE_DATE</t>
    <phoneticPr fontId="2"/>
  </si>
  <si>
    <t>cyokuzen_shinsei_ISSUE_NO</t>
    <phoneticPr fontId="2"/>
  </si>
  <si>
    <t>cyokuzen_shinsei_ISSUE_KOUFU_NAME</t>
    <phoneticPr fontId="2"/>
  </si>
  <si>
    <t>cyokuzen_shinsei_KAKUNINZUMI_HOUKOKU_GYOSEI_NO</t>
    <phoneticPr fontId="2"/>
  </si>
  <si>
    <t>cst_cyokuzen_shinsei_FIRE_SUBMIT_DATE__m</t>
    <phoneticPr fontId="2"/>
  </si>
  <si>
    <t>cst_shinsei_HIKIUKE_DATE__change_disp</t>
    <phoneticPr fontId="2"/>
  </si>
  <si>
    <t>cst_shinsei_UKETUKE_NO__change_disp</t>
    <phoneticPr fontId="2"/>
  </si>
  <si>
    <t>cst_shinsei_HIKIUKE_DATE__cons_disp</t>
    <phoneticPr fontId="2"/>
  </si>
  <si>
    <t>決裁書にある「平成」を5月1日まではブランクにする様に修正</t>
    <rPh sb="0" eb="3">
      <t>ケッサイショ</t>
    </rPh>
    <rPh sb="7" eb="9">
      <t>ヘイセイ</t>
    </rPh>
    <rPh sb="12" eb="13">
      <t>ガツ</t>
    </rPh>
    <rPh sb="14" eb="15">
      <t>ニチ</t>
    </rPh>
    <rPh sb="25" eb="26">
      <t>ヨウ</t>
    </rPh>
    <rPh sb="27" eb="29">
      <t>シュウセイ</t>
    </rPh>
    <phoneticPr fontId="2"/>
  </si>
  <si>
    <t>事前預かり時に出力するため、引受日、引受番号は空欄になるため固定文字を出力する様に修正</t>
    <rPh sb="0" eb="3">
      <t>ジゼンアズ</t>
    </rPh>
    <rPh sb="5" eb="6">
      <t>ジ</t>
    </rPh>
    <rPh sb="7" eb="9">
      <t>シュツリョク</t>
    </rPh>
    <rPh sb="14" eb="17">
      <t>ヒキウケビ</t>
    </rPh>
    <rPh sb="18" eb="22">
      <t>ヒキウケバンゴウ</t>
    </rPh>
    <rPh sb="23" eb="25">
      <t>クウラン</t>
    </rPh>
    <rPh sb="30" eb="34">
      <t>コテイモジ</t>
    </rPh>
    <rPh sb="35" eb="37">
      <t>シュツリョク</t>
    </rPh>
    <rPh sb="39" eb="40">
      <t>ヨウ</t>
    </rPh>
    <rPh sb="41" eb="43">
      <t>シュウセイ</t>
    </rPh>
    <phoneticPr fontId="2"/>
  </si>
  <si>
    <t>1:東京本社, 2:大阪本店, 3:阪神支店, 4:九州支店, 5:東北支店</t>
  </si>
  <si>
    <t>cst_DISP__date_190430</t>
    <phoneticPr fontId="2"/>
  </si>
  <si>
    <t>決裁書：受付番号欄の処理を受付番号が未入力の場合は空欄に変更</t>
    <rPh sb="0" eb="3">
      <t>ケッサイショ</t>
    </rPh>
    <rPh sb="4" eb="8">
      <t>ウケツケバンゴウ</t>
    </rPh>
    <rPh sb="8" eb="9">
      <t>ラン</t>
    </rPh>
    <rPh sb="10" eb="12">
      <t>ショリ</t>
    </rPh>
    <rPh sb="13" eb="15">
      <t>ウケツケ</t>
    </rPh>
    <rPh sb="15" eb="17">
      <t>バンゴウ</t>
    </rPh>
    <rPh sb="18" eb="21">
      <t>ミニュウリョク</t>
    </rPh>
    <rPh sb="22" eb="24">
      <t>バアイ</t>
    </rPh>
    <rPh sb="25" eb="27">
      <t>クウラン</t>
    </rPh>
    <rPh sb="28" eb="30">
      <t>ヘンコウ</t>
    </rPh>
    <phoneticPr fontId="2"/>
  </si>
  <si>
    <t>昇降機決裁書：消防通知日欄は消防通知日とリンクする様に変更</t>
    <rPh sb="0" eb="3">
      <t>ショウコウキ</t>
    </rPh>
    <rPh sb="3" eb="6">
      <t>ケッサイショ</t>
    </rPh>
    <rPh sb="7" eb="12">
      <t>ショウボウツウチビ</t>
    </rPh>
    <rPh sb="12" eb="13">
      <t>ラン</t>
    </rPh>
    <rPh sb="14" eb="19">
      <t>ショウボウツウチビ</t>
    </rPh>
    <rPh sb="25" eb="26">
      <t>ヨウ</t>
    </rPh>
    <rPh sb="27" eb="29">
      <t>ヘンコウ</t>
    </rPh>
    <phoneticPr fontId="2"/>
  </si>
  <si>
    <t>※ 5月になれば上記を元に戻す</t>
    <rPh sb="3" eb="4">
      <t>ガツ</t>
    </rPh>
    <rPh sb="8" eb="10">
      <t>ジョウキ</t>
    </rPh>
    <rPh sb="11" eb="12">
      <t>モト</t>
    </rPh>
    <rPh sb="13" eb="14">
      <t>モド</t>
    </rPh>
    <phoneticPr fontId="2"/>
  </si>
  <si>
    <t>昇降路構造検討による加算が選択されているか検索</t>
    <rPh sb="13" eb="15">
      <t>センタク</t>
    </rPh>
    <rPh sb="21" eb="23">
      <t>ケンサク</t>
    </rPh>
    <phoneticPr fontId="2"/>
  </si>
  <si>
    <t>search_CHARGE_DETAIL_shoukouki_kouzou_kentou</t>
    <phoneticPr fontId="2"/>
  </si>
  <si>
    <t>search_CHARGE_DETAIL_shoukouki_kouzou_kentou_fee</t>
    <phoneticPr fontId="2"/>
  </si>
  <si>
    <t>disp_CHARGE_DETAIL_shoukouki_kouzou_kentou_fee</t>
    <phoneticPr fontId="2"/>
  </si>
  <si>
    <t>shoukouki_kouzou_kentou</t>
  </si>
  <si>
    <t>手数料明細に 昇降路構造検討による加算 を追加。引受承諾書に出力</t>
    <rPh sb="0" eb="3">
      <t>テスウリョウ</t>
    </rPh>
    <rPh sb="3" eb="5">
      <t>メイサイ</t>
    </rPh>
    <rPh sb="21" eb="23">
      <t>ツイカ</t>
    </rPh>
    <rPh sb="24" eb="29">
      <t>ヒキウケショウダクショ</t>
    </rPh>
    <rPh sb="30" eb="32">
      <t>シュツリョク</t>
    </rPh>
    <phoneticPr fontId="2"/>
  </si>
  <si>
    <t>確認決裁書(EV)  構造審査欄の斜線の削除</t>
    <rPh sb="11" eb="13">
      <t>コウゾウ</t>
    </rPh>
    <rPh sb="13" eb="15">
      <t>シンサ</t>
    </rPh>
    <rPh sb="15" eb="16">
      <t>ラン</t>
    </rPh>
    <rPh sb="17" eb="19">
      <t>シャセン</t>
    </rPh>
    <rPh sb="20" eb="22">
      <t>サクジョ</t>
    </rPh>
    <phoneticPr fontId="2"/>
  </si>
  <si>
    <t>令和対応</t>
    <rPh sb="0" eb="4">
      <t>レイワタイオウ</t>
    </rPh>
    <phoneticPr fontId="2"/>
  </si>
  <si>
    <t>■ 引受承諾書送付書</t>
    <rPh sb="2" eb="7">
      <t>ヒキウケショウダクショ</t>
    </rPh>
    <rPh sb="7" eb="9">
      <t>ソウフ</t>
    </rPh>
    <rPh sb="9" eb="10">
      <t>ショ</t>
    </rPh>
    <phoneticPr fontId="2"/>
  </si>
  <si>
    <t>項番1の出力処理</t>
    <rPh sb="0" eb="2">
      <t>コウバン</t>
    </rPh>
    <rPh sb="4" eb="8">
      <t>シュツリョクショリ</t>
    </rPh>
    <phoneticPr fontId="2"/>
  </si>
  <si>
    <t>項番3の出力処理</t>
    <rPh sb="0" eb="2">
      <t>コウバン</t>
    </rPh>
    <rPh sb="4" eb="8">
      <t>シュツリョクショリ</t>
    </rPh>
    <phoneticPr fontId="2"/>
  </si>
  <si>
    <t>cst_shinsei_HIKIUKE_numer1_word</t>
  </si>
  <si>
    <t>cst_shinsei_HIKIUKE_numer1_year</t>
  </si>
  <si>
    <t>cst_shinsei_HIKIUKE_numer3_word</t>
    <phoneticPr fontId="2"/>
  </si>
  <si>
    <t>cst_shinsei_HIKIUKE_numer3_year</t>
    <phoneticPr fontId="2"/>
  </si>
  <si>
    <t>令和対応する場合の練習</t>
    <rPh sb="0" eb="2">
      <t>レイワ</t>
    </rPh>
    <rPh sb="2" eb="4">
      <t>タイオウ</t>
    </rPh>
    <rPh sb="6" eb="8">
      <t>バアイ</t>
    </rPh>
    <rPh sb="9" eb="11">
      <t>レンシュウ</t>
    </rPh>
    <phoneticPr fontId="2"/>
  </si>
  <si>
    <t>※ 各日付ごとに処理を作っておかないと即対応はできない事が判明</t>
    <rPh sb="2" eb="5">
      <t>カクヒヅケ</t>
    </rPh>
    <rPh sb="8" eb="10">
      <t>ショリ</t>
    </rPh>
    <rPh sb="11" eb="12">
      <t>ツク</t>
    </rPh>
    <rPh sb="19" eb="22">
      <t>ソクタイオウ</t>
    </rPh>
    <rPh sb="27" eb="28">
      <t>コト</t>
    </rPh>
    <rPh sb="29" eb="31">
      <t>ハンメイ</t>
    </rPh>
    <phoneticPr fontId="2"/>
  </si>
  <si>
    <t>決裁書の日付処理が間違っていたのを修正</t>
    <rPh sb="0" eb="3">
      <t>ケッサイショ</t>
    </rPh>
    <rPh sb="4" eb="6">
      <t>ヒヅケ</t>
    </rPh>
    <rPh sb="6" eb="8">
      <t>ショリ</t>
    </rPh>
    <rPh sb="9" eb="11">
      <t>マチガ</t>
    </rPh>
    <rPh sb="17" eb="19">
      <t>シュウセイ</t>
    </rPh>
    <phoneticPr fontId="2"/>
  </si>
  <si>
    <t>決裁書：文字切れなどの修正</t>
    <rPh sb="0" eb="3">
      <t>ケッサイショ</t>
    </rPh>
    <rPh sb="4" eb="7">
      <t>モジギ</t>
    </rPh>
    <rPh sb="11" eb="13">
      <t>シュウセイ</t>
    </rPh>
    <phoneticPr fontId="2"/>
  </si>
  <si>
    <t>理事長　竹前　俊雄</t>
  </si>
  <si>
    <t>長野県建築住宅センター理事長名変更（2019/5/29付け）</t>
    <phoneticPr fontId="2"/>
  </si>
  <si>
    <t>理事長　三浦　俊德</t>
    <phoneticPr fontId="2"/>
  </si>
  <si>
    <t>宮城県建築住宅センター　理事長名変更（2019/6/18付け）</t>
  </si>
  <si>
    <t>　下記による確認申請書は、下記の理由により建築基準法第６条第１項（同法第６条の４第１項の規定により読み替えて適用される同法第６条第１項）の建築基準関係規定に適合するかどうかを決定することができないので、同法第6条の2第4項（同法第87条第1項、第87条の4又は第88条第1項若しくは第2項において準用する場合を含む。）の規定により通知します。
　</t>
    <phoneticPr fontId="10"/>
  </si>
  <si>
    <t>　別添の確認申請書及び添付図書に記載の計画は、下記の理由により建築基準法第6条第1項（同法第6条の4第1項の規定により読み替えて適用される同法第6条第1項）の建築基準関係規定に適合しないことを認めましたので、同条第4項（同法第87条第1項、第87条の4又は第88条第1項若しくは第2項において準用する場合を含む。）の規定により通知します。　</t>
    <phoneticPr fontId="10"/>
  </si>
  <si>
    <t>「建築基準法第87条の2」を「建築基準法第87条の4」に変更</t>
  </si>
  <si>
    <t>理事長　星　和彦</t>
    <phoneticPr fontId="2"/>
  </si>
  <si>
    <t>一般財団法人 群馬県建築構造技術センター　理事長名を変更</t>
    <phoneticPr fontId="2"/>
  </si>
  <si>
    <t>※ 中間・完了引受承諾書で使用中</t>
    <rPh sb="2" eb="4">
      <t>チュウカン</t>
    </rPh>
    <rPh sb="5" eb="7">
      <t>カンリョウ</t>
    </rPh>
    <rPh sb="7" eb="12">
      <t>ヒキウケショウダクショ</t>
    </rPh>
    <rPh sb="13" eb="16">
      <t>シヨウチュウ</t>
    </rPh>
    <phoneticPr fontId="2"/>
  </si>
  <si>
    <t>※ 確認用</t>
    <rPh sb="2" eb="4">
      <t>カクニン</t>
    </rPh>
    <rPh sb="4" eb="5">
      <t>ヨウ</t>
    </rPh>
    <phoneticPr fontId="2"/>
  </si>
  <si>
    <t>※ 完了検査引受書用を作成する必要がある。</t>
    <rPh sb="2" eb="6">
      <t>カンリョウケンサ</t>
    </rPh>
    <rPh sb="6" eb="9">
      <t>ヒキウケショ</t>
    </rPh>
    <rPh sb="9" eb="10">
      <t>ヨウ</t>
    </rPh>
    <rPh sb="11" eb="13">
      <t>サクセイ</t>
    </rPh>
    <rPh sb="15" eb="17">
      <t>ヒツヨウ</t>
    </rPh>
    <phoneticPr fontId="2"/>
  </si>
  <si>
    <t xml:space="preserve">   全社対応</t>
    <rPh sb="3" eb="5">
      <t>ゼンシャ</t>
    </rPh>
    <rPh sb="5" eb="7">
      <t>タイオウ</t>
    </rPh>
    <phoneticPr fontId="2"/>
  </si>
  <si>
    <t>※ 完了引受承諾書用に追加作成</t>
    <rPh sb="2" eb="4">
      <t>カンリョウ</t>
    </rPh>
    <rPh sb="4" eb="9">
      <t>ヒキウケショウダクショ</t>
    </rPh>
    <rPh sb="9" eb="10">
      <t>ヨウ</t>
    </rPh>
    <rPh sb="11" eb="13">
      <t>ツイカ</t>
    </rPh>
    <rPh sb="13" eb="15">
      <t>サクセイ</t>
    </rPh>
    <phoneticPr fontId="2"/>
  </si>
  <si>
    <t>search_CHARGE_DETAIL_kanryou_fee</t>
    <phoneticPr fontId="2"/>
  </si>
  <si>
    <t>cellname28</t>
    <phoneticPr fontId="2"/>
  </si>
  <si>
    <t>separate27</t>
    <phoneticPr fontId="2"/>
  </si>
  <si>
    <t>kensa_shuchou</t>
    <phoneticPr fontId="2"/>
  </si>
  <si>
    <t>search_CHARGE_DETAIL_kensa_shuchou_fee</t>
  </si>
  <si>
    <t>disp_CHARGE_DETAIL_kensa_shuchou_fee</t>
  </si>
  <si>
    <t>search_CHARGE_DETAIL_shuchou</t>
  </si>
  <si>
    <t>search_CHARGE_DETAIL_kensa_shuchou</t>
  </si>
  <si>
    <t>output_CHARGE_DETAIL_kanryou_fee</t>
    <phoneticPr fontId="2"/>
  </si>
  <si>
    <t>完了検査引受承諾証の手数料明細の内訳を修正</t>
    <rPh sb="10" eb="13">
      <t>テスウリョウ</t>
    </rPh>
    <rPh sb="13" eb="15">
      <t>メイサイ</t>
    </rPh>
    <rPh sb="16" eb="18">
      <t>ウチワケ</t>
    </rPh>
    <rPh sb="19" eb="21">
      <t>シュウセイ</t>
    </rPh>
    <phoneticPr fontId="2"/>
  </si>
  <si>
    <t>振込確認票の手数料明細の内訳を修正</t>
    <rPh sb="0" eb="5">
      <t>フリコミカクニンヒョウ</t>
    </rPh>
    <rPh sb="6" eb="11">
      <t>テスウリョウメイサイ</t>
    </rPh>
    <rPh sb="12" eb="14">
      <t>ウチワケ</t>
    </rPh>
    <rPh sb="15" eb="17">
      <t>シュウセイ</t>
    </rPh>
    <phoneticPr fontId="2"/>
  </si>
  <si>
    <t>代表取締役社長 濵田　信彦</t>
  </si>
  <si>
    <t>株式会社 東京建築検査機構　代表取締役社長変更（2019/8/22付け）</t>
  </si>
  <si>
    <t>541-0046</t>
    <phoneticPr fontId="2"/>
  </si>
  <si>
    <t>大阪市中央区平野町3丁目6番1号</t>
    <phoneticPr fontId="2"/>
  </si>
  <si>
    <t>あいおいニッセイ同和損保御堂筋ビル9階</t>
    <phoneticPr fontId="2"/>
  </si>
  <si>
    <t>大阪支店住所変更（10/15）</t>
    <rPh sb="0" eb="2">
      <t>オオサカ</t>
    </rPh>
    <rPh sb="2" eb="4">
      <t>シテン</t>
    </rPh>
    <rPh sb="4" eb="6">
      <t>ジュウショ</t>
    </rPh>
    <rPh sb="6" eb="8">
      <t>ヘンコウ</t>
    </rPh>
    <phoneticPr fontId="2"/>
  </si>
  <si>
    <t>info@c-ias.co.jp</t>
    <phoneticPr fontId="2"/>
  </si>
  <si>
    <t>osaka@c-ias.co.jp</t>
  </si>
  <si>
    <t>kyusyu@c-ias.co.jp</t>
  </si>
  <si>
    <t>メールアドレス変更対応</t>
    <rPh sb="7" eb="9">
      <t>ヘンコウ</t>
    </rPh>
    <rPh sb="9" eb="11">
      <t>タイオウ</t>
    </rPh>
    <phoneticPr fontId="2"/>
  </si>
  <si>
    <t>消防通知書　下部住所のリンク先修正、セルの結合の幅を広げて住所のフォントが小さくならないように修正</t>
    <rPh sb="0" eb="2">
      <t>ショウボウ</t>
    </rPh>
    <rPh sb="2" eb="5">
      <t>ツウチショ</t>
    </rPh>
    <rPh sb="6" eb="8">
      <t>カブ</t>
    </rPh>
    <rPh sb="8" eb="10">
      <t>ジュウショ</t>
    </rPh>
    <rPh sb="14" eb="15">
      <t>サキ</t>
    </rPh>
    <rPh sb="15" eb="17">
      <t>シュウセイ</t>
    </rPh>
    <rPh sb="21" eb="23">
      <t>ケツゴウ</t>
    </rPh>
    <rPh sb="24" eb="25">
      <t>ハバ</t>
    </rPh>
    <rPh sb="26" eb="27">
      <t>ヒロ</t>
    </rPh>
    <rPh sb="29" eb="31">
      <t>ジュウショ</t>
    </rPh>
    <rPh sb="37" eb="38">
      <t>チイ</t>
    </rPh>
    <rPh sb="47" eb="49">
      <t>シュウセイ</t>
    </rPh>
    <phoneticPr fontId="2"/>
  </si>
  <si>
    <t>64bit対応化</t>
    <rPh sb="5" eb="8">
      <t>タイオウカ</t>
    </rPh>
    <phoneticPr fontId="2"/>
  </si>
  <si>
    <t>送付書担当者の所属を東京本社の場合を修正</t>
    <rPh sb="0" eb="3">
      <t>ソウフショ</t>
    </rPh>
    <rPh sb="3" eb="6">
      <t>タントウシャ</t>
    </rPh>
    <rPh sb="7" eb="9">
      <t>ショゾク</t>
    </rPh>
    <rPh sb="10" eb="14">
      <t>トウキョウホンシャ</t>
    </rPh>
    <rPh sb="15" eb="17">
      <t>バアイ</t>
    </rPh>
    <rPh sb="18" eb="20">
      <t>シュウセイ</t>
    </rPh>
    <phoneticPr fontId="2"/>
  </si>
  <si>
    <t>口座一覧</t>
    <rPh sb="0" eb="2">
      <t>コウザ</t>
    </rPh>
    <rPh sb="2" eb="4">
      <t>イチラン</t>
    </rPh>
    <phoneticPr fontId="2"/>
  </si>
  <si>
    <t>りそな・三井住友・みずほ　銀行</t>
  </si>
  <si>
    <t>みずほ・三井住友・三菱UFJ　銀行</t>
    <phoneticPr fontId="2"/>
  </si>
  <si>
    <t>don_OFFICE_ACCOUNT_LIST__print_time</t>
    <phoneticPr fontId="2"/>
  </si>
  <si>
    <t>口座名表示時のコメント</t>
    <rPh sb="0" eb="2">
      <t>コウザ</t>
    </rPh>
    <rPh sb="2" eb="3">
      <t>メイ</t>
    </rPh>
    <rPh sb="3" eb="5">
      <t>ヒョウジ</t>
    </rPh>
    <rPh sb="5" eb="6">
      <t>ジ</t>
    </rPh>
    <phoneticPr fontId="2"/>
  </si>
  <si>
    <t>don_OFFICE_ACCOUNT_LIST_MES__print_time</t>
    <phoneticPr fontId="2"/>
  </si>
  <si>
    <t>　　　　　　　　　　　銀行</t>
  </si>
  <si>
    <t>松葉</t>
    <rPh sb="0" eb="2">
      <t>マツバ</t>
    </rPh>
    <phoneticPr fontId="2"/>
  </si>
  <si>
    <t>中間・完了：引受承諾書、及び請求書の振込金融機関を可変式に変更</t>
    <rPh sb="0" eb="2">
      <t>チュウカン</t>
    </rPh>
    <rPh sb="3" eb="5">
      <t>カンリョウ</t>
    </rPh>
    <rPh sb="6" eb="11">
      <t>ヒキウケショウダクショ</t>
    </rPh>
    <rPh sb="12" eb="13">
      <t>オヨ</t>
    </rPh>
    <rPh sb="14" eb="17">
      <t>セイキュウショ</t>
    </rPh>
    <rPh sb="18" eb="24">
      <t>フリコミキンユウキカン</t>
    </rPh>
    <rPh sb="25" eb="27">
      <t>カヘン</t>
    </rPh>
    <rPh sb="27" eb="28">
      <t>シキ</t>
    </rPh>
    <rPh sb="29" eb="31">
      <t>ヘンコウ</t>
    </rPh>
    <phoneticPr fontId="2"/>
  </si>
  <si>
    <t>みずほ銀行</t>
  </si>
  <si>
    <t>ひとつの金融機関の支店も金融機関名を出力する様に修正</t>
  </si>
  <si>
    <t>し尿浄化槽通知：地名地番の書式を縮小して全体を表示から折り返して全体を表示に変更</t>
    <rPh sb="1" eb="2">
      <t>ニョウ</t>
    </rPh>
    <rPh sb="2" eb="5">
      <t>ジョウカソウ</t>
    </rPh>
    <rPh sb="5" eb="7">
      <t>ツウチ</t>
    </rPh>
    <rPh sb="8" eb="10">
      <t>チメイ</t>
    </rPh>
    <rPh sb="10" eb="12">
      <t>チバン</t>
    </rPh>
    <rPh sb="13" eb="15">
      <t>ショシキ</t>
    </rPh>
    <rPh sb="16" eb="18">
      <t>シュクショウ</t>
    </rPh>
    <rPh sb="20" eb="22">
      <t>ゼンタイ</t>
    </rPh>
    <rPh sb="23" eb="25">
      <t>ヒョウジ</t>
    </rPh>
    <rPh sb="27" eb="28">
      <t>オ</t>
    </rPh>
    <rPh sb="29" eb="30">
      <t>カエ</t>
    </rPh>
    <rPh sb="32" eb="34">
      <t>ゼンタイ</t>
    </rPh>
    <rPh sb="35" eb="37">
      <t>ヒョウジ</t>
    </rPh>
    <rPh sb="38" eb="40">
      <t>ヘンコウ</t>
    </rPh>
    <phoneticPr fontId="2"/>
  </si>
  <si>
    <t>中間検査引受承諾証：特定工程欄を大きくなる様に修正</t>
    <rPh sb="10" eb="14">
      <t>トクテイコウテイ</t>
    </rPh>
    <rPh sb="14" eb="15">
      <t>ラン</t>
    </rPh>
    <rPh sb="16" eb="17">
      <t>オオ</t>
    </rPh>
    <rPh sb="21" eb="22">
      <t>ヨウ</t>
    </rPh>
    <rPh sb="23" eb="25">
      <t>シュウセイ</t>
    </rPh>
    <phoneticPr fontId="2"/>
  </si>
  <si>
    <t>徳永</t>
    <rPh sb="0" eb="2">
      <t>トクナガ</t>
    </rPh>
    <phoneticPr fontId="2"/>
  </si>
  <si>
    <t>確認・中間・完了決裁書　特定行政庁への報告日・引受通知報告日を空欄に変更</t>
    <rPh sb="0" eb="2">
      <t>カクニン</t>
    </rPh>
    <rPh sb="3" eb="5">
      <t>チュウカン</t>
    </rPh>
    <rPh sb="6" eb="8">
      <t>カンリョウ</t>
    </rPh>
    <rPh sb="8" eb="11">
      <t>ケッサイショ</t>
    </rPh>
    <rPh sb="12" eb="14">
      <t>トクテイ</t>
    </rPh>
    <rPh sb="14" eb="16">
      <t>ギョウセイ</t>
    </rPh>
    <rPh sb="16" eb="17">
      <t>チョウ</t>
    </rPh>
    <rPh sb="19" eb="21">
      <t>ホウコク</t>
    </rPh>
    <rPh sb="21" eb="22">
      <t>ビ</t>
    </rPh>
    <rPh sb="23" eb="25">
      <t>ヒキウケ</t>
    </rPh>
    <rPh sb="25" eb="27">
      <t>ツウチ</t>
    </rPh>
    <rPh sb="27" eb="29">
      <t>ホウコク</t>
    </rPh>
    <rPh sb="29" eb="30">
      <t>ビ</t>
    </rPh>
    <rPh sb="31" eb="33">
      <t>クウラン</t>
    </rPh>
    <rPh sb="34" eb="36">
      <t>ヘンコウ</t>
    </rPh>
    <phoneticPr fontId="2"/>
  </si>
  <si>
    <t>東京のみ出力</t>
    <rPh sb="0" eb="2">
      <t>トウキョウ</t>
    </rPh>
    <rPh sb="4" eb="6">
      <t>シュツリョク</t>
    </rPh>
    <phoneticPr fontId="2"/>
  </si>
  <si>
    <t>■ 確認決裁書：特定行政庁への報告 報告日の表示処理</t>
    <rPh sb="8" eb="13">
      <t>トクテイギョウセイチョウ</t>
    </rPh>
    <rPh sb="15" eb="17">
      <t>ホウコク</t>
    </rPh>
    <rPh sb="18" eb="21">
      <t>ホウコクビ</t>
    </rPh>
    <rPh sb="22" eb="26">
      <t>ヒョウジショリ</t>
    </rPh>
    <phoneticPr fontId="2"/>
  </si>
  <si>
    <t>確認決裁書（表面のみ）：特定行政庁への報告　報告日に東京店のみ「月　日」を表示</t>
    <rPh sb="26" eb="28">
      <t>トウキョウ</t>
    </rPh>
    <rPh sb="28" eb="29">
      <t>テン</t>
    </rPh>
    <rPh sb="32" eb="33">
      <t>ガツ</t>
    </rPh>
    <rPh sb="34" eb="35">
      <t>ニチ</t>
    </rPh>
    <rPh sb="37" eb="39">
      <t>ヒョウジ</t>
    </rPh>
    <phoneticPr fontId="2"/>
  </si>
  <si>
    <t>松葉</t>
    <rPh sb="0" eb="2">
      <t>マツバ</t>
    </rPh>
    <phoneticPr fontId="2"/>
  </si>
  <si>
    <t>chng_DAY_MonthDay_disp_tokyo</t>
  </si>
  <si>
    <t>全店</t>
    <rPh sb="0" eb="2">
      <t>ゼンテン</t>
    </rPh>
    <phoneticPr fontId="2"/>
  </si>
  <si>
    <t>chng_DAY_MonthDay_disp</t>
    <phoneticPr fontId="2"/>
  </si>
  <si>
    <t>令和　　年　　月　　日</t>
    <phoneticPr fontId="2"/>
  </si>
  <si>
    <t>中間・完了の決済書の引受通知報告日、特定行政庁報告日に東京店のみ「令和 年 月 日」を表示</t>
    <rPh sb="0" eb="2">
      <t>チュウカン</t>
    </rPh>
    <rPh sb="3" eb="5">
      <t>カンリョウ</t>
    </rPh>
    <rPh sb="6" eb="9">
      <t>ケッサイショ</t>
    </rPh>
    <rPh sb="10" eb="14">
      <t>ヒキウケツウチ</t>
    </rPh>
    <rPh sb="14" eb="17">
      <t>ホウコクビ</t>
    </rPh>
    <rPh sb="18" eb="23">
      <t>トクテイギョウセイチョウ</t>
    </rPh>
    <rPh sb="23" eb="26">
      <t>ホウコクビ</t>
    </rPh>
    <rPh sb="27" eb="30">
      <t>トウキョウテン</t>
    </rPh>
    <rPh sb="33" eb="35">
      <t>レイワ</t>
    </rPh>
    <rPh sb="36" eb="37">
      <t>ネン</t>
    </rPh>
    <rPh sb="38" eb="39">
      <t>ツキ</t>
    </rPh>
    <rPh sb="40" eb="41">
      <t>ヒ</t>
    </rPh>
    <rPh sb="43" eb="45">
      <t>ヒョウジ</t>
    </rPh>
    <phoneticPr fontId="2"/>
  </si>
  <si>
    <t>AO</t>
    <phoneticPr fontId="2"/>
  </si>
  <si>
    <t>AP</t>
    <phoneticPr fontId="2"/>
  </si>
  <si>
    <t>AQ</t>
    <phoneticPr fontId="2"/>
  </si>
  <si>
    <t>アスコ適判株式会社</t>
    <phoneticPr fontId="2"/>
  </si>
  <si>
    <t>代表取締役　白井　成男</t>
    <phoneticPr fontId="2"/>
  </si>
  <si>
    <t>アスコ</t>
    <phoneticPr fontId="2"/>
  </si>
  <si>
    <t>三木香澄</t>
    <rPh sb="0" eb="2">
      <t>ミキ</t>
    </rPh>
    <rPh sb="2" eb="4">
      <t>カスミ</t>
    </rPh>
    <phoneticPr fontId="2"/>
  </si>
  <si>
    <t>dSTR_OFFICE_info　アスコ適判株式会社追加</t>
    <phoneticPr fontId="2"/>
  </si>
  <si>
    <t>理事長 渡邊 克己</t>
    <phoneticPr fontId="2"/>
  </si>
  <si>
    <t>徳永</t>
    <rPh sb="0" eb="2">
      <t>トクナガ</t>
    </rPh>
    <phoneticPr fontId="2"/>
  </si>
  <si>
    <t>公益財団法人　三重県建設技術センターの理事長名を変更（2020/4/1付け）</t>
    <rPh sb="22" eb="23">
      <t>メイ</t>
    </rPh>
    <rPh sb="24" eb="26">
      <t>ヘンコウ</t>
    </rPh>
    <rPh sb="35" eb="36">
      <t>ツ</t>
    </rPh>
    <phoneticPr fontId="2"/>
  </si>
  <si>
    <t>理事長　前田　栄治</t>
    <phoneticPr fontId="2"/>
  </si>
  <si>
    <t>一般財団法人 大阪建築防災センター</t>
    <phoneticPr fontId="2"/>
  </si>
  <si>
    <t>三木香澄</t>
    <rPh sb="0" eb="2">
      <t>ミキ</t>
    </rPh>
    <rPh sb="2" eb="4">
      <t>カスミ</t>
    </rPh>
    <phoneticPr fontId="2"/>
  </si>
  <si>
    <t>一般財団法人 大阪建築防災センター　理事長名変更（2020/5/25付け）</t>
    <rPh sb="18" eb="24">
      <t>リジチョウメイヘンコウ</t>
    </rPh>
    <rPh sb="34" eb="35">
      <t>ツ</t>
    </rPh>
    <phoneticPr fontId="2"/>
  </si>
  <si>
    <t>徳永</t>
    <rPh sb="0" eb="2">
      <t>トクナガ</t>
    </rPh>
    <phoneticPr fontId="2"/>
  </si>
  <si>
    <t>済証　審査報告書　面積のリンクセルに区切りカンマを書式設定</t>
    <rPh sb="0" eb="1">
      <t>スミ</t>
    </rPh>
    <rPh sb="1" eb="2">
      <t>ショウ</t>
    </rPh>
    <rPh sb="3" eb="5">
      <t>シンサ</t>
    </rPh>
    <rPh sb="5" eb="8">
      <t>ホウコクショ</t>
    </rPh>
    <rPh sb="9" eb="11">
      <t>メンセキ</t>
    </rPh>
    <rPh sb="18" eb="20">
      <t>クギ</t>
    </rPh>
    <rPh sb="25" eb="27">
      <t>ショシキ</t>
    </rPh>
    <rPh sb="27" eb="29">
      <t>セッテイ</t>
    </rPh>
    <phoneticPr fontId="2"/>
  </si>
  <si>
    <t>松葉</t>
    <rPh sb="0" eb="2">
      <t>マツバ</t>
    </rPh>
    <phoneticPr fontId="2"/>
  </si>
  <si>
    <t>修正前：cst_shinsei_REPORT_DEST_GYOUSEI_NAME&amp;"　様"</t>
    <rPh sb="0" eb="3">
      <t>シュウセイマエ</t>
    </rPh>
    <phoneticPr fontId="2"/>
  </si>
  <si>
    <t>中間、完了の報告書の宛先のセル名の修正</t>
    <rPh sb="0" eb="2">
      <t>チュウカン</t>
    </rPh>
    <rPh sb="3" eb="5">
      <t>カンリョウ</t>
    </rPh>
    <rPh sb="6" eb="9">
      <t>ホウコクショ</t>
    </rPh>
    <rPh sb="10" eb="12">
      <t>アテサキ</t>
    </rPh>
    <rPh sb="15" eb="16">
      <t>メイ</t>
    </rPh>
    <rPh sb="17" eb="19">
      <t>シュウセイ</t>
    </rPh>
    <phoneticPr fontId="2"/>
  </si>
  <si>
    <t>修正後：cst_shinsei_REPORT_DEST_GYOUSEI_NAME__dsp</t>
    <rPh sb="0" eb="3">
      <t>シュウセイゴ</t>
    </rPh>
    <phoneticPr fontId="2"/>
  </si>
  <si>
    <t>※行政報告先が熊本でその他区分の場合は熊本知事宛になるのを市町村マスタで対応</t>
    <rPh sb="1" eb="6">
      <t>ギョウセイホウコクサキ</t>
    </rPh>
    <rPh sb="7" eb="9">
      <t>クマモト</t>
    </rPh>
    <rPh sb="12" eb="13">
      <t>タ</t>
    </rPh>
    <rPh sb="13" eb="15">
      <t>クブン</t>
    </rPh>
    <rPh sb="16" eb="18">
      <t>バアイ</t>
    </rPh>
    <rPh sb="19" eb="23">
      <t>クマモトチジ</t>
    </rPh>
    <rPh sb="23" eb="24">
      <t>アテ</t>
    </rPh>
    <rPh sb="29" eb="32">
      <t>シチョウソン</t>
    </rPh>
    <rPh sb="36" eb="38">
      <t>タイオウ</t>
    </rPh>
    <phoneticPr fontId="2"/>
  </si>
  <si>
    <t>代表取締役　吉田　勲</t>
    <phoneticPr fontId="2"/>
  </si>
  <si>
    <t>三木香澄</t>
    <rPh sb="0" eb="4">
      <t>ミキカスミ</t>
    </rPh>
    <phoneticPr fontId="2"/>
  </si>
  <si>
    <t>九州住宅保証株式会社　理事長名変更（2020/6/17付け）</t>
    <rPh sb="0" eb="10">
      <t>キュウシュウジュウタクホショウカブシキガイシャ</t>
    </rPh>
    <rPh sb="11" eb="17">
      <t>リジチョウメイヘンコウ</t>
    </rPh>
    <rPh sb="27" eb="28">
      <t>ツ</t>
    </rPh>
    <phoneticPr fontId="2"/>
  </si>
  <si>
    <t>理事長 上谷　宏二</t>
    <phoneticPr fontId="2"/>
  </si>
  <si>
    <t>三木香澄</t>
    <rPh sb="0" eb="2">
      <t>ミキ</t>
    </rPh>
    <rPh sb="2" eb="4">
      <t>カスミ</t>
    </rPh>
    <phoneticPr fontId="2"/>
  </si>
  <si>
    <t>一般財団法人 日本建築総合試験所　理事長名変更（2020/6/22付け）</t>
    <rPh sb="17" eb="23">
      <t>リジチョウメイヘンコウ</t>
    </rPh>
    <rPh sb="33" eb="34">
      <t>ツ</t>
    </rPh>
    <phoneticPr fontId="2"/>
  </si>
  <si>
    <t>松葉</t>
    <rPh sb="0" eb="2">
      <t>マツバ</t>
    </rPh>
    <phoneticPr fontId="2"/>
  </si>
  <si>
    <t>レイアウト変更</t>
    <rPh sb="5" eb="7">
      <t>ヘンコウ</t>
    </rPh>
    <phoneticPr fontId="2"/>
  </si>
  <si>
    <t>64bit対応化</t>
    <rPh sb="5" eb="8">
      <t>タイオウカ</t>
    </rPh>
    <phoneticPr fontId="2"/>
  </si>
  <si>
    <t>寺田</t>
  </si>
  <si>
    <t>dSTR_OFFICE_info　アスコ適判株式会社　代表者変更</t>
  </si>
  <si>
    <t>床面積の合計500㎡超50,000㎡以内における200㎡超の構造棟</t>
    <rPh sb="0" eb="3">
      <t>ユカメンセキ</t>
    </rPh>
    <rPh sb="4" eb="6">
      <t>ゴウケイ</t>
    </rPh>
    <rPh sb="10" eb="11">
      <t>チョウ</t>
    </rPh>
    <rPh sb="18" eb="20">
      <t>イナイ</t>
    </rPh>
    <phoneticPr fontId="2"/>
  </si>
  <si>
    <t>床面積の合計50,000㎡超における200㎡超の構造棟</t>
    <rPh sb="0" eb="3">
      <t>ユカメンセキ</t>
    </rPh>
    <rPh sb="4" eb="6">
      <t>ゴウケイ</t>
    </rPh>
    <rPh sb="13" eb="14">
      <t>チョウ</t>
    </rPh>
    <phoneticPr fontId="2"/>
  </si>
  <si>
    <t>三木香澄</t>
    <rPh sb="0" eb="2">
      <t>ミキ</t>
    </rPh>
    <rPh sb="2" eb="4">
      <t>カスミ</t>
    </rPh>
    <phoneticPr fontId="2"/>
  </si>
  <si>
    <t>請求書差し替え</t>
    <rPh sb="0" eb="3">
      <t>セイキュウショ</t>
    </rPh>
    <rPh sb="3" eb="4">
      <t>サ</t>
    </rPh>
    <rPh sb="5" eb="6">
      <t>カ</t>
    </rPh>
    <phoneticPr fontId="2"/>
  </si>
  <si>
    <t>松葉</t>
    <rPh sb="0" eb="2">
      <t>マツバ</t>
    </rPh>
    <phoneticPr fontId="2"/>
  </si>
  <si>
    <t>銀行口座のレイアウトを修正</t>
    <rPh sb="0" eb="4">
      <t>ギンコウコウザ</t>
    </rPh>
    <rPh sb="11" eb="13">
      <t>シュウセイ</t>
    </rPh>
    <phoneticPr fontId="2"/>
  </si>
  <si>
    <t>三井住友銀行　天満橋支店　　普通預金　№1345770　㈱国際確認検査センター</t>
    <phoneticPr fontId="2"/>
  </si>
  <si>
    <t>りそな銀行　　大阪営業部　  普通預金　№5129632　㈱国際確認検査センター</t>
    <phoneticPr fontId="2"/>
  </si>
  <si>
    <t>みずほ銀行　　大阪中央支店　普通預金　№2800169　㈱国際確認検査センター</t>
    <phoneticPr fontId="2"/>
  </si>
  <si>
    <t>三菱ＵＦＪ銀行　八重洲通支店　普通預金　№1972345　㈱国際確認検査センター</t>
    <phoneticPr fontId="2"/>
  </si>
  <si>
    <t>三井住友銀行　　京橋支店　　　普通預金　№8121546　㈱国際確認検査センター</t>
    <phoneticPr fontId="2"/>
  </si>
  <si>
    <t>みずほ銀行　　　京橋支店　　  普通預金　№2303938　㈱国際確認検査センター</t>
    <phoneticPr fontId="2"/>
  </si>
  <si>
    <t>確認申請手数料減額</t>
    <rPh sb="7" eb="9">
      <t>ゲンガク</t>
    </rPh>
    <phoneticPr fontId="2"/>
  </si>
  <si>
    <t>×（15％・10％・5％）</t>
  </si>
  <si>
    <t>値引きが選択されているか検索</t>
    <rPh sb="0" eb="2">
      <t>ネビ</t>
    </rPh>
    <phoneticPr fontId="2"/>
  </si>
  <si>
    <t>search_CHARGE_DETAIL_waribiki</t>
    <phoneticPr fontId="2"/>
  </si>
  <si>
    <t>search_CHARGE_DETAIL_waribiki_fee</t>
    <phoneticPr fontId="2"/>
  </si>
  <si>
    <t>disp_CHARGE_DETAIL_waribiki_fee</t>
    <phoneticPr fontId="2"/>
  </si>
  <si>
    <t>値引きの出力処理</t>
    <rPh sb="0" eb="2">
      <t>ネビ</t>
    </rPh>
    <rPh sb="4" eb="8">
      <t>シュツリョクショリ</t>
    </rPh>
    <phoneticPr fontId="2"/>
  </si>
  <si>
    <t>cst_CHARGE_DETAIL_waribiki_fee</t>
    <phoneticPr fontId="2"/>
  </si>
  <si>
    <t>松葉</t>
    <rPh sb="0" eb="2">
      <t>マツバ</t>
    </rPh>
    <phoneticPr fontId="2"/>
  </si>
  <si>
    <t>請求書に値引き欄を追加（東京FAX以外）</t>
    <rPh sb="0" eb="3">
      <t>セイキュウショ</t>
    </rPh>
    <rPh sb="4" eb="6">
      <t>ネビ</t>
    </rPh>
    <rPh sb="7" eb="8">
      <t>ラン</t>
    </rPh>
    <rPh sb="9" eb="11">
      <t>ツイカ</t>
    </rPh>
    <rPh sb="12" eb="14">
      <t>トウキョウ</t>
    </rPh>
    <rPh sb="17" eb="19">
      <t>イガイ</t>
    </rPh>
    <phoneticPr fontId="2"/>
  </si>
  <si>
    <t>位置</t>
    <rPh sb="0" eb="2">
      <t>イチ</t>
    </rPh>
    <phoneticPr fontId="2"/>
  </si>
  <si>
    <t>松葉</t>
    <rPh sb="0" eb="2">
      <t>マツバ</t>
    </rPh>
    <phoneticPr fontId="2"/>
  </si>
  <si>
    <t>値引き欄の処理を作成</t>
    <rPh sb="0" eb="2">
      <t>ネビ</t>
    </rPh>
    <rPh sb="3" eb="4">
      <t>ラン</t>
    </rPh>
    <rPh sb="5" eb="7">
      <t>ショリ</t>
    </rPh>
    <rPh sb="8" eb="10">
      <t>サクセイ</t>
    </rPh>
    <phoneticPr fontId="2"/>
  </si>
  <si>
    <t>金額を抽出（正の値に変換）</t>
    <rPh sb="0" eb="2">
      <t>キンガク</t>
    </rPh>
    <rPh sb="3" eb="5">
      <t>チュウシュツ</t>
    </rPh>
    <rPh sb="6" eb="7">
      <t>セイ</t>
    </rPh>
    <rPh sb="8" eb="9">
      <t>アタイ</t>
    </rPh>
    <rPh sb="10" eb="12">
      <t>ヘンカン</t>
    </rPh>
    <phoneticPr fontId="2"/>
  </si>
  <si>
    <t>search_CHARGE_DETAIL_waribiki_fee_plus</t>
    <phoneticPr fontId="2"/>
  </si>
  <si>
    <t>正に変換</t>
    <rPh sb="0" eb="1">
      <t>セイ</t>
    </rPh>
    <rPh sb="2" eb="4">
      <t>ヘンカン</t>
    </rPh>
    <phoneticPr fontId="2"/>
  </si>
  <si>
    <t>cst_CHARGE_DETAIL_waribiki_fee_plus</t>
    <phoneticPr fontId="2"/>
  </si>
  <si>
    <t>徳永</t>
    <rPh sb="0" eb="2">
      <t>トクナガ</t>
    </rPh>
    <phoneticPr fontId="2"/>
  </si>
  <si>
    <t>印影追加</t>
    <rPh sb="0" eb="2">
      <t>インエイ</t>
    </rPh>
    <rPh sb="2" eb="4">
      <t>ツイカ</t>
    </rPh>
    <phoneticPr fontId="2"/>
  </si>
  <si>
    <t>徳永</t>
    <rPh sb="0" eb="2">
      <t>トクナガ</t>
    </rPh>
    <phoneticPr fontId="2"/>
  </si>
  <si>
    <t>東京都引受報告書　二枚目に印影追加 2.4×2.4</t>
    <rPh sb="0" eb="3">
      <t>トウキョウト</t>
    </rPh>
    <rPh sb="3" eb="5">
      <t>ヒキウケ</t>
    </rPh>
    <rPh sb="5" eb="7">
      <t>ホウコク</t>
    </rPh>
    <rPh sb="7" eb="8">
      <t>ショ</t>
    </rPh>
    <rPh sb="9" eb="12">
      <t>ニマイメ</t>
    </rPh>
    <rPh sb="13" eb="15">
      <t>インエイ</t>
    </rPh>
    <rPh sb="15" eb="17">
      <t>ツイカ</t>
    </rPh>
    <phoneticPr fontId="2"/>
  </si>
  <si>
    <t>飯島</t>
    <rPh sb="0" eb="2">
      <t>イイジマ</t>
    </rPh>
    <phoneticPr fontId="2"/>
  </si>
  <si>
    <t>印影のサイズ調整</t>
    <rPh sb="6" eb="8">
      <t>チョウセイ</t>
    </rPh>
    <phoneticPr fontId="2"/>
  </si>
  <si>
    <t>確認決裁書_2012</t>
    <phoneticPr fontId="2"/>
  </si>
  <si>
    <t>確認決裁書 (表面のみ)_2012</t>
    <phoneticPr fontId="2"/>
  </si>
  <si>
    <t>2020/12/1から</t>
    <phoneticPr fontId="2"/>
  </si>
  <si>
    <t>2015/06/01から2020/11/30まで</t>
    <phoneticPr fontId="2"/>
  </si>
  <si>
    <t>**prule_HIKIUKE_DATE__20201201ge</t>
    <phoneticPr fontId="2"/>
  </si>
  <si>
    <t>**prule_HIKIUKE_DATE__20150601ge20201130le</t>
    <phoneticPr fontId="2"/>
  </si>
  <si>
    <t>確認決裁書(EV)_2012</t>
    <phoneticPr fontId="2"/>
  </si>
  <si>
    <t>確認決裁書(EV) (表面のみ)_2012</t>
    <phoneticPr fontId="2"/>
  </si>
  <si>
    <t>確認決裁書(工)_2012</t>
    <phoneticPr fontId="2"/>
  </si>
  <si>
    <t>確認決裁書(工) (表面のみ)_2012</t>
    <phoneticPr fontId="2"/>
  </si>
  <si>
    <t>中間検査決裁書_2012</t>
    <phoneticPr fontId="2"/>
  </si>
  <si>
    <t>中間検査決裁書 (表面のみ)_2012</t>
    <phoneticPr fontId="2"/>
  </si>
  <si>
    <t>完了検査決裁書_2012</t>
    <phoneticPr fontId="2"/>
  </si>
  <si>
    <t>完了検査決裁書 (表面のみ)_2012</t>
    <phoneticPr fontId="2"/>
  </si>
  <si>
    <t>完了検査決裁書(EV)_2012</t>
    <phoneticPr fontId="2"/>
  </si>
  <si>
    <t>完了検査決裁書(EV) (表面のみ)_2012</t>
    <phoneticPr fontId="2"/>
  </si>
  <si>
    <t>完了検査決裁書(工)_2012</t>
    <phoneticPr fontId="2"/>
  </si>
  <si>
    <t>完了検査決裁書(工) (表面のみ)_2012</t>
    <phoneticPr fontId="2"/>
  </si>
  <si>
    <t>徳永</t>
    <rPh sb="0" eb="2">
      <t>トクナガ</t>
    </rPh>
    <phoneticPr fontId="2"/>
  </si>
  <si>
    <t>確認・中間・完了決裁書　2020/12/1からの様式追加</t>
    <rPh sb="0" eb="2">
      <t>カクニン</t>
    </rPh>
    <rPh sb="3" eb="5">
      <t>チュウカン</t>
    </rPh>
    <rPh sb="6" eb="8">
      <t>カンリョウ</t>
    </rPh>
    <rPh sb="8" eb="11">
      <t>ケッサイショ</t>
    </rPh>
    <rPh sb="24" eb="26">
      <t>ヨウシキ</t>
    </rPh>
    <rPh sb="26" eb="28">
      <t>ツイカ</t>
    </rPh>
    <phoneticPr fontId="2"/>
  </si>
  <si>
    <t>確認済証送付書</t>
    <rPh sb="0" eb="2">
      <t>カクニン</t>
    </rPh>
    <rPh sb="2" eb="3">
      <t>スミ</t>
    </rPh>
    <rPh sb="3" eb="4">
      <t>ショウ</t>
    </rPh>
    <rPh sb="4" eb="6">
      <t>ソウフ</t>
    </rPh>
    <rPh sb="6" eb="7">
      <t>ショ</t>
    </rPh>
    <phoneticPr fontId="2"/>
  </si>
  <si>
    <t>中間合格証送付書</t>
  </si>
  <si>
    <t>検査済証送付書（完了）</t>
  </si>
  <si>
    <t>徳永</t>
    <rPh sb="0" eb="2">
      <t>トクナガ</t>
    </rPh>
    <phoneticPr fontId="2"/>
  </si>
  <si>
    <t>九州支店</t>
    <phoneticPr fontId="2"/>
  </si>
  <si>
    <t>確認・中間・完了　済証送付書　追加、阪神支店・東北支店　統合のため削除</t>
    <rPh sb="0" eb="2">
      <t>カクニン</t>
    </rPh>
    <rPh sb="3" eb="5">
      <t>チュウカン</t>
    </rPh>
    <rPh sb="6" eb="8">
      <t>カンリョウ</t>
    </rPh>
    <rPh sb="9" eb="10">
      <t>スミ</t>
    </rPh>
    <rPh sb="10" eb="11">
      <t>ショウ</t>
    </rPh>
    <rPh sb="11" eb="13">
      <t>ソウフ</t>
    </rPh>
    <rPh sb="13" eb="14">
      <t>ショ</t>
    </rPh>
    <rPh sb="15" eb="17">
      <t>ツイカ</t>
    </rPh>
    <rPh sb="18" eb="20">
      <t>ハンシン</t>
    </rPh>
    <rPh sb="20" eb="22">
      <t>シテン</t>
    </rPh>
    <rPh sb="23" eb="25">
      <t>トウホク</t>
    </rPh>
    <rPh sb="25" eb="27">
      <t>シテン</t>
    </rPh>
    <rPh sb="28" eb="30">
      <t>トウゴウ</t>
    </rPh>
    <rPh sb="33" eb="35">
      <t>サクジョ</t>
    </rPh>
    <phoneticPr fontId="2"/>
  </si>
  <si>
    <t>.徳永</t>
    <rPh sb="1" eb="3">
      <t>トクナガ</t>
    </rPh>
    <phoneticPr fontId="2"/>
  </si>
  <si>
    <t>送付書右下支店プルダウンを修正、送付書（交付）の右下担当者名を東京支店の時は空白</t>
    <rPh sb="0" eb="2">
      <t>ソウフ</t>
    </rPh>
    <rPh sb="2" eb="3">
      <t>ショ</t>
    </rPh>
    <rPh sb="3" eb="5">
      <t>ミギシタ</t>
    </rPh>
    <rPh sb="5" eb="7">
      <t>シテン</t>
    </rPh>
    <rPh sb="13" eb="15">
      <t>シュウセイ</t>
    </rPh>
    <rPh sb="16" eb="18">
      <t>ソウフ</t>
    </rPh>
    <rPh sb="18" eb="19">
      <t>ショ</t>
    </rPh>
    <rPh sb="20" eb="22">
      <t>コウフ</t>
    </rPh>
    <rPh sb="24" eb="26">
      <t>ミギシタ</t>
    </rPh>
    <rPh sb="26" eb="29">
      <t>タントウシャ</t>
    </rPh>
    <rPh sb="29" eb="30">
      <t>メイ</t>
    </rPh>
    <rPh sb="31" eb="33">
      <t>トウキョウ</t>
    </rPh>
    <rPh sb="33" eb="35">
      <t>シテン</t>
    </rPh>
    <rPh sb="36" eb="37">
      <t>トキ</t>
    </rPh>
    <rPh sb="38" eb="40">
      <t>クウハク</t>
    </rPh>
    <phoneticPr fontId="2"/>
  </si>
  <si>
    <t>dSTR_OFFICE_info　アスコ適判株式会社　社名のみ表示に変更</t>
    <rPh sb="27" eb="29">
      <t>シャメイ</t>
    </rPh>
    <rPh sb="31" eb="33">
      <t>ヒョウジ</t>
    </rPh>
    <rPh sb="34" eb="36">
      <t>ヘンコウ</t>
    </rPh>
    <phoneticPr fontId="2"/>
  </si>
  <si>
    <t>代表取締役 外崎  達人</t>
  </si>
  <si>
    <t>dSTR_OFFICE_info　ビューローベリタスジャパン株式会社　代表者変更</t>
    <rPh sb="35" eb="38">
      <t>ダイヒョウシャ</t>
    </rPh>
    <rPh sb="38" eb="40">
      <t>ヘンコウ</t>
    </rPh>
    <phoneticPr fontId="2"/>
  </si>
  <si>
    <t>徳永</t>
    <rPh sb="0" eb="2">
      <t>トクナガ</t>
    </rPh>
    <phoneticPr fontId="2"/>
  </si>
  <si>
    <t>決裁書、各送付状　修正依頼分</t>
    <rPh sb="0" eb="3">
      <t>ケッサイショ</t>
    </rPh>
    <rPh sb="4" eb="5">
      <t>カク</t>
    </rPh>
    <rPh sb="5" eb="8">
      <t>ソウフジョウ</t>
    </rPh>
    <rPh sb="9" eb="11">
      <t>シュウセイ</t>
    </rPh>
    <rPh sb="11" eb="13">
      <t>イライ</t>
    </rPh>
    <rPh sb="13" eb="14">
      <t>ブン</t>
    </rPh>
    <phoneticPr fontId="2"/>
  </si>
  <si>
    <t>徳永</t>
    <rPh sb="0" eb="2">
      <t>トクナガ</t>
    </rPh>
    <phoneticPr fontId="2"/>
  </si>
  <si>
    <t>消防通知（昇降機）　シート場所移動</t>
    <rPh sb="0" eb="2">
      <t>ショウボウ</t>
    </rPh>
    <rPh sb="2" eb="4">
      <t>ツウチ</t>
    </rPh>
    <rPh sb="5" eb="8">
      <t>ショウコウキ</t>
    </rPh>
    <rPh sb="13" eb="15">
      <t>バショ</t>
    </rPh>
    <rPh sb="15" eb="17">
      <t>イドウ</t>
    </rPh>
    <phoneticPr fontId="2"/>
  </si>
  <si>
    <t>cst_shinsei_HIKIUKE_TUUTI_DATE__disp</t>
    <phoneticPr fontId="2"/>
  </si>
  <si>
    <t>徳永</t>
    <rPh sb="0" eb="2">
      <t>トクナガ</t>
    </rPh>
    <phoneticPr fontId="2"/>
  </si>
  <si>
    <t>各決裁書シート引受通知日・行政報告日、昇降機決裁書　印刷範囲修正</t>
    <rPh sb="0" eb="1">
      <t>カク</t>
    </rPh>
    <rPh sb="1" eb="4">
      <t>ケッサイショ</t>
    </rPh>
    <rPh sb="7" eb="9">
      <t>ヒキウケ</t>
    </rPh>
    <rPh sb="9" eb="12">
      <t>ツウチビ</t>
    </rPh>
    <rPh sb="13" eb="15">
      <t>ギョウセイ</t>
    </rPh>
    <rPh sb="15" eb="17">
      <t>ホウコク</t>
    </rPh>
    <rPh sb="17" eb="18">
      <t>ビ</t>
    </rPh>
    <rPh sb="19" eb="22">
      <t>ショウコウキ</t>
    </rPh>
    <rPh sb="22" eb="25">
      <t>ケッサイショ</t>
    </rPh>
    <rPh sb="26" eb="28">
      <t>インサツ</t>
    </rPh>
    <rPh sb="28" eb="30">
      <t>ハンイ</t>
    </rPh>
    <rPh sb="30" eb="32">
      <t>シュウセイ</t>
    </rPh>
    <phoneticPr fontId="2"/>
  </si>
  <si>
    <t>徳永</t>
    <rPh sb="0" eb="2">
      <t>トクナガ</t>
    </rPh>
    <phoneticPr fontId="2"/>
  </si>
  <si>
    <t>昇降機_完了検査済証_1506　文言修正</t>
    <rPh sb="16" eb="18">
      <t>モンゴン</t>
    </rPh>
    <rPh sb="18" eb="20">
      <t>シュウセイ</t>
    </rPh>
    <phoneticPr fontId="2"/>
  </si>
  <si>
    <t>決裁書：九州支店を両面印刷に変更</t>
    <rPh sb="0" eb="3">
      <t>ケッサイショ</t>
    </rPh>
    <rPh sb="4" eb="8">
      <t>キュウシュウシテン</t>
    </rPh>
    <rPh sb="9" eb="13">
      <t>リョウメンインサツ</t>
    </rPh>
    <rPh sb="14" eb="16">
      <t>ヘンコウ</t>
    </rPh>
    <phoneticPr fontId="2"/>
  </si>
  <si>
    <t>決裁書：表紙のみの場合に一枚に収まらない場合があったのを修正</t>
    <rPh sb="0" eb="3">
      <t>ケッサイショ</t>
    </rPh>
    <rPh sb="4" eb="6">
      <t>ヒョウシ</t>
    </rPh>
    <rPh sb="9" eb="11">
      <t>バアイ</t>
    </rPh>
    <rPh sb="12" eb="14">
      <t>イチマイ</t>
    </rPh>
    <rPh sb="15" eb="16">
      <t>オサ</t>
    </rPh>
    <rPh sb="20" eb="22">
      <t>バアイ</t>
    </rPh>
    <rPh sb="28" eb="30">
      <t>シュウセイ</t>
    </rPh>
    <phoneticPr fontId="2"/>
  </si>
  <si>
    <t>松葉</t>
    <rPh sb="0" eb="2">
      <t>マツバ</t>
    </rPh>
    <phoneticPr fontId="2"/>
  </si>
  <si>
    <t>決裁書：九州支店で両面印刷に対応</t>
    <rPh sb="0" eb="3">
      <t>ケッサイショ</t>
    </rPh>
    <rPh sb="4" eb="8">
      <t>キュウシュウシテン</t>
    </rPh>
    <rPh sb="9" eb="13">
      <t>リョウメンインサツ</t>
    </rPh>
    <rPh sb="14" eb="16">
      <t>タイオウ</t>
    </rPh>
    <phoneticPr fontId="2"/>
  </si>
  <si>
    <t>松葉</t>
    <rPh sb="0" eb="2">
      <t>マツバ</t>
    </rPh>
    <phoneticPr fontId="2"/>
  </si>
  <si>
    <t>決裁書：文言修正</t>
    <rPh sb="0" eb="3">
      <t>ケッサイショ</t>
    </rPh>
    <rPh sb="4" eb="8">
      <t>モンゴンシュウセイ</t>
    </rPh>
    <phoneticPr fontId="2"/>
  </si>
  <si>
    <t>決裁書：１枚目が入り切らずに２枚にまたがるのを修正</t>
    <rPh sb="5" eb="6">
      <t>マイ</t>
    </rPh>
    <rPh sb="6" eb="7">
      <t>メ</t>
    </rPh>
    <rPh sb="8" eb="9">
      <t>ハイ</t>
    </rPh>
    <rPh sb="10" eb="11">
      <t>キ</t>
    </rPh>
    <rPh sb="15" eb="16">
      <t>マイ</t>
    </rPh>
    <rPh sb="23" eb="25">
      <t>シュウセイ</t>
    </rPh>
    <phoneticPr fontId="2"/>
  </si>
  <si>
    <t>事前</t>
    <phoneticPr fontId="2"/>
  </si>
  <si>
    <t>東大阪市</t>
  </si>
  <si>
    <t>特定行政庁</t>
  </si>
  <si>
    <t>建築部建築指導室</t>
  </si>
  <si>
    <t/>
  </si>
  <si>
    <t>東大阪市長</t>
  </si>
  <si>
    <t>東大阪市役所</t>
  </si>
  <si>
    <t>東大阪市建築主事</t>
  </si>
  <si>
    <t>予防課</t>
  </si>
  <si>
    <t>東大阪市西消防署長</t>
  </si>
  <si>
    <t>東大阪市西消防署</t>
  </si>
  <si>
    <t>東大阪市保健所長</t>
  </si>
  <si>
    <t>東大阪市保健所</t>
  </si>
  <si>
    <t>大阪府</t>
  </si>
  <si>
    <t>東京都中央区八重洲2丁目4番6号</t>
  </si>
  <si>
    <t>代表取締役 山田 耕藏</t>
  </si>
  <si>
    <t>03-5200-7118</t>
  </si>
  <si>
    <t>宮脇　宣綱</t>
    <phoneticPr fontId="2"/>
  </si>
  <si>
    <t>大阪府岸和田市土生町1丁目4番23号</t>
  </si>
  <si>
    <t>フジ住宅株式会社</t>
  </si>
  <si>
    <t>フジ住宅株式会社</t>
    <phoneticPr fontId="2"/>
  </si>
  <si>
    <t>宮脇　宣綱</t>
    <phoneticPr fontId="2"/>
  </si>
  <si>
    <t>ﾐﾔﾜｷ ﾉﾌﾞﾂﾅ</t>
  </si>
  <si>
    <t>代表取締役</t>
    <phoneticPr fontId="2"/>
  </si>
  <si>
    <t>072-437-8700</t>
  </si>
  <si>
    <t>596-8588</t>
  </si>
  <si>
    <t>（仮称）ブランニード河内小阪マンションギャラリー新築工事</t>
    <phoneticPr fontId="2"/>
  </si>
  <si>
    <t>大阪府東大阪市御厨南1丁目563-6の一部</t>
    <phoneticPr fontId="2"/>
  </si>
  <si>
    <t>0</t>
  </si>
  <si>
    <t>1</t>
  </si>
  <si>
    <t>大阪府東大阪市御厨南1丁目（以下未定）</t>
  </si>
  <si>
    <t>□</t>
  </si>
  <si>
    <t>鉄骨造</t>
  </si>
  <si>
    <t>鉄骨造</t>
    <phoneticPr fontId="2"/>
  </si>
  <si>
    <t>下水道処理区域</t>
  </si>
  <si>
    <t>３号</t>
  </si>
  <si>
    <t>宅建業を営む店舗（モデルルーム併用）</t>
    <phoneticPr fontId="2"/>
  </si>
  <si>
    <t>08458</t>
  </si>
  <si>
    <t>近隣商業地域</t>
  </si>
  <si>
    <t>領収済</t>
  </si>
  <si>
    <t>東大阪市</t>
    <phoneticPr fontId="2"/>
  </si>
  <si>
    <t>大阪府大阪市北区南扇町1番5号</t>
  </si>
  <si>
    <t>大阪府大阪市北区南扇町1番5号</t>
    <phoneticPr fontId="2"/>
  </si>
  <si>
    <t>06-6311-3413</t>
  </si>
  <si>
    <t>一級建築士事務所　株式会社　アフェクションウォーク</t>
  </si>
  <si>
    <t>一級建築士事務所　株式会社　アフェクションウォーク</t>
    <phoneticPr fontId="2"/>
  </si>
  <si>
    <t>ホ-17519</t>
  </si>
  <si>
    <t>一級</t>
  </si>
  <si>
    <t>青木　雅祐</t>
  </si>
  <si>
    <t>青木　雅祐</t>
    <phoneticPr fontId="2"/>
  </si>
  <si>
    <t>530-0052</t>
  </si>
  <si>
    <t>530-0052</t>
    <phoneticPr fontId="2"/>
  </si>
  <si>
    <t>06-6311-3412</t>
  </si>
  <si>
    <t>大臣</t>
  </si>
  <si>
    <t>同意</t>
  </si>
  <si>
    <t>無</t>
  </si>
  <si>
    <t>確認</t>
    <phoneticPr fontId="2"/>
  </si>
  <si>
    <t>新見 光夫</t>
  </si>
  <si>
    <t>R2-民1514</t>
    <phoneticPr fontId="2"/>
  </si>
  <si>
    <t>代表取締役社長</t>
  </si>
  <si>
    <t>2020事申建築CIAS00909</t>
    <phoneticPr fontId="2"/>
  </si>
  <si>
    <t>福田 基久</t>
  </si>
  <si>
    <t>東大阪市長</t>
    <phoneticPr fontId="2"/>
  </si>
  <si>
    <t>東大阪市建築主事</t>
    <phoneticPr fontId="2"/>
  </si>
  <si>
    <t>大阪府大阪市中央区粉川町4-8-602</t>
  </si>
  <si>
    <t>有限会社小村建築事務所</t>
  </si>
  <si>
    <t>(ニ)　19034</t>
  </si>
  <si>
    <t>小村　二三夫</t>
  </si>
  <si>
    <t>540-0018</t>
  </si>
  <si>
    <t>06-6762-3616</t>
  </si>
  <si>
    <t>大阪市北区南扇町1番5号</t>
  </si>
  <si>
    <t>株式会社アフェクションウォーク</t>
  </si>
  <si>
    <t>特-30　20135</t>
  </si>
  <si>
    <t>代表取締役　青木　雅祐</t>
  </si>
  <si>
    <t>2020確申建築CIAS01650</t>
    <phoneticPr fontId="2"/>
  </si>
  <si>
    <t>大阪府大阪市中央区北浜3丁目7番12号</t>
  </si>
  <si>
    <t>大阪本店</t>
    <phoneticPr fontId="2"/>
  </si>
  <si>
    <t>小林 元治</t>
  </si>
  <si>
    <t>北村 広美</t>
  </si>
  <si>
    <t>大本 康博</t>
  </si>
  <si>
    <t>柴田 篤志</t>
  </si>
  <si>
    <t>窓口にて現金でお支払いをお願い致します。</t>
  </si>
  <si>
    <t>大阪市中央区平野町3丁目6番1号</t>
  </si>
  <si>
    <t>ＴＥＬ　06-6222-6626　　ＦＡＸ　06-6222-6627</t>
  </si>
  <si>
    <t>1.りそな銀行　　大阪営業部　  普通預金　№5129632　㈱国際確認検査センター</t>
  </si>
  <si>
    <t>2.三井住友銀行　天満橋支店　　普通預金　№1345770　㈱国際確認検査センター</t>
  </si>
  <si>
    <t>3.みずほ銀行　　大阪中央支店　普通預金　№2800169　㈱国際確認検査センター</t>
  </si>
  <si>
    <t>（ＦＡＸ06-6222-6627）</t>
  </si>
  <si>
    <t>送信日：令和　　年　　月　　日</t>
  </si>
  <si>
    <t>R　　　/　　　/</t>
  </si>
  <si>
    <t>Ａ</t>
  </si>
  <si>
    <t>令和　　　年　　　月　　　日</t>
    <rPh sb="0" eb="1">
      <t>レイ</t>
    </rPh>
    <rPh sb="1" eb="2">
      <t>ワ</t>
    </rPh>
    <rPh sb="5" eb="6">
      <t>ネン</t>
    </rPh>
    <rPh sb="9" eb="10">
      <t>ガツ</t>
    </rPh>
    <rPh sb="13" eb="14">
      <t>ニチ</t>
    </rPh>
    <phoneticPr fontId="2"/>
  </si>
  <si>
    <t>☆複数棟による
   加算がある場合　　　　</t>
    <rPh sb="1" eb="3">
      <t>フクスウ</t>
    </rPh>
    <rPh sb="3" eb="4">
      <t>トウ</t>
    </rPh>
    <rPh sb="11" eb="13">
      <t>カサン</t>
    </rPh>
    <rPh sb="16" eb="18">
      <t>バアイ</t>
    </rPh>
    <phoneticPr fontId="2"/>
  </si>
  <si>
    <t>☆構造計算を行った構造強度に係る審査を行う場合(床面積の合計が500㎡以内に限る)</t>
    <rPh sb="1" eb="5">
      <t>コウゾウケイサン</t>
    </rPh>
    <rPh sb="6" eb="7">
      <t>オコナ</t>
    </rPh>
    <rPh sb="9" eb="13">
      <t>コウゾウキョウド</t>
    </rPh>
    <rPh sb="14" eb="15">
      <t>カカ</t>
    </rPh>
    <rPh sb="16" eb="18">
      <t>シンサ</t>
    </rPh>
    <rPh sb="19" eb="20">
      <t>オコナ</t>
    </rPh>
    <rPh sb="21" eb="23">
      <t>バアイ</t>
    </rPh>
    <rPh sb="24" eb="27">
      <t>ユカメンセキ</t>
    </rPh>
    <rPh sb="28" eb="30">
      <t>ゴウケイ</t>
    </rPh>
    <rPh sb="35" eb="37">
      <t>イナイ</t>
    </rPh>
    <rPh sb="38" eb="39">
      <t>カギ</t>
    </rPh>
    <phoneticPr fontId="2"/>
  </si>
  <si>
    <t>☆ルート2基準審査またはルート3(構造計算適合性判定図面との整合性)の審査がある場合</t>
    <rPh sb="5" eb="9">
      <t>キジュンシンサ</t>
    </rPh>
    <rPh sb="17" eb="19">
      <t>コウゾウ</t>
    </rPh>
    <rPh sb="19" eb="21">
      <t>ケイサン</t>
    </rPh>
    <rPh sb="21" eb="24">
      <t>テキゴウセイ</t>
    </rPh>
    <rPh sb="24" eb="26">
      <t>ハンテイ</t>
    </rPh>
    <rPh sb="26" eb="28">
      <t>ズメン</t>
    </rPh>
    <rPh sb="30" eb="33">
      <t>セイゴウセイ</t>
    </rPh>
    <rPh sb="35" eb="37">
      <t>シンサ</t>
    </rPh>
    <rPh sb="40" eb="42">
      <t>バアイ</t>
    </rPh>
    <phoneticPr fontId="2"/>
  </si>
  <si>
    <t>Ｂ’</t>
    <phoneticPr fontId="2"/>
  </si>
  <si>
    <t>Ｂ”</t>
    <phoneticPr fontId="2"/>
  </si>
  <si>
    <t>上記の総額（A＋A’＋Ａ”＋Ｂ＋Ｂ’＋Ｂ”－C）</t>
    <rPh sb="0" eb="2">
      <t>ジョウキ</t>
    </rPh>
    <rPh sb="3" eb="5">
      <t>ソウガク</t>
    </rPh>
    <phoneticPr fontId="2"/>
  </si>
  <si>
    <r>
      <t xml:space="preserve">（大阪 </t>
    </r>
    <r>
      <rPr>
        <sz val="10.5"/>
        <rFont val="ＭＳ Ｐゴシック"/>
        <family val="3"/>
        <charset val="128"/>
      </rPr>
      <t>R3.4.1改訂</t>
    </r>
    <r>
      <rPr>
        <sz val="12"/>
        <rFont val="ＭＳ Ｐゴシック"/>
        <family val="3"/>
        <charset val="128"/>
      </rPr>
      <t>）</t>
    </r>
    <phoneticPr fontId="2"/>
  </si>
  <si>
    <t>代表取締役　　大島　圭美</t>
    <rPh sb="7" eb="9">
      <t>オオシマ</t>
    </rPh>
    <rPh sb="10" eb="12">
      <t>ケイミ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</si>
</sst>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411]ggg&quot; &quot;ee&quot; 年 &quot;m&quot; 月 &quot;d&quot; 日&quot;;@"/>
    <numFmt numFmtId="177" formatCode="yyyy/mm/dd"/>
    <numFmt numFmtId="178" formatCode="[$-411]ggge&quot;年&quot;m&quot;月&quot;d&quot;日&quot;;@"/>
    <numFmt numFmtId="179" formatCode="#,##0.00_ "/>
    <numFmt numFmtId="180" formatCode="[$-411]ggge&quot;年&quot;mm&quot;月&quot;dd&quot;日&quot;;@"/>
    <numFmt numFmtId="181" formatCode="#,##0_ "/>
    <numFmt numFmtId="182" formatCode="#,##0.000_ "/>
    <numFmt numFmtId="183" formatCode="0_ "/>
    <numFmt numFmtId="184" formatCode="[$-411]ggg&quot;　&quot;e&quot;　年　&quot;m&quot;　月　&quot;d&quot;　日&quot;"/>
    <numFmt numFmtId="185" formatCode="#,##0_);[Red]\(#,##0\)"/>
    <numFmt numFmtId="186" formatCode="0000_ "/>
    <numFmt numFmtId="187" formatCode="#,##0.00_);[Red]\(#,##0.00\)"/>
    <numFmt numFmtId="188" formatCode="[$-411]gggee&quot;年&quot;mm&quot;月&quot;dd&quot;日 ( &quot;aaa&quot; )&quot;;@"/>
    <numFmt numFmtId="189" formatCode="#,##0_);[Red]\-#,##0_)"/>
  </numFmts>
  <fonts count="4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u/>
      <sz val="11"/>
      <color indexed="12"/>
      <name val="ＭＳ Ｐゴシック"/>
      <family val="3"/>
      <charset val="128"/>
    </font>
    <font>
      <sz val="10"/>
      <name val="ＭＳ 明朝"/>
      <family val="1"/>
      <charset val="128"/>
    </font>
    <font>
      <sz val="10"/>
      <name val="ＭＳ Ｐゴシック"/>
      <family val="3"/>
      <charset val="128"/>
    </font>
    <font>
      <sz val="10"/>
      <color indexed="8"/>
      <name val="ＭＳ Ｐゴシック"/>
      <family val="3"/>
      <charset val="128"/>
    </font>
    <font>
      <sz val="9"/>
      <color indexed="8"/>
      <name val="ＭＳ Ｐゴシック"/>
      <family val="3"/>
      <charset val="128"/>
    </font>
    <font>
      <sz val="10"/>
      <color indexed="10"/>
      <name val="ＭＳ Ｐゴシック"/>
      <family val="3"/>
      <charset val="128"/>
    </font>
    <font>
      <sz val="6"/>
      <name val="ＭＳ 明朝"/>
      <family val="1"/>
      <charset val="128"/>
    </font>
    <font>
      <sz val="10"/>
      <color indexed="60"/>
      <name val="ＭＳ Ｐゴシック"/>
      <family val="3"/>
      <charset val="128"/>
    </font>
    <font>
      <sz val="9"/>
      <name val="ＭＳ Ｐゴシック"/>
      <family val="3"/>
      <charset val="128"/>
    </font>
    <font>
      <sz val="1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sz val="14"/>
      <name val="ＭＳ Ｐゴシック"/>
      <family val="3"/>
      <charset val="128"/>
    </font>
    <font>
      <sz val="8"/>
      <name val="ＭＳ Ｐゴシック"/>
      <family val="3"/>
      <charset val="128"/>
    </font>
    <font>
      <sz val="24"/>
      <name val="HGPｺﾞｼｯｸM"/>
      <family val="3"/>
      <charset val="128"/>
    </font>
    <font>
      <b/>
      <sz val="14"/>
      <name val="ＭＳ Ｐ明朝"/>
      <family val="1"/>
      <charset val="128"/>
    </font>
    <font>
      <sz val="9"/>
      <name val="ＭＳ Ｐ明朝"/>
      <family val="1"/>
      <charset val="128"/>
    </font>
    <font>
      <b/>
      <sz val="12"/>
      <name val="ＭＳ Ｐ明朝"/>
      <family val="1"/>
      <charset val="128"/>
    </font>
    <font>
      <sz val="8"/>
      <name val="ＭＳ Ｐ明朝"/>
      <family val="1"/>
      <charset val="128"/>
    </font>
    <font>
      <sz val="11"/>
      <name val="HG創英角ｺﾞｼｯｸUB"/>
      <family val="3"/>
      <charset val="128"/>
    </font>
    <font>
      <sz val="12"/>
      <name val="HG創英角ｺﾞｼｯｸUB"/>
      <family val="3"/>
      <charset val="128"/>
    </font>
    <font>
      <sz val="14"/>
      <name val="ＭＳ Ｐ明朝"/>
      <family val="1"/>
      <charset val="128"/>
    </font>
    <font>
      <sz val="10"/>
      <name val="ＭＳ ゴシック"/>
      <family val="3"/>
      <charset val="128"/>
    </font>
    <font>
      <strike/>
      <sz val="10"/>
      <name val="ＭＳ Ｐゴシック"/>
      <family val="3"/>
      <charset val="128"/>
    </font>
    <font>
      <sz val="10"/>
      <color indexed="10"/>
      <name val="ＭＳ Ｐゴシック"/>
      <family val="3"/>
      <charset val="128"/>
    </font>
    <font>
      <sz val="10"/>
      <name val="Arial"/>
      <family val="2"/>
    </font>
    <font>
      <strike/>
      <sz val="10"/>
      <color indexed="10"/>
      <name val="ＭＳ Ｐゴシック"/>
      <family val="3"/>
      <charset val="128"/>
    </font>
    <font>
      <b/>
      <sz val="11"/>
      <name val="ＭＳ Ｐ明朝"/>
      <family val="1"/>
      <charset val="128"/>
    </font>
    <font>
      <sz val="10"/>
      <color rgb="FF000000"/>
      <name val="ＭＳ Ｐゴシック"/>
      <family val="3"/>
      <charset val="128"/>
    </font>
    <font>
      <sz val="10"/>
      <color rgb="FFFF0000"/>
      <name val="ＭＳ Ｐゴシック"/>
      <family val="3"/>
      <charset val="128"/>
    </font>
    <font>
      <sz val="11"/>
      <color rgb="FFFF0000"/>
      <name val="ＭＳ Ｐゴシック"/>
      <family val="3"/>
      <charset val="128"/>
    </font>
    <font>
      <sz val="10"/>
      <name val="ＭＳ Ｐゴシック"/>
      <family val="3"/>
      <charset val="128"/>
      <scheme val="minor"/>
    </font>
    <font>
      <sz val="10"/>
      <color indexed="8"/>
      <name val="/20"/>
    </font>
    <font>
      <sz val="11"/>
      <color rgb="FFFF0000"/>
      <name val="ＭＳ Ｐ明朝"/>
      <family val="1"/>
      <charset val="128"/>
    </font>
    <font>
      <sz val="10.5"/>
      <name val="ＭＳ Ｐゴシック"/>
      <family val="3"/>
      <charset val="128"/>
    </font>
  </fonts>
  <fills count="26">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45"/>
        <bgColor indexed="64"/>
      </patternFill>
    </fill>
    <fill>
      <patternFill patternType="solid">
        <fgColor indexed="44"/>
        <bgColor indexed="64"/>
      </patternFill>
    </fill>
    <fill>
      <patternFill patternType="solid">
        <fgColor indexed="15"/>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53"/>
        <bgColor indexed="64"/>
      </patternFill>
    </fill>
    <fill>
      <patternFill patternType="solid">
        <fgColor indexed="40"/>
        <bgColor indexed="64"/>
      </patternFill>
    </fill>
    <fill>
      <patternFill patternType="solid">
        <fgColor indexed="29"/>
        <bgColor indexed="64"/>
      </patternFill>
    </fill>
    <fill>
      <patternFill patternType="solid">
        <fgColor indexed="46"/>
        <bgColor indexed="64"/>
      </patternFill>
    </fill>
    <fill>
      <patternFill patternType="solid">
        <fgColor rgb="FF00FF00"/>
        <bgColor indexed="64"/>
      </patternFill>
    </fill>
    <fill>
      <patternFill patternType="solid">
        <fgColor rgb="FFCCFFCC"/>
        <bgColor indexed="64"/>
      </patternFill>
    </fill>
    <fill>
      <patternFill patternType="solid">
        <fgColor rgb="FF00FFFF"/>
        <bgColor indexed="64"/>
      </patternFill>
    </fill>
    <fill>
      <patternFill patternType="solid">
        <fgColor rgb="FFFFFF00"/>
        <bgColor indexed="64"/>
      </patternFill>
    </fill>
    <fill>
      <patternFill patternType="solid">
        <fgColor rgb="FFFF0000"/>
        <bgColor indexed="64"/>
      </patternFill>
    </fill>
    <fill>
      <patternFill patternType="solid">
        <fgColor rgb="FFFFFF99"/>
        <bgColor indexed="64"/>
      </patternFill>
    </fill>
    <fill>
      <patternFill patternType="solid">
        <fgColor rgb="FFCCFFFF"/>
        <bgColor indexed="64"/>
      </patternFill>
    </fill>
    <fill>
      <patternFill patternType="solid">
        <fgColor rgb="FFFF99CC"/>
        <bgColor indexed="64"/>
      </patternFill>
    </fill>
  </fills>
  <borders count="107">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11"/>
      </left>
      <right style="medium">
        <color indexed="11"/>
      </right>
      <top style="medium">
        <color indexed="11"/>
      </top>
      <bottom/>
      <diagonal/>
    </border>
    <border>
      <left/>
      <right style="thin">
        <color indexed="64"/>
      </right>
      <top style="thin">
        <color indexed="64"/>
      </top>
      <bottom/>
      <diagonal/>
    </border>
    <border>
      <left style="medium">
        <color indexed="11"/>
      </left>
      <right style="medium">
        <color indexed="11"/>
      </right>
      <top/>
      <bottom/>
      <diagonal/>
    </border>
    <border>
      <left/>
      <right style="thin">
        <color indexed="64"/>
      </right>
      <top/>
      <bottom/>
      <diagonal/>
    </border>
    <border>
      <left style="medium">
        <color indexed="12"/>
      </left>
      <right style="medium">
        <color indexed="12"/>
      </right>
      <top/>
      <bottom/>
      <diagonal/>
    </border>
    <border>
      <left style="medium">
        <color indexed="11"/>
      </left>
      <right style="medium">
        <color indexed="11"/>
      </right>
      <top/>
      <bottom style="thin">
        <color indexed="64"/>
      </bottom>
      <diagonal/>
    </border>
    <border>
      <left/>
      <right style="thin">
        <color indexed="64"/>
      </right>
      <top/>
      <bottom style="thin">
        <color indexed="64"/>
      </bottom>
      <diagonal/>
    </border>
    <border>
      <left style="medium">
        <color indexed="12"/>
      </left>
      <right style="medium">
        <color indexed="12"/>
      </right>
      <top/>
      <bottom style="thin">
        <color indexed="64"/>
      </bottom>
      <diagonal/>
    </border>
    <border>
      <left style="medium">
        <color indexed="11"/>
      </left>
      <right style="medium">
        <color indexed="11"/>
      </right>
      <top style="thin">
        <color indexed="64"/>
      </top>
      <bottom/>
      <diagonal/>
    </border>
    <border>
      <left style="medium">
        <color indexed="12"/>
      </left>
      <right style="medium">
        <color indexed="12"/>
      </right>
      <top style="thin">
        <color indexed="64"/>
      </top>
      <bottom/>
      <diagonal/>
    </border>
    <border>
      <left style="medium">
        <color indexed="11"/>
      </left>
      <right style="medium">
        <color indexed="11"/>
      </right>
      <top/>
      <bottom style="medium">
        <color indexed="11"/>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12"/>
      </left>
      <right style="medium">
        <color indexed="12"/>
      </right>
      <top style="medium">
        <color indexed="12"/>
      </top>
      <bottom/>
      <diagonal/>
    </border>
    <border>
      <left style="medium">
        <color indexed="12"/>
      </left>
      <right style="medium">
        <color indexed="12"/>
      </right>
      <top/>
      <bottom style="medium">
        <color indexed="12"/>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dotted">
        <color indexed="64"/>
      </bottom>
      <diagonal/>
    </border>
    <border>
      <left/>
      <right/>
      <top style="medium">
        <color indexed="64"/>
      </top>
      <bottom/>
      <diagonal/>
    </border>
    <border>
      <left/>
      <right/>
      <top/>
      <bottom style="dashDot">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top/>
      <bottom/>
      <diagonal/>
    </border>
    <border>
      <left/>
      <right style="double">
        <color indexed="64"/>
      </right>
      <top style="hair">
        <color indexed="64"/>
      </top>
      <bottom style="hair">
        <color indexed="64"/>
      </bottom>
      <diagonal/>
    </border>
    <border>
      <left style="double">
        <color indexed="64"/>
      </left>
      <right/>
      <top style="double">
        <color indexed="64"/>
      </top>
      <bottom style="double">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right style="double">
        <color indexed="64"/>
      </right>
      <top style="double">
        <color indexed="64"/>
      </top>
      <bottom style="double">
        <color indexed="64"/>
      </bottom>
      <diagonal/>
    </border>
    <border>
      <left/>
      <right style="dotted">
        <color indexed="64"/>
      </right>
      <top style="dotted">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right style="medium">
        <color indexed="64"/>
      </right>
      <top/>
      <bottom/>
      <diagonal/>
    </border>
    <border>
      <left/>
      <right/>
      <top/>
      <bottom style="double">
        <color indexed="64"/>
      </bottom>
      <diagonal/>
    </border>
    <border>
      <left/>
      <right/>
      <top style="double">
        <color indexed="64"/>
      </top>
      <bottom/>
      <diagonal/>
    </border>
    <border>
      <left/>
      <right/>
      <top style="dashDot">
        <color indexed="64"/>
      </top>
      <bottom/>
      <diagonal/>
    </border>
    <border>
      <left/>
      <right/>
      <top style="thin">
        <color indexed="64"/>
      </top>
      <bottom style="hair">
        <color indexed="64"/>
      </bottom>
      <diagonal/>
    </border>
    <border>
      <left/>
      <right style="hair">
        <color indexed="64"/>
      </right>
      <top style="hair">
        <color indexed="64"/>
      </top>
      <bottom style="double">
        <color indexed="64"/>
      </bottom>
      <diagonal/>
    </border>
    <border>
      <left/>
      <right/>
      <top style="double">
        <color indexed="64"/>
      </top>
      <bottom style="double">
        <color indexed="64"/>
      </bottom>
      <diagonal/>
    </border>
    <border>
      <left style="hair">
        <color indexed="64"/>
      </left>
      <right/>
      <top style="medium">
        <color indexed="64"/>
      </top>
      <bottom style="thin">
        <color indexed="64"/>
      </bottom>
      <diagonal/>
    </border>
    <border>
      <left style="dotted">
        <color indexed="64"/>
      </left>
      <right/>
      <top style="dotted">
        <color indexed="64"/>
      </top>
      <bottom style="hair">
        <color indexed="64"/>
      </bottom>
      <diagonal/>
    </border>
    <border>
      <left/>
      <right style="dotted">
        <color indexed="64"/>
      </right>
      <top style="dotted">
        <color indexed="64"/>
      </top>
      <bottom style="hair">
        <color indexed="64"/>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double">
        <color indexed="64"/>
      </bottom>
      <diagonal/>
    </border>
  </borders>
  <cellStyleXfs count="13">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alignment vertical="center"/>
    </xf>
    <xf numFmtId="6" fontId="1" fillId="0" borderId="0" applyFont="0" applyFill="0" applyBorder="0" applyAlignment="0" applyProtection="0"/>
  </cellStyleXfs>
  <cellXfs count="769">
    <xf numFmtId="0" fontId="0" fillId="0" borderId="0" xfId="0"/>
    <xf numFmtId="0" fontId="6" fillId="0" borderId="0" xfId="0" applyFont="1" applyAlignment="1">
      <alignment vertical="center"/>
    </xf>
    <xf numFmtId="0" fontId="7" fillId="0" borderId="0" xfId="0" applyNumberFormat="1" applyFont="1" applyAlignment="1">
      <alignment horizontal="left" vertical="center"/>
    </xf>
    <xf numFmtId="0" fontId="6" fillId="0" borderId="0" xfId="0" applyFont="1" applyAlignment="1">
      <alignment vertical="center" wrapText="1"/>
    </xf>
    <xf numFmtId="0" fontId="6" fillId="2" borderId="0" xfId="0" applyFont="1" applyFill="1" applyAlignment="1">
      <alignment vertical="center"/>
    </xf>
    <xf numFmtId="49" fontId="6" fillId="0" borderId="0" xfId="0" applyNumberFormat="1" applyFont="1" applyBorder="1" applyAlignment="1">
      <alignment horizontal="left" vertical="center"/>
    </xf>
    <xf numFmtId="49" fontId="6" fillId="0" borderId="0" xfId="0" applyNumberFormat="1" applyFont="1" applyBorder="1" applyAlignment="1">
      <alignment horizontal="left" vertical="center" shrinkToFit="1"/>
    </xf>
    <xf numFmtId="0" fontId="6" fillId="0" borderId="0" xfId="0" applyNumberFormat="1" applyFont="1" applyBorder="1" applyAlignment="1">
      <alignment horizontal="left" vertical="center"/>
    </xf>
    <xf numFmtId="49" fontId="6" fillId="3"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vertical="center"/>
    </xf>
    <xf numFmtId="49" fontId="6" fillId="4" borderId="0" xfId="0" applyNumberFormat="1" applyFont="1" applyFill="1" applyBorder="1" applyAlignment="1" applyProtection="1">
      <alignment vertical="center"/>
    </xf>
    <xf numFmtId="49" fontId="6" fillId="0" borderId="0" xfId="0" applyNumberFormat="1" applyFont="1" applyFill="1" applyBorder="1" applyAlignment="1">
      <alignment horizontal="left" vertical="center"/>
    </xf>
    <xf numFmtId="49" fontId="6" fillId="4" borderId="0" xfId="0" applyNumberFormat="1" applyFont="1" applyFill="1" applyBorder="1" applyAlignment="1">
      <alignment horizontal="left" vertical="center"/>
    </xf>
    <xf numFmtId="0" fontId="6" fillId="0" borderId="0" xfId="0" applyFont="1" applyBorder="1" applyAlignment="1">
      <alignment horizontal="left" vertical="center"/>
    </xf>
    <xf numFmtId="0" fontId="6" fillId="5"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0" fontId="6" fillId="5" borderId="0" xfId="0" applyNumberFormat="1" applyFont="1" applyFill="1" applyBorder="1" applyAlignment="1" applyProtection="1">
      <alignment vertical="center"/>
    </xf>
    <xf numFmtId="0" fontId="6" fillId="4" borderId="0" xfId="0" applyNumberFormat="1" applyFont="1" applyFill="1" applyBorder="1" applyAlignment="1" applyProtection="1">
      <alignment vertical="center"/>
    </xf>
    <xf numFmtId="0" fontId="6" fillId="6" borderId="0" xfId="0" applyNumberFormat="1" applyFont="1" applyFill="1" applyBorder="1" applyAlignment="1" applyProtection="1">
      <alignment vertical="center"/>
    </xf>
    <xf numFmtId="0" fontId="6" fillId="3" borderId="0" xfId="0" applyNumberFormat="1" applyFont="1" applyFill="1" applyBorder="1" applyAlignment="1" applyProtection="1">
      <alignment vertical="center"/>
    </xf>
    <xf numFmtId="0" fontId="6" fillId="6" borderId="0" xfId="0" applyNumberFormat="1" applyFont="1" applyFill="1" applyBorder="1" applyAlignment="1" applyProtection="1">
      <alignment horizontal="left" vertical="center"/>
    </xf>
    <xf numFmtId="0" fontId="6" fillId="5" borderId="0" xfId="0" applyNumberFormat="1" applyFont="1" applyFill="1" applyBorder="1" applyAlignment="1" applyProtection="1">
      <alignment horizontal="left" vertical="center"/>
    </xf>
    <xf numFmtId="0" fontId="6" fillId="4" borderId="0" xfId="0" applyNumberFormat="1" applyFont="1" applyFill="1" applyBorder="1" applyAlignment="1" applyProtection="1">
      <alignment horizontal="left" vertical="center"/>
    </xf>
    <xf numFmtId="49" fontId="6" fillId="3"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6" fillId="3" borderId="0" xfId="0" applyNumberFormat="1" applyFont="1" applyFill="1" applyBorder="1" applyAlignment="1">
      <alignment horizontal="left" vertical="center"/>
    </xf>
    <xf numFmtId="0" fontId="6" fillId="3" borderId="0" xfId="0" applyNumberFormat="1" applyFont="1" applyFill="1" applyBorder="1" applyAlignment="1" applyProtection="1">
      <alignment horizontal="left" vertical="center"/>
    </xf>
    <xf numFmtId="0" fontId="6" fillId="2" borderId="0" xfId="0" applyFont="1" applyFill="1" applyBorder="1" applyAlignment="1">
      <alignment horizontal="left" vertical="center"/>
    </xf>
    <xf numFmtId="49" fontId="6" fillId="3" borderId="0" xfId="0" applyNumberFormat="1" applyFont="1" applyFill="1" applyBorder="1" applyAlignment="1" applyProtection="1">
      <alignment horizontal="left" vertical="center"/>
    </xf>
    <xf numFmtId="0" fontId="0" fillId="0" borderId="0" xfId="0" applyBorder="1"/>
    <xf numFmtId="0" fontId="0" fillId="0" borderId="0" xfId="0" applyFill="1" applyBorder="1"/>
    <xf numFmtId="49" fontId="6" fillId="4" borderId="0" xfId="0" applyNumberFormat="1" applyFont="1" applyFill="1" applyBorder="1" applyAlignment="1" applyProtection="1">
      <alignment horizontal="left" vertical="center"/>
    </xf>
    <xf numFmtId="0" fontId="6"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alignment horizontal="left" vertical="center"/>
    </xf>
    <xf numFmtId="49" fontId="6" fillId="3" borderId="0" xfId="0" applyNumberFormat="1" applyFont="1" applyFill="1" applyBorder="1" applyAlignment="1">
      <alignment horizontal="left" vertical="center" shrinkToFit="1"/>
    </xf>
    <xf numFmtId="176" fontId="6" fillId="0" borderId="0" xfId="0" applyNumberFormat="1" applyFont="1" applyBorder="1" applyAlignment="1">
      <alignment horizontal="left" vertical="center"/>
    </xf>
    <xf numFmtId="0" fontId="0" fillId="7" borderId="0" xfId="0" applyNumberFormat="1" applyFont="1" applyFill="1" applyBorder="1" applyAlignment="1">
      <alignment horizontal="left" vertical="center"/>
    </xf>
    <xf numFmtId="0" fontId="6" fillId="4" borderId="0" xfId="0" applyNumberFormat="1" applyFont="1" applyFill="1" applyBorder="1" applyAlignment="1">
      <alignment horizontal="left" vertical="center"/>
    </xf>
    <xf numFmtId="177" fontId="6" fillId="7" borderId="0" xfId="0" quotePrefix="1" applyNumberFormat="1" applyFont="1" applyFill="1" applyBorder="1" applyAlignment="1">
      <alignment horizontal="right" vertical="center"/>
    </xf>
    <xf numFmtId="49" fontId="3" fillId="0" borderId="0" xfId="0" applyNumberFormat="1" applyFont="1" applyFill="1" applyAlignment="1">
      <alignment vertical="center"/>
    </xf>
    <xf numFmtId="49" fontId="5" fillId="0" borderId="0" xfId="0" applyNumberFormat="1" applyFont="1" applyFill="1" applyBorder="1" applyAlignment="1" applyProtection="1">
      <alignment horizontal="left" vertical="center"/>
    </xf>
    <xf numFmtId="49" fontId="5"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center"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6" fillId="0" borderId="0" xfId="0" quotePrefix="1" applyNumberFormat="1" applyFont="1" applyBorder="1" applyAlignment="1">
      <alignment horizontal="left" vertical="center"/>
    </xf>
    <xf numFmtId="0" fontId="6" fillId="0" borderId="0" xfId="0" applyNumberFormat="1" applyFont="1" applyBorder="1" applyAlignment="1">
      <alignment vertical="top"/>
    </xf>
    <xf numFmtId="49" fontId="6" fillId="0" borderId="0" xfId="0" applyNumberFormat="1" applyFont="1" applyFill="1" applyBorder="1" applyAlignment="1">
      <alignment horizontal="left" vertical="center" shrinkToFit="1"/>
    </xf>
    <xf numFmtId="0" fontId="0" fillId="0" borderId="0" xfId="0" applyAlignment="1">
      <alignment vertical="center"/>
    </xf>
    <xf numFmtId="49" fontId="0" fillId="0" borderId="0" xfId="0" applyNumberFormat="1" applyAlignment="1">
      <alignment vertical="center"/>
    </xf>
    <xf numFmtId="0" fontId="0" fillId="0" borderId="0" xfId="0" applyNumberFormat="1" applyAlignment="1">
      <alignment vertical="center"/>
    </xf>
    <xf numFmtId="0" fontId="6" fillId="0" borderId="0" xfId="0" applyNumberFormat="1" applyFont="1" applyAlignment="1">
      <alignment vertical="center"/>
    </xf>
    <xf numFmtId="0" fontId="0" fillId="0" borderId="0" xfId="0" applyAlignment="1">
      <alignment horizontal="left" vertical="center"/>
    </xf>
    <xf numFmtId="0" fontId="6" fillId="0" borderId="0" xfId="0" applyNumberFormat="1" applyFont="1" applyBorder="1" applyAlignment="1">
      <alignment horizontal="left" vertical="center" shrinkToFit="1"/>
    </xf>
    <xf numFmtId="49" fontId="0" fillId="0" borderId="0" xfId="0" applyNumberFormat="1" applyFill="1" applyAlignment="1">
      <alignment vertical="center"/>
    </xf>
    <xf numFmtId="0" fontId="6" fillId="0" borderId="0" xfId="0" applyNumberFormat="1" applyFont="1" applyFill="1" applyAlignment="1">
      <alignment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NumberFormat="1" applyFill="1" applyAlignment="1">
      <alignment vertical="center"/>
    </xf>
    <xf numFmtId="0" fontId="0" fillId="4" borderId="0" xfId="0" applyFill="1" applyAlignment="1">
      <alignment vertical="center"/>
    </xf>
    <xf numFmtId="0" fontId="0" fillId="6" borderId="0" xfId="0" applyFill="1" applyAlignment="1">
      <alignment vertical="center"/>
    </xf>
    <xf numFmtId="179" fontId="6" fillId="4" borderId="0" xfId="0" applyNumberFormat="1" applyFont="1" applyFill="1" applyBorder="1" applyAlignment="1" applyProtection="1">
      <alignment vertical="center"/>
    </xf>
    <xf numFmtId="179" fontId="6" fillId="0" borderId="0" xfId="0" applyNumberFormat="1" applyFont="1" applyFill="1" applyBorder="1" applyAlignment="1" applyProtection="1">
      <alignment vertical="center"/>
    </xf>
    <xf numFmtId="179" fontId="6" fillId="5" borderId="0" xfId="0" applyNumberFormat="1" applyFont="1" applyFill="1" applyBorder="1" applyAlignment="1">
      <alignment horizontal="left" vertical="center"/>
    </xf>
    <xf numFmtId="49" fontId="6" fillId="0" borderId="0" xfId="0" quotePrefix="1" applyNumberFormat="1" applyFont="1" applyFill="1" applyBorder="1" applyAlignment="1" applyProtection="1">
      <alignment vertical="center"/>
    </xf>
    <xf numFmtId="179" fontId="6" fillId="3" borderId="0" xfId="0" applyNumberFormat="1" applyFont="1" applyFill="1" applyBorder="1" applyAlignment="1">
      <alignment horizontal="left" vertical="center"/>
    </xf>
    <xf numFmtId="0" fontId="6" fillId="5" borderId="0" xfId="0" applyFont="1" applyFill="1" applyBorder="1" applyAlignment="1">
      <alignment horizontal="left" vertical="center"/>
    </xf>
    <xf numFmtId="0" fontId="6" fillId="3" borderId="0" xfId="0" applyFont="1" applyFill="1" applyBorder="1" applyAlignment="1">
      <alignment horizontal="left" vertical="center"/>
    </xf>
    <xf numFmtId="0" fontId="6" fillId="6" borderId="0" xfId="0" applyFont="1" applyFill="1" applyBorder="1" applyAlignment="1">
      <alignment horizontal="left" vertical="center"/>
    </xf>
    <xf numFmtId="178" fontId="6" fillId="0" borderId="0" xfId="0" applyNumberFormat="1" applyFont="1" applyFill="1" applyBorder="1" applyAlignment="1">
      <alignment horizontal="left" vertical="center"/>
    </xf>
    <xf numFmtId="177" fontId="6" fillId="4" borderId="0" xfId="0" applyNumberFormat="1" applyFont="1" applyFill="1" applyBorder="1" applyAlignment="1" applyProtection="1">
      <alignment vertical="center"/>
    </xf>
    <xf numFmtId="178" fontId="6" fillId="5" borderId="0" xfId="0" applyNumberFormat="1" applyFont="1" applyFill="1" applyBorder="1" applyAlignment="1">
      <alignment horizontal="left" vertical="center"/>
    </xf>
    <xf numFmtId="176" fontId="6" fillId="5" borderId="0" xfId="0" applyNumberFormat="1" applyFont="1" applyFill="1" applyBorder="1" applyAlignment="1" applyProtection="1">
      <alignment vertical="center"/>
    </xf>
    <xf numFmtId="180" fontId="6" fillId="3" borderId="0" xfId="0" applyNumberFormat="1" applyFont="1" applyFill="1" applyBorder="1" applyAlignment="1">
      <alignment horizontal="left" vertical="center"/>
    </xf>
    <xf numFmtId="49" fontId="7" fillId="0" borderId="0" xfId="0" applyNumberFormat="1" applyFont="1" applyBorder="1" applyAlignment="1">
      <alignment horizontal="left" vertical="center"/>
    </xf>
    <xf numFmtId="0" fontId="7" fillId="0" borderId="0" xfId="0" applyFont="1" applyBorder="1" applyAlignment="1">
      <alignment horizontal="center" vertical="center"/>
    </xf>
    <xf numFmtId="177"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left" vertical="center" shrinkToFit="1"/>
    </xf>
    <xf numFmtId="180" fontId="6" fillId="5" borderId="0" xfId="0" applyNumberFormat="1" applyFont="1" applyFill="1" applyBorder="1" applyAlignment="1">
      <alignment horizontal="left" vertical="center"/>
    </xf>
    <xf numFmtId="180" fontId="6" fillId="0" borderId="0" xfId="0" applyNumberFormat="1" applyFont="1" applyFill="1" applyBorder="1" applyAlignment="1">
      <alignment horizontal="left" vertical="center"/>
    </xf>
    <xf numFmtId="49" fontId="6" fillId="0" borderId="0" xfId="0" applyNumberFormat="1" applyFont="1" applyFill="1" applyBorder="1" applyAlignment="1" applyProtection="1">
      <alignment horizontal="left" vertical="center" shrinkToFit="1"/>
    </xf>
    <xf numFmtId="180" fontId="6" fillId="4" borderId="0" xfId="0" applyNumberFormat="1" applyFont="1" applyFill="1" applyBorder="1" applyAlignment="1">
      <alignment horizontal="left" vertical="center"/>
    </xf>
    <xf numFmtId="49" fontId="6" fillId="0" borderId="0" xfId="0" applyNumberFormat="1" applyFont="1" applyAlignment="1">
      <alignment vertical="center"/>
    </xf>
    <xf numFmtId="180" fontId="6" fillId="5" borderId="0" xfId="0" applyNumberFormat="1" applyFont="1" applyFill="1" applyBorder="1" applyAlignment="1" applyProtection="1">
      <alignment vertical="center"/>
    </xf>
    <xf numFmtId="180" fontId="6" fillId="3" borderId="0" xfId="0" applyNumberFormat="1" applyFont="1" applyFill="1" applyBorder="1" applyAlignment="1" applyProtection="1">
      <alignment vertical="center"/>
    </xf>
    <xf numFmtId="177" fontId="6" fillId="5" borderId="0" xfId="0" applyNumberFormat="1" applyFont="1" applyFill="1" applyBorder="1" applyAlignment="1">
      <alignment horizontal="left" vertical="center"/>
    </xf>
    <xf numFmtId="177" fontId="6" fillId="3" borderId="0" xfId="0" applyNumberFormat="1" applyFont="1" applyFill="1" applyBorder="1" applyAlignment="1">
      <alignment horizontal="left" vertical="center"/>
    </xf>
    <xf numFmtId="179" fontId="6" fillId="5" borderId="0" xfId="0" applyNumberFormat="1" applyFont="1" applyFill="1" applyBorder="1" applyAlignment="1" applyProtection="1">
      <alignment vertical="center"/>
    </xf>
    <xf numFmtId="181" fontId="6" fillId="4" borderId="0" xfId="0" applyNumberFormat="1" applyFont="1" applyFill="1" applyBorder="1" applyAlignment="1">
      <alignment horizontal="left" vertical="center"/>
    </xf>
    <xf numFmtId="182" fontId="6" fillId="4" borderId="0" xfId="0" applyNumberFormat="1" applyFont="1" applyFill="1" applyBorder="1" applyAlignment="1" applyProtection="1">
      <alignment vertical="center"/>
    </xf>
    <xf numFmtId="182" fontId="6" fillId="5" borderId="0" xfId="0" applyNumberFormat="1" applyFont="1" applyFill="1" applyBorder="1" applyAlignment="1" applyProtection="1">
      <alignment horizontal="right" vertical="center"/>
    </xf>
    <xf numFmtId="182" fontId="6" fillId="0" borderId="0" xfId="0" applyNumberFormat="1" applyFont="1" applyFill="1" applyBorder="1" applyAlignment="1" applyProtection="1">
      <alignment vertical="center"/>
    </xf>
    <xf numFmtId="182" fontId="6" fillId="3" borderId="0" xfId="0" applyNumberFormat="1" applyFont="1" applyFill="1" applyBorder="1" applyAlignment="1" applyProtection="1">
      <alignment horizontal="right" vertical="center"/>
    </xf>
    <xf numFmtId="182" fontId="6" fillId="5" borderId="0" xfId="0" applyNumberFormat="1" applyFont="1" applyFill="1" applyBorder="1" applyAlignment="1" applyProtection="1">
      <alignment vertical="center"/>
    </xf>
    <xf numFmtId="179" fontId="6" fillId="3" borderId="0" xfId="0" applyNumberFormat="1" applyFont="1" applyFill="1" applyBorder="1" applyAlignment="1" applyProtection="1">
      <alignment vertical="center"/>
    </xf>
    <xf numFmtId="0" fontId="6" fillId="2" borderId="0" xfId="0" applyNumberFormat="1" applyFont="1" applyFill="1" applyBorder="1" applyAlignment="1">
      <alignment horizontal="left" vertical="center"/>
    </xf>
    <xf numFmtId="0" fontId="7" fillId="0" borderId="0" xfId="0" applyFont="1" applyBorder="1"/>
    <xf numFmtId="49" fontId="6" fillId="8" borderId="0" xfId="0" applyNumberFormat="1" applyFont="1" applyFill="1" applyBorder="1" applyAlignment="1" applyProtection="1">
      <alignment vertical="center"/>
    </xf>
    <xf numFmtId="0" fontId="6" fillId="6" borderId="0" xfId="0" applyNumberFormat="1" applyFont="1" applyFill="1" applyBorder="1" applyAlignment="1">
      <alignment horizontal="left" vertical="center"/>
    </xf>
    <xf numFmtId="0" fontId="6" fillId="3" borderId="0" xfId="0" applyNumberFormat="1" applyFont="1" applyFill="1" applyBorder="1" applyAlignment="1">
      <alignment vertical="center" wrapText="1"/>
    </xf>
    <xf numFmtId="180" fontId="6" fillId="0" borderId="0" xfId="0" applyNumberFormat="1" applyFont="1" applyFill="1" applyBorder="1" applyAlignment="1" applyProtection="1">
      <alignment vertical="center"/>
    </xf>
    <xf numFmtId="49" fontId="6" fillId="5" borderId="0" xfId="0" applyNumberFormat="1" applyFont="1" applyFill="1" applyBorder="1" applyAlignment="1" applyProtection="1">
      <alignment vertical="center"/>
    </xf>
    <xf numFmtId="180" fontId="6" fillId="5" borderId="0" xfId="0" applyNumberFormat="1" applyFont="1" applyFill="1" applyBorder="1" applyAlignment="1" applyProtection="1">
      <alignment horizontal="left" vertical="center"/>
    </xf>
    <xf numFmtId="0" fontId="6" fillId="3" borderId="0" xfId="0" applyNumberFormat="1" applyFont="1" applyFill="1" applyBorder="1" applyAlignment="1">
      <alignment vertical="center"/>
    </xf>
    <xf numFmtId="0" fontId="6" fillId="5" borderId="0" xfId="0" applyNumberFormat="1" applyFont="1" applyFill="1" applyBorder="1" applyAlignment="1" applyProtection="1">
      <alignment horizontal="left" vertical="center" shrinkToFit="1"/>
    </xf>
    <xf numFmtId="49" fontId="6" fillId="0" borderId="0" xfId="0" applyNumberFormat="1" applyFont="1" applyFill="1" applyBorder="1" applyAlignment="1">
      <alignment vertical="center"/>
    </xf>
    <xf numFmtId="49" fontId="6" fillId="0" borderId="0" xfId="0" applyNumberFormat="1" applyFont="1" applyBorder="1" applyAlignment="1">
      <alignment vertical="center"/>
    </xf>
    <xf numFmtId="0" fontId="6" fillId="0" borderId="0" xfId="0" applyFont="1" applyFill="1" applyBorder="1" applyAlignment="1">
      <alignment vertical="center"/>
    </xf>
    <xf numFmtId="180" fontId="6" fillId="3" borderId="0" xfId="0" applyNumberFormat="1" applyFont="1" applyFill="1" applyBorder="1" applyAlignment="1" applyProtection="1">
      <alignment horizontal="left" vertical="center"/>
    </xf>
    <xf numFmtId="178" fontId="6" fillId="6" borderId="0" xfId="0" applyNumberFormat="1" applyFont="1" applyFill="1" applyBorder="1" applyAlignment="1" applyProtection="1">
      <alignment horizontal="left" vertical="center"/>
    </xf>
    <xf numFmtId="49" fontId="7" fillId="0" borderId="0" xfId="0" applyNumberFormat="1" applyFont="1" applyFill="1" applyBorder="1" applyAlignment="1">
      <alignment vertical="center"/>
    </xf>
    <xf numFmtId="0" fontId="6" fillId="0" borderId="0" xfId="0" quotePrefix="1" applyNumberFormat="1" applyFont="1" applyFill="1" applyBorder="1" applyAlignment="1" applyProtection="1">
      <alignment horizontal="left" vertical="center"/>
    </xf>
    <xf numFmtId="0" fontId="7" fillId="0" borderId="0" xfId="0" applyFont="1" applyFill="1" applyBorder="1" applyAlignment="1">
      <alignment vertical="center"/>
    </xf>
    <xf numFmtId="183" fontId="6" fillId="0" borderId="0" xfId="0" applyNumberFormat="1" applyFont="1" applyFill="1" applyBorder="1" applyAlignment="1">
      <alignment horizontal="left" vertical="center"/>
    </xf>
    <xf numFmtId="0" fontId="6" fillId="8" borderId="0" xfId="0" applyNumberFormat="1" applyFont="1" applyFill="1" applyBorder="1" applyAlignment="1">
      <alignment horizontal="left" vertical="center"/>
    </xf>
    <xf numFmtId="0" fontId="6" fillId="4" borderId="0" xfId="0" applyFont="1" applyFill="1" applyAlignment="1"/>
    <xf numFmtId="184" fontId="6" fillId="4" borderId="0" xfId="0" applyNumberFormat="1" applyFont="1" applyFill="1" applyBorder="1" applyAlignment="1" applyProtection="1">
      <alignment horizontal="left" vertical="center" shrinkToFit="1"/>
    </xf>
    <xf numFmtId="0" fontId="6" fillId="0" borderId="0" xfId="0" applyNumberFormat="1" applyFont="1" applyFill="1" applyBorder="1" applyAlignment="1">
      <alignment vertical="center"/>
    </xf>
    <xf numFmtId="177" fontId="6" fillId="4" borderId="0" xfId="0" applyNumberFormat="1" applyFont="1" applyFill="1" applyBorder="1" applyAlignment="1">
      <alignment horizontal="left" vertical="center"/>
    </xf>
    <xf numFmtId="0" fontId="6" fillId="4" borderId="0" xfId="0" applyNumberFormat="1" applyFont="1" applyFill="1" applyBorder="1" applyAlignment="1" applyProtection="1">
      <alignment horizontal="left" vertical="center" shrinkToFit="1"/>
    </xf>
    <xf numFmtId="177" fontId="6" fillId="0" borderId="0" xfId="0" applyNumberFormat="1" applyFont="1" applyFill="1" applyBorder="1" applyAlignment="1">
      <alignment horizontal="left" vertical="center"/>
    </xf>
    <xf numFmtId="49" fontId="6" fillId="2" borderId="0" xfId="0" applyNumberFormat="1" applyFont="1" applyFill="1" applyBorder="1" applyAlignment="1" applyProtection="1">
      <alignment vertical="center"/>
    </xf>
    <xf numFmtId="14" fontId="6" fillId="4" borderId="0" xfId="0" applyNumberFormat="1" applyFont="1" applyFill="1" applyBorder="1" applyAlignment="1" applyProtection="1">
      <alignment vertical="center"/>
    </xf>
    <xf numFmtId="0" fontId="6" fillId="2" borderId="0" xfId="0" applyNumberFormat="1" applyFont="1" applyFill="1" applyBorder="1" applyAlignment="1" applyProtection="1">
      <alignment vertical="center"/>
    </xf>
    <xf numFmtId="177" fontId="6" fillId="5" borderId="0" xfId="0" applyNumberFormat="1" applyFont="1" applyFill="1" applyBorder="1" applyAlignment="1" applyProtection="1">
      <alignment vertical="center"/>
    </xf>
    <xf numFmtId="0" fontId="6" fillId="9" borderId="0" xfId="0" applyNumberFormat="1" applyFont="1" applyFill="1" applyBorder="1" applyAlignment="1" applyProtection="1">
      <alignment vertical="center"/>
    </xf>
    <xf numFmtId="0" fontId="6" fillId="4" borderId="0" xfId="0" applyNumberFormat="1" applyFont="1" applyFill="1" applyBorder="1" applyAlignment="1">
      <alignment vertical="center"/>
    </xf>
    <xf numFmtId="178" fontId="6" fillId="4" borderId="0" xfId="0" applyNumberFormat="1" applyFont="1" applyFill="1" applyBorder="1" applyAlignment="1" applyProtection="1">
      <alignment vertical="center"/>
    </xf>
    <xf numFmtId="14" fontId="6" fillId="5" borderId="0" xfId="0" applyNumberFormat="1" applyFont="1" applyFill="1" applyBorder="1" applyAlignment="1" applyProtection="1">
      <alignment vertical="center"/>
    </xf>
    <xf numFmtId="14" fontId="6" fillId="3" borderId="0" xfId="0" applyNumberFormat="1" applyFont="1" applyFill="1" applyBorder="1" applyAlignment="1" applyProtection="1">
      <alignment vertical="center"/>
    </xf>
    <xf numFmtId="181" fontId="6" fillId="5" borderId="0" xfId="0" applyNumberFormat="1" applyFont="1" applyFill="1" applyBorder="1" applyAlignment="1" applyProtection="1">
      <alignment vertical="center"/>
    </xf>
    <xf numFmtId="181" fontId="6" fillId="3" borderId="0" xfId="0" applyNumberFormat="1" applyFont="1" applyFill="1" applyBorder="1" applyAlignment="1" applyProtection="1">
      <alignment vertical="center"/>
    </xf>
    <xf numFmtId="181" fontId="6" fillId="4" borderId="0" xfId="0" applyNumberFormat="1" applyFont="1" applyFill="1" applyBorder="1" applyAlignment="1" applyProtection="1">
      <alignment vertical="center"/>
    </xf>
    <xf numFmtId="181" fontId="6" fillId="0" borderId="0" xfId="0" applyNumberFormat="1" applyFont="1" applyFill="1" applyBorder="1" applyAlignment="1" applyProtection="1">
      <alignment vertical="center"/>
    </xf>
    <xf numFmtId="49" fontId="6" fillId="5" borderId="0" xfId="0" applyNumberFormat="1" applyFont="1" applyFill="1" applyBorder="1" applyAlignment="1">
      <alignment horizontal="left" vertical="center"/>
    </xf>
    <xf numFmtId="49" fontId="6" fillId="6" borderId="0" xfId="0" applyNumberFormat="1" applyFont="1" applyFill="1" applyBorder="1" applyAlignment="1" applyProtection="1">
      <alignment vertical="center"/>
    </xf>
    <xf numFmtId="178" fontId="6" fillId="5" borderId="0" xfId="0" applyNumberFormat="1" applyFont="1" applyFill="1" applyBorder="1" applyAlignment="1" applyProtection="1">
      <alignment vertical="center"/>
    </xf>
    <xf numFmtId="181" fontId="6" fillId="6" borderId="0" xfId="0" applyNumberFormat="1" applyFont="1" applyFill="1" applyBorder="1" applyAlignment="1" applyProtection="1">
      <alignment vertical="center"/>
    </xf>
    <xf numFmtId="185" fontId="6" fillId="5" borderId="0" xfId="0" applyNumberFormat="1" applyFont="1" applyFill="1" applyBorder="1" applyAlignment="1" applyProtection="1">
      <alignment vertical="center"/>
    </xf>
    <xf numFmtId="185" fontId="6" fillId="3" borderId="0" xfId="0" applyNumberFormat="1" applyFont="1" applyFill="1" applyBorder="1" applyAlignment="1" applyProtection="1">
      <alignment vertical="center"/>
    </xf>
    <xf numFmtId="181" fontId="6" fillId="5" borderId="0" xfId="0" applyNumberFormat="1" applyFont="1" applyFill="1" applyBorder="1" applyAlignment="1">
      <alignment horizontal="left" vertical="center"/>
    </xf>
    <xf numFmtId="181" fontId="6" fillId="0" borderId="0" xfId="0" applyNumberFormat="1" applyFont="1" applyFill="1" applyBorder="1" applyAlignment="1">
      <alignment horizontal="left" vertical="center"/>
    </xf>
    <xf numFmtId="0" fontId="6" fillId="0" borderId="0" xfId="0" applyFont="1"/>
    <xf numFmtId="0" fontId="6" fillId="4" borderId="0" xfId="0" applyFont="1" applyFill="1"/>
    <xf numFmtId="181" fontId="6" fillId="6" borderId="0" xfId="0" applyNumberFormat="1" applyFont="1" applyFill="1" applyBorder="1" applyAlignment="1">
      <alignment horizontal="left" vertical="center"/>
    </xf>
    <xf numFmtId="0" fontId="7" fillId="0" borderId="0" xfId="0" applyFont="1" applyFill="1" applyBorder="1"/>
    <xf numFmtId="181" fontId="6" fillId="3" borderId="0" xfId="0" applyNumberFormat="1" applyFont="1" applyFill="1" applyBorder="1" applyAlignment="1">
      <alignment horizontal="left" vertical="center"/>
    </xf>
    <xf numFmtId="0" fontId="6" fillId="0" borderId="0" xfId="0" applyFont="1" applyFill="1"/>
    <xf numFmtId="0" fontId="0" fillId="2" borderId="0" xfId="0" applyFill="1" applyAlignment="1">
      <alignment vertical="center"/>
    </xf>
    <xf numFmtId="178" fontId="6" fillId="4" borderId="0" xfId="0" applyNumberFormat="1" applyFont="1" applyFill="1" applyBorder="1" applyAlignment="1" applyProtection="1">
      <alignment horizontal="left" vertical="center"/>
    </xf>
    <xf numFmtId="186" fontId="6" fillId="4" borderId="0" xfId="0" applyNumberFormat="1" applyFont="1" applyFill="1" applyBorder="1" applyAlignment="1" applyProtection="1">
      <alignment vertical="center"/>
    </xf>
    <xf numFmtId="186" fontId="6" fillId="4" borderId="0" xfId="0" applyNumberFormat="1" applyFont="1" applyFill="1" applyBorder="1" applyAlignment="1" applyProtection="1">
      <alignment horizontal="left" vertical="center"/>
    </xf>
    <xf numFmtId="0" fontId="6" fillId="4" borderId="0" xfId="0" applyFont="1" applyFill="1" applyBorder="1" applyAlignment="1">
      <alignment horizontal="left" vertical="center"/>
    </xf>
    <xf numFmtId="0" fontId="6" fillId="10" borderId="0" xfId="0" applyNumberFormat="1" applyFont="1" applyFill="1" applyBorder="1" applyAlignment="1">
      <alignment horizontal="left" vertical="center"/>
    </xf>
    <xf numFmtId="181" fontId="7" fillId="4" borderId="0" xfId="0" applyNumberFormat="1" applyFont="1" applyFill="1" applyBorder="1"/>
    <xf numFmtId="0" fontId="7" fillId="4" borderId="0" xfId="0" applyFont="1" applyFill="1" applyBorder="1"/>
    <xf numFmtId="0" fontId="7" fillId="9" borderId="0" xfId="0" applyFont="1" applyFill="1" applyBorder="1"/>
    <xf numFmtId="0" fontId="7" fillId="3" borderId="0" xfId="0" applyFont="1" applyFill="1" applyBorder="1"/>
    <xf numFmtId="49" fontId="6" fillId="11" borderId="0" xfId="0" applyNumberFormat="1" applyFont="1" applyFill="1" applyBorder="1" applyAlignment="1" applyProtection="1">
      <alignment vertical="center"/>
    </xf>
    <xf numFmtId="49" fontId="6" fillId="11" borderId="0" xfId="0" applyNumberFormat="1" applyFont="1" applyFill="1" applyBorder="1" applyAlignment="1" applyProtection="1">
      <alignment horizontal="left" vertical="center"/>
    </xf>
    <xf numFmtId="0" fontId="6" fillId="11" borderId="0" xfId="0" applyNumberFormat="1" applyFont="1" applyFill="1" applyBorder="1" applyAlignment="1" applyProtection="1">
      <alignment vertical="center"/>
    </xf>
    <xf numFmtId="0" fontId="6" fillId="11" borderId="0" xfId="0" applyNumberFormat="1" applyFont="1" applyFill="1" applyBorder="1" applyAlignment="1" applyProtection="1">
      <alignment horizontal="left" vertical="center"/>
    </xf>
    <xf numFmtId="0" fontId="7" fillId="0" borderId="0" xfId="0" applyFont="1"/>
    <xf numFmtId="0" fontId="7" fillId="4" borderId="0" xfId="0" quotePrefix="1" applyFont="1" applyFill="1" applyAlignment="1">
      <alignment horizontal="left" vertical="center"/>
    </xf>
    <xf numFmtId="179" fontId="6" fillId="4" borderId="0" xfId="0" applyNumberFormat="1" applyFont="1" applyFill="1" applyBorder="1" applyAlignment="1" applyProtection="1">
      <alignment horizontal="left" vertical="center"/>
    </xf>
    <xf numFmtId="179" fontId="6" fillId="5" borderId="0" xfId="0" applyNumberFormat="1" applyFont="1" applyFill="1" applyBorder="1" applyAlignment="1" applyProtection="1">
      <alignment horizontal="left" vertical="center"/>
    </xf>
    <xf numFmtId="182" fontId="6" fillId="4" borderId="0" xfId="0" applyNumberFormat="1" applyFont="1" applyFill="1" applyBorder="1" applyAlignment="1" applyProtection="1">
      <alignment horizontal="left" vertical="center"/>
    </xf>
    <xf numFmtId="181" fontId="6" fillId="4" borderId="0" xfId="0" applyNumberFormat="1" applyFont="1" applyFill="1" applyBorder="1" applyAlignment="1" applyProtection="1">
      <alignment horizontal="left" vertical="center"/>
    </xf>
    <xf numFmtId="0" fontId="7" fillId="2" borderId="0" xfId="0" applyFont="1" applyFill="1"/>
    <xf numFmtId="0" fontId="7" fillId="4" borderId="0" xfId="0" applyFont="1" applyFill="1"/>
    <xf numFmtId="0" fontId="7" fillId="0" borderId="0" xfId="0" applyFont="1" applyFill="1"/>
    <xf numFmtId="181" fontId="6" fillId="5" borderId="0" xfId="0" applyNumberFormat="1" applyFont="1" applyFill="1" applyBorder="1" applyAlignment="1" applyProtection="1">
      <alignment horizontal="left" vertical="center"/>
    </xf>
    <xf numFmtId="0" fontId="7" fillId="5" borderId="0" xfId="0" applyFont="1" applyFill="1" applyBorder="1"/>
    <xf numFmtId="0" fontId="6" fillId="0" borderId="1" xfId="0" applyNumberFormat="1" applyFont="1" applyFill="1" applyBorder="1" applyAlignment="1">
      <alignment horizontal="left" vertical="center"/>
    </xf>
    <xf numFmtId="0" fontId="6" fillId="0" borderId="2" xfId="0" applyNumberFormat="1" applyFont="1" applyFill="1" applyBorder="1" applyAlignment="1">
      <alignment horizontal="left" vertical="center"/>
    </xf>
    <xf numFmtId="0" fontId="6" fillId="10" borderId="3" xfId="0" applyNumberFormat="1" applyFont="1" applyFill="1" applyBorder="1" applyAlignment="1">
      <alignment horizontal="left" vertical="center"/>
    </xf>
    <xf numFmtId="0" fontId="6" fillId="0" borderId="4" xfId="0" applyNumberFormat="1" applyFont="1" applyFill="1" applyBorder="1" applyAlignment="1">
      <alignment horizontal="left" vertical="center"/>
    </xf>
    <xf numFmtId="0" fontId="6" fillId="10" borderId="5" xfId="0" applyNumberFormat="1" applyFont="1" applyFill="1" applyBorder="1" applyAlignment="1">
      <alignment horizontal="left" vertical="center"/>
    </xf>
    <xf numFmtId="0" fontId="6" fillId="0" borderId="6" xfId="0" applyNumberFormat="1" applyFont="1" applyBorder="1" applyAlignment="1">
      <alignment horizontal="left" vertical="center"/>
    </xf>
    <xf numFmtId="0" fontId="6" fillId="0" borderId="7" xfId="0" applyNumberFormat="1" applyFont="1" applyBorder="1" applyAlignment="1">
      <alignment horizontal="left" vertical="center"/>
    </xf>
    <xf numFmtId="0" fontId="6" fillId="0" borderId="6" xfId="0" applyNumberFormat="1" applyFont="1" applyFill="1" applyBorder="1" applyAlignment="1" applyProtection="1">
      <alignment horizontal="left" vertical="center"/>
    </xf>
    <xf numFmtId="0" fontId="6" fillId="0" borderId="7" xfId="0" applyNumberFormat="1" applyFont="1" applyFill="1" applyBorder="1" applyAlignment="1" applyProtection="1">
      <alignment vertical="center"/>
    </xf>
    <xf numFmtId="0" fontId="6" fillId="10" borderId="8" xfId="0" applyNumberFormat="1" applyFont="1" applyFill="1" applyBorder="1" applyAlignment="1">
      <alignment horizontal="left" vertical="center"/>
    </xf>
    <xf numFmtId="0" fontId="6" fillId="0" borderId="9" xfId="0" applyNumberFormat="1" applyFont="1" applyBorder="1" applyAlignment="1">
      <alignment horizontal="left" vertical="center"/>
    </xf>
    <xf numFmtId="0" fontId="6" fillId="0" borderId="10" xfId="0" applyNumberFormat="1" applyFont="1" applyBorder="1" applyAlignment="1">
      <alignment horizontal="left" vertical="center"/>
    </xf>
    <xf numFmtId="0" fontId="6" fillId="0" borderId="11" xfId="0" applyNumberFormat="1" applyFont="1" applyBorder="1" applyAlignment="1">
      <alignment horizontal="left" vertical="center"/>
    </xf>
    <xf numFmtId="0" fontId="6" fillId="7" borderId="0" xfId="0" applyNumberFormat="1" applyFont="1" applyFill="1" applyBorder="1" applyAlignment="1" applyProtection="1">
      <alignment horizontal="left" vertical="center"/>
    </xf>
    <xf numFmtId="0" fontId="6" fillId="7" borderId="0" xfId="0" applyNumberFormat="1" applyFont="1" applyFill="1" applyBorder="1" applyAlignment="1" applyProtection="1">
      <alignment vertical="center"/>
    </xf>
    <xf numFmtId="0" fontId="6" fillId="7" borderId="0" xfId="0" applyNumberFormat="1" applyFont="1" applyFill="1" applyBorder="1" applyAlignment="1">
      <alignment horizontal="left" vertical="center"/>
    </xf>
    <xf numFmtId="0" fontId="6" fillId="0" borderId="1" xfId="0" applyNumberFormat="1" applyFont="1" applyBorder="1" applyAlignment="1">
      <alignment horizontal="left" vertical="center"/>
    </xf>
    <xf numFmtId="0" fontId="6" fillId="0" borderId="2" xfId="0" applyNumberFormat="1" applyFont="1" applyBorder="1" applyAlignment="1">
      <alignment horizontal="left" vertical="center"/>
    </xf>
    <xf numFmtId="0" fontId="6" fillId="0" borderId="4" xfId="0" applyNumberFormat="1" applyFont="1" applyBorder="1" applyAlignment="1">
      <alignment horizontal="left" vertical="center"/>
    </xf>
    <xf numFmtId="49" fontId="6" fillId="10" borderId="3"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6" fillId="0" borderId="13" xfId="0" applyNumberFormat="1" applyFont="1" applyBorder="1" applyAlignment="1">
      <alignment horizontal="left" vertical="center"/>
    </xf>
    <xf numFmtId="0" fontId="6" fillId="7" borderId="14" xfId="0" applyNumberFormat="1" applyFont="1" applyFill="1" applyBorder="1" applyAlignment="1" applyProtection="1">
      <alignment horizontal="left" vertical="center"/>
    </xf>
    <xf numFmtId="0" fontId="6" fillId="0" borderId="5" xfId="0" applyNumberFormat="1" applyFont="1" applyFill="1" applyBorder="1" applyAlignment="1" applyProtection="1">
      <alignment horizontal="left" vertical="center"/>
    </xf>
    <xf numFmtId="0" fontId="6" fillId="7" borderId="6" xfId="0" applyNumberFormat="1" applyFont="1" applyFill="1" applyBorder="1" applyAlignment="1" applyProtection="1">
      <alignment horizontal="left" vertical="center"/>
    </xf>
    <xf numFmtId="0" fontId="6" fillId="0" borderId="8" xfId="0" applyNumberFormat="1" applyFont="1" applyFill="1" applyBorder="1" applyAlignment="1" applyProtection="1">
      <alignment horizontal="left" vertical="center"/>
    </xf>
    <xf numFmtId="0" fontId="6" fillId="7" borderId="10" xfId="0" applyNumberFormat="1" applyFont="1" applyFill="1" applyBorder="1" applyAlignment="1" applyProtection="1">
      <alignment horizontal="left" vertical="center"/>
    </xf>
    <xf numFmtId="0" fontId="6" fillId="5" borderId="2" xfId="0" applyNumberFormat="1" applyFont="1" applyFill="1" applyBorder="1" applyAlignment="1">
      <alignment horizontal="left" vertical="center"/>
    </xf>
    <xf numFmtId="0" fontId="6" fillId="5" borderId="4" xfId="0" applyNumberFormat="1" applyFont="1" applyFill="1" applyBorder="1" applyAlignment="1">
      <alignment horizontal="left" vertical="center"/>
    </xf>
    <xf numFmtId="0" fontId="6" fillId="10" borderId="12" xfId="0" applyNumberFormat="1" applyFont="1" applyFill="1" applyBorder="1" applyAlignment="1">
      <alignment horizontal="left" vertical="center"/>
    </xf>
    <xf numFmtId="0" fontId="6" fillId="5" borderId="13" xfId="0" applyNumberFormat="1" applyFont="1" applyFill="1" applyBorder="1" applyAlignment="1">
      <alignment horizontal="left" vertical="center"/>
    </xf>
    <xf numFmtId="0" fontId="6" fillId="5" borderId="15" xfId="0" applyNumberFormat="1" applyFont="1" applyFill="1" applyBorder="1" applyAlignment="1">
      <alignment horizontal="left" vertical="center"/>
    </xf>
    <xf numFmtId="0" fontId="6" fillId="10" borderId="7" xfId="0" applyNumberFormat="1" applyFont="1" applyFill="1" applyBorder="1" applyAlignment="1">
      <alignment horizontal="left" vertical="center"/>
    </xf>
    <xf numFmtId="0" fontId="6" fillId="5" borderId="14" xfId="0" applyNumberFormat="1" applyFont="1" applyFill="1" applyBorder="1" applyAlignment="1">
      <alignment horizontal="left" vertical="center"/>
    </xf>
    <xf numFmtId="0" fontId="6" fillId="5" borderId="7" xfId="0" applyNumberFormat="1" applyFont="1" applyFill="1" applyBorder="1" applyAlignment="1">
      <alignment horizontal="left" vertical="center"/>
    </xf>
    <xf numFmtId="0" fontId="6" fillId="5" borderId="6" xfId="0" applyNumberFormat="1" applyFont="1" applyFill="1" applyBorder="1" applyAlignment="1">
      <alignment horizontal="left" vertical="center"/>
    </xf>
    <xf numFmtId="0" fontId="6" fillId="5" borderId="9" xfId="0" applyNumberFormat="1" applyFont="1" applyFill="1" applyBorder="1" applyAlignment="1">
      <alignment horizontal="left" vertical="center"/>
    </xf>
    <xf numFmtId="0" fontId="6" fillId="5" borderId="11" xfId="0" applyNumberFormat="1" applyFont="1" applyFill="1" applyBorder="1" applyAlignment="1">
      <alignment horizontal="left" vertical="center"/>
    </xf>
    <xf numFmtId="0" fontId="6" fillId="5" borderId="10" xfId="0" applyNumberFormat="1" applyFont="1" applyFill="1" applyBorder="1" applyAlignment="1">
      <alignment horizontal="left" vertical="center"/>
    </xf>
    <xf numFmtId="0" fontId="6" fillId="3" borderId="0" xfId="0" applyNumberFormat="1" applyFont="1" applyFill="1" applyBorder="1" applyAlignment="1">
      <alignment horizontal="left" vertical="center" shrinkToFit="1"/>
    </xf>
    <xf numFmtId="0" fontId="6" fillId="0" borderId="0" xfId="0" applyNumberFormat="1" applyFont="1" applyAlignment="1" applyProtection="1">
      <alignment horizontal="left" vertical="center"/>
    </xf>
    <xf numFmtId="0" fontId="6" fillId="0" borderId="0" xfId="0" applyNumberFormat="1" applyFont="1" applyFill="1" applyAlignment="1" applyProtection="1">
      <alignment horizontal="left" vertical="center"/>
    </xf>
    <xf numFmtId="0" fontId="6" fillId="0" borderId="3" xfId="0" applyNumberFormat="1" applyFont="1" applyFill="1" applyBorder="1" applyAlignment="1" applyProtection="1">
      <alignment vertical="center"/>
    </xf>
    <xf numFmtId="0" fontId="7" fillId="3" borderId="3" xfId="0" applyNumberFormat="1" applyFont="1" applyFill="1" applyBorder="1" applyAlignment="1" applyProtection="1">
      <alignment vertical="center" wrapText="1"/>
    </xf>
    <xf numFmtId="0" fontId="7" fillId="0" borderId="0" xfId="0" applyNumberFormat="1" applyFont="1" applyFill="1" applyAlignment="1" applyProtection="1">
      <alignment horizontal="left" vertical="center"/>
    </xf>
    <xf numFmtId="0" fontId="7" fillId="0" borderId="0" xfId="0" applyNumberFormat="1" applyFont="1" applyFill="1" applyAlignment="1" applyProtection="1">
      <alignment horizontal="left" vertical="center" wrapText="1"/>
    </xf>
    <xf numFmtId="0" fontId="6" fillId="0" borderId="3" xfId="0" applyNumberFormat="1" applyFont="1" applyBorder="1" applyAlignment="1" applyProtection="1">
      <alignment vertical="center" wrapText="1"/>
    </xf>
    <xf numFmtId="0" fontId="9" fillId="0" borderId="3" xfId="0" applyNumberFormat="1" applyFont="1" applyBorder="1" applyAlignment="1" applyProtection="1">
      <alignment vertical="center"/>
    </xf>
    <xf numFmtId="0" fontId="11" fillId="0" borderId="0" xfId="0" applyNumberFormat="1" applyFont="1" applyAlignment="1" applyProtection="1">
      <alignment horizontal="left" vertical="center"/>
    </xf>
    <xf numFmtId="0" fontId="6" fillId="0" borderId="0" xfId="0" applyNumberFormat="1" applyFont="1" applyAlignment="1" applyProtection="1">
      <alignment horizontal="left" vertical="center" wrapText="1"/>
    </xf>
    <xf numFmtId="0" fontId="6" fillId="0" borderId="3" xfId="0" applyNumberFormat="1" applyFont="1" applyBorder="1" applyAlignment="1" applyProtection="1">
      <alignment vertical="center"/>
    </xf>
    <xf numFmtId="0" fontId="6" fillId="3" borderId="3" xfId="0" applyNumberFormat="1" applyFont="1" applyFill="1" applyBorder="1" applyAlignment="1" applyProtection="1">
      <alignment vertical="center" wrapText="1"/>
    </xf>
    <xf numFmtId="0" fontId="7" fillId="0" borderId="0" xfId="0" applyFont="1" applyAlignment="1">
      <alignment horizontal="left" vertical="center"/>
    </xf>
    <xf numFmtId="0" fontId="6" fillId="0" borderId="0" xfId="0" applyFont="1"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3" borderId="0" xfId="0" applyFill="1" applyBorder="1"/>
    <xf numFmtId="0" fontId="0" fillId="7" borderId="0" xfId="0" applyFill="1" applyBorder="1"/>
    <xf numFmtId="0" fontId="0" fillId="7" borderId="0" xfId="0" applyFill="1" applyBorder="1" applyAlignment="1">
      <alignment horizontal="left" vertical="center"/>
    </xf>
    <xf numFmtId="179" fontId="0" fillId="0" borderId="0" xfId="0" applyNumberFormat="1"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10" borderId="16" xfId="0" applyFill="1" applyBorder="1"/>
    <xf numFmtId="0" fontId="0" fillId="0" borderId="17" xfId="0" applyBorder="1"/>
    <xf numFmtId="0" fontId="12" fillId="0" borderId="0" xfId="0" applyFont="1" applyAlignment="1">
      <alignment vertical="center"/>
    </xf>
    <xf numFmtId="0" fontId="0" fillId="0" borderId="16" xfId="0" applyBorder="1"/>
    <xf numFmtId="0" fontId="0" fillId="0" borderId="18" xfId="0" applyBorder="1"/>
    <xf numFmtId="0" fontId="0" fillId="10" borderId="0" xfId="0" applyFill="1" applyAlignment="1">
      <alignment vertical="center"/>
    </xf>
    <xf numFmtId="0" fontId="12" fillId="0" borderId="0" xfId="0" applyFont="1" applyBorder="1"/>
    <xf numFmtId="0" fontId="0" fillId="3" borderId="0" xfId="0" applyFill="1" applyBorder="1" applyAlignment="1">
      <alignment horizontal="center" vertical="center"/>
    </xf>
    <xf numFmtId="0" fontId="12" fillId="0" borderId="0" xfId="0" applyFont="1" applyBorder="1" applyAlignment="1">
      <alignment vertical="center"/>
    </xf>
    <xf numFmtId="0" fontId="0" fillId="5" borderId="0" xfId="0" applyFill="1" applyBorder="1" applyAlignment="1">
      <alignment horizontal="center" vertical="center"/>
    </xf>
    <xf numFmtId="0" fontId="12" fillId="0" borderId="0" xfId="0" applyFont="1" applyFill="1" applyBorder="1" applyAlignment="1">
      <alignment vertical="center"/>
    </xf>
    <xf numFmtId="0" fontId="0" fillId="0" borderId="0" xfId="0" applyFill="1" applyBorder="1" applyAlignment="1">
      <alignment horizontal="center" vertical="center"/>
    </xf>
    <xf numFmtId="0" fontId="0" fillId="3" borderId="0" xfId="0" applyFill="1" applyBorder="1" applyAlignment="1">
      <alignment horizontal="left" vertical="center"/>
    </xf>
    <xf numFmtId="0" fontId="0" fillId="3" borderId="0" xfId="0" applyFill="1" applyBorder="1" applyAlignment="1">
      <alignment vertical="center"/>
    </xf>
    <xf numFmtId="0" fontId="12" fillId="0" borderId="0" xfId="0" applyFont="1" applyAlignment="1">
      <alignment vertical="center" wrapText="1"/>
    </xf>
    <xf numFmtId="0" fontId="0" fillId="0" borderId="0" xfId="0" applyAlignment="1">
      <alignment vertical="center" wrapText="1"/>
    </xf>
    <xf numFmtId="0" fontId="0" fillId="0" borderId="19" xfId="0" applyBorder="1"/>
    <xf numFmtId="0" fontId="0" fillId="0" borderId="20" xfId="0" applyBorder="1" applyAlignment="1">
      <alignment horizontal="center" vertical="center"/>
    </xf>
    <xf numFmtId="0" fontId="0" fillId="10" borderId="19" xfId="0" applyFill="1" applyBorder="1" applyAlignment="1">
      <alignment horizontal="center" vertical="center"/>
    </xf>
    <xf numFmtId="0" fontId="0" fillId="0" borderId="21" xfId="0" applyBorder="1" applyAlignment="1">
      <alignment vertical="center"/>
    </xf>
    <xf numFmtId="0" fontId="0" fillId="0" borderId="19" xfId="0" applyBorder="1" applyAlignment="1">
      <alignment horizontal="center" vertical="center"/>
    </xf>
    <xf numFmtId="0" fontId="0" fillId="10" borderId="22" xfId="0" applyFill="1" applyBorder="1"/>
    <xf numFmtId="0" fontId="0" fillId="0" borderId="0" xfId="0" applyBorder="1" applyAlignment="1">
      <alignment horizontal="left" vertical="center"/>
    </xf>
    <xf numFmtId="0" fontId="0" fillId="4" borderId="0" xfId="0" applyFill="1" applyAlignment="1">
      <alignment horizontal="center" vertical="center"/>
    </xf>
    <xf numFmtId="0" fontId="0" fillId="10" borderId="21" xfId="0" applyFill="1" applyBorder="1"/>
    <xf numFmtId="0" fontId="6" fillId="3" borderId="0" xfId="0" applyFont="1" applyFill="1" applyBorder="1" applyAlignment="1">
      <alignment vertical="center"/>
    </xf>
    <xf numFmtId="177" fontId="7" fillId="5" borderId="0" xfId="0" applyNumberFormat="1" applyFont="1" applyFill="1" applyBorder="1" applyAlignment="1">
      <alignment vertical="center"/>
    </xf>
    <xf numFmtId="0" fontId="7" fillId="0" borderId="0" xfId="0" applyFont="1" applyBorder="1" applyAlignment="1">
      <alignment horizontal="right" vertical="center"/>
    </xf>
    <xf numFmtId="177" fontId="7" fillId="0" borderId="0" xfId="0" applyNumberFormat="1" applyFont="1" applyBorder="1" applyAlignment="1">
      <alignment horizontal="left" vertical="center"/>
    </xf>
    <xf numFmtId="177" fontId="7" fillId="0" borderId="0" xfId="0" applyNumberFormat="1" applyFont="1" applyBorder="1" applyAlignment="1">
      <alignment vertical="center"/>
    </xf>
    <xf numFmtId="0" fontId="7" fillId="3" borderId="0" xfId="0" applyFont="1" applyFill="1" applyBorder="1" applyAlignment="1">
      <alignment vertical="center"/>
    </xf>
    <xf numFmtId="0" fontId="7" fillId="4" borderId="0" xfId="0" applyFont="1" applyFill="1" applyBorder="1" applyAlignment="1">
      <alignment vertical="center"/>
    </xf>
    <xf numFmtId="177" fontId="7" fillId="4" borderId="0" xfId="0" applyNumberFormat="1" applyFont="1" applyFill="1" applyBorder="1"/>
    <xf numFmtId="177" fontId="7" fillId="0" borderId="0" xfId="0" applyNumberFormat="1" applyFont="1" applyBorder="1" applyAlignment="1">
      <alignment horizontal="left" vertical="top"/>
    </xf>
    <xf numFmtId="0" fontId="7" fillId="4" borderId="0" xfId="0" applyFont="1" applyFill="1" applyBorder="1" applyAlignment="1">
      <alignment vertical="top" wrapText="1"/>
    </xf>
    <xf numFmtId="0" fontId="7" fillId="0" borderId="0" xfId="0" applyFont="1" applyAlignment="1">
      <alignment horizontal="center" vertical="center"/>
    </xf>
    <xf numFmtId="0" fontId="7" fillId="0" borderId="0" xfId="0" applyFont="1" applyAlignment="1">
      <alignment horizontal="right" vertical="center"/>
    </xf>
    <xf numFmtId="177" fontId="7" fillId="0" borderId="0" xfId="0" applyNumberFormat="1" applyFont="1"/>
    <xf numFmtId="0" fontId="7" fillId="0" borderId="0" xfId="0" applyFont="1" applyAlignment="1">
      <alignment vertical="center"/>
    </xf>
    <xf numFmtId="177" fontId="7" fillId="10" borderId="0" xfId="0" applyNumberFormat="1" applyFont="1" applyFill="1"/>
    <xf numFmtId="177" fontId="7" fillId="2" borderId="0" xfId="0" applyNumberFormat="1" applyFont="1" applyFill="1"/>
    <xf numFmtId="0" fontId="7" fillId="10" borderId="19" xfId="0" applyFont="1" applyFill="1" applyBorder="1" applyAlignment="1">
      <alignment horizontal="center" vertical="center"/>
    </xf>
    <xf numFmtId="0" fontId="7" fillId="0" borderId="20" xfId="0" applyFont="1" applyBorder="1" applyAlignment="1">
      <alignment horizontal="center" vertical="center"/>
    </xf>
    <xf numFmtId="0" fontId="7" fillId="0" borderId="19" xfId="0" applyFont="1" applyFill="1" applyBorder="1" applyAlignment="1">
      <alignment horizontal="center" vertical="center"/>
    </xf>
    <xf numFmtId="0" fontId="7" fillId="0" borderId="19" xfId="0" applyFont="1" applyBorder="1" applyAlignment="1">
      <alignment horizontal="center" vertical="center"/>
    </xf>
    <xf numFmtId="177" fontId="7" fillId="0" borderId="19" xfId="0" applyNumberFormat="1" applyFont="1" applyBorder="1" applyAlignment="1">
      <alignment horizontal="center" vertical="center"/>
    </xf>
    <xf numFmtId="0" fontId="7" fillId="0" borderId="19" xfId="0" applyFont="1" applyBorder="1" applyAlignment="1">
      <alignment horizontal="center" vertical="center" shrinkToFit="1"/>
    </xf>
    <xf numFmtId="0" fontId="7" fillId="0" borderId="20" xfId="0" applyFont="1" applyBorder="1" applyAlignment="1">
      <alignment horizontal="left" vertical="center"/>
    </xf>
    <xf numFmtId="0" fontId="7" fillId="0" borderId="23" xfId="0" applyFont="1" applyBorder="1" applyAlignment="1">
      <alignment horizontal="center" vertical="center"/>
    </xf>
    <xf numFmtId="0" fontId="7" fillId="2" borderId="24" xfId="0" applyFont="1" applyFill="1" applyBorder="1"/>
    <xf numFmtId="0" fontId="7" fillId="0" borderId="22" xfId="0" applyFont="1" applyFill="1" applyBorder="1" applyAlignment="1">
      <alignment horizontal="right" vertical="center"/>
    </xf>
    <xf numFmtId="177" fontId="7" fillId="10" borderId="22" xfId="0" applyNumberFormat="1" applyFont="1" applyFill="1" applyBorder="1" applyAlignment="1">
      <alignment horizontal="right" vertical="center"/>
    </xf>
    <xf numFmtId="0" fontId="7" fillId="0" borderId="20" xfId="0" applyFont="1" applyBorder="1" applyAlignment="1">
      <alignment vertical="center" shrinkToFit="1"/>
    </xf>
    <xf numFmtId="0" fontId="7" fillId="10" borderId="20" xfId="0" applyFont="1" applyFill="1" applyBorder="1"/>
    <xf numFmtId="0" fontId="7" fillId="0" borderId="25" xfId="0" applyFont="1" applyBorder="1" applyAlignment="1">
      <alignment horizontal="center" vertical="center"/>
    </xf>
    <xf numFmtId="0" fontId="7" fillId="10" borderId="26" xfId="0" applyFont="1" applyFill="1" applyBorder="1"/>
    <xf numFmtId="0" fontId="7" fillId="0" borderId="22" xfId="0" applyFont="1" applyBorder="1" applyAlignment="1">
      <alignment vertical="center" shrinkToFit="1"/>
    </xf>
    <xf numFmtId="0" fontId="7" fillId="10" borderId="22" xfId="0" applyFont="1" applyFill="1" applyBorder="1"/>
    <xf numFmtId="0" fontId="7" fillId="0" borderId="27" xfId="0" applyFont="1" applyBorder="1" applyAlignment="1">
      <alignment vertical="center" shrinkToFit="1"/>
    </xf>
    <xf numFmtId="0" fontId="7" fillId="0" borderId="28" xfId="0" applyFont="1" applyBorder="1" applyAlignment="1">
      <alignment horizontal="center" vertical="center"/>
    </xf>
    <xf numFmtId="0" fontId="7" fillId="10" borderId="29" xfId="0" applyFont="1" applyFill="1" applyBorder="1"/>
    <xf numFmtId="0" fontId="7" fillId="0" borderId="21" xfId="0" applyFont="1" applyFill="1" applyBorder="1" applyAlignment="1">
      <alignment horizontal="right" vertical="center"/>
    </xf>
    <xf numFmtId="177" fontId="7" fillId="10" borderId="21" xfId="0" applyNumberFormat="1" applyFont="1" applyFill="1" applyBorder="1" applyAlignment="1">
      <alignment horizontal="right" vertical="center"/>
    </xf>
    <xf numFmtId="0" fontId="7" fillId="0" borderId="21" xfId="0" applyFont="1" applyBorder="1" applyAlignment="1">
      <alignment vertical="center" shrinkToFit="1"/>
    </xf>
    <xf numFmtId="0" fontId="7" fillId="10" borderId="21" xfId="0" applyFont="1" applyFill="1" applyBorder="1"/>
    <xf numFmtId="0" fontId="7" fillId="0" borderId="30" xfId="0" applyFont="1" applyBorder="1" applyAlignment="1">
      <alignment vertical="center" shrinkToFit="1"/>
    </xf>
    <xf numFmtId="0" fontId="7" fillId="0" borderId="31" xfId="0" applyFont="1" applyBorder="1" applyAlignment="1">
      <alignment horizontal="center" vertical="center"/>
    </xf>
    <xf numFmtId="0" fontId="7" fillId="0" borderId="20" xfId="0" applyFont="1" applyFill="1" applyBorder="1" applyAlignment="1">
      <alignment horizontal="right" vertical="center"/>
    </xf>
    <xf numFmtId="0" fontId="7" fillId="0" borderId="32" xfId="0" applyFont="1" applyBorder="1" applyAlignment="1">
      <alignment vertical="center" shrinkToFit="1"/>
    </xf>
    <xf numFmtId="0" fontId="7" fillId="0" borderId="33" xfId="0" applyFont="1" applyBorder="1" applyAlignment="1">
      <alignment horizontal="center" vertical="center"/>
    </xf>
    <xf numFmtId="0" fontId="6" fillId="9" borderId="0" xfId="0" applyFont="1" applyFill="1" applyBorder="1" applyAlignment="1">
      <alignment vertical="center"/>
    </xf>
    <xf numFmtId="0" fontId="6" fillId="0" borderId="3" xfId="0" applyFont="1" applyBorder="1" applyAlignment="1">
      <alignment vertical="center"/>
    </xf>
    <xf numFmtId="0" fontId="6" fillId="4" borderId="3" xfId="0" applyFont="1" applyFill="1" applyBorder="1" applyAlignment="1">
      <alignment vertical="center"/>
    </xf>
    <xf numFmtId="0" fontId="6" fillId="0" borderId="3" xfId="0" applyFont="1" applyBorder="1" applyAlignment="1">
      <alignment horizontal="center" vertical="center"/>
    </xf>
    <xf numFmtId="177" fontId="6" fillId="4" borderId="3" xfId="0" applyNumberFormat="1" applyFont="1" applyFill="1" applyBorder="1" applyAlignment="1">
      <alignment vertical="center"/>
    </xf>
    <xf numFmtId="0" fontId="6" fillId="0" borderId="3" xfId="0" applyFont="1" applyFill="1" applyBorder="1" applyAlignment="1">
      <alignment vertical="center"/>
    </xf>
    <xf numFmtId="0" fontId="6" fillId="0" borderId="3" xfId="0" applyFont="1" applyFill="1" applyBorder="1" applyAlignment="1">
      <alignment vertical="center" shrinkToFit="1"/>
    </xf>
    <xf numFmtId="0" fontId="6" fillId="0" borderId="3" xfId="0" applyFont="1" applyBorder="1" applyAlignment="1">
      <alignment vertical="center" shrinkToFit="1"/>
    </xf>
    <xf numFmtId="0" fontId="6" fillId="0" borderId="3" xfId="0" applyFont="1" applyFill="1" applyBorder="1" applyAlignment="1">
      <alignment horizontal="right" vertical="center"/>
    </xf>
    <xf numFmtId="177" fontId="6" fillId="0" borderId="0" xfId="0" applyNumberFormat="1" applyFont="1" applyFill="1" applyBorder="1" applyAlignment="1">
      <alignment vertical="center"/>
    </xf>
    <xf numFmtId="0" fontId="6" fillId="0" borderId="0" xfId="0" applyFont="1" applyFill="1" applyAlignment="1">
      <alignment vertical="center"/>
    </xf>
    <xf numFmtId="0" fontId="6" fillId="0" borderId="0" xfId="0" applyFont="1" applyAlignment="1"/>
    <xf numFmtId="0" fontId="6" fillId="0" borderId="0" xfId="0" applyFont="1" applyAlignment="1">
      <alignment horizontal="left" vertical="center"/>
    </xf>
    <xf numFmtId="0" fontId="6" fillId="4" borderId="0" xfId="0" applyFont="1" applyFill="1" applyBorder="1" applyAlignment="1">
      <alignment vertical="center"/>
    </xf>
    <xf numFmtId="0" fontId="6" fillId="0" borderId="0" xfId="0" applyFont="1" applyAlignment="1">
      <alignment horizontal="center" vertical="center"/>
    </xf>
    <xf numFmtId="0" fontId="6" fillId="7"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177" fontId="6" fillId="4" borderId="0" xfId="0" applyNumberFormat="1" applyFont="1" applyFill="1" applyBorder="1" applyAlignment="1">
      <alignment vertical="center"/>
    </xf>
    <xf numFmtId="0" fontId="6" fillId="3" borderId="0" xfId="0" applyFont="1" applyFill="1" applyAlignment="1">
      <alignment horizontal="left" vertical="center"/>
    </xf>
    <xf numFmtId="0" fontId="6" fillId="0" borderId="0" xfId="0" applyFont="1" applyFill="1" applyAlignment="1">
      <alignment horizontal="left" vertical="center"/>
    </xf>
    <xf numFmtId="0" fontId="6" fillId="3" borderId="0" xfId="0" applyFont="1" applyFill="1" applyAlignment="1">
      <alignment vertical="center"/>
    </xf>
    <xf numFmtId="49" fontId="7" fillId="2" borderId="1" xfId="0" applyNumberFormat="1" applyFont="1" applyFill="1" applyBorder="1" applyAlignment="1">
      <alignment vertical="center"/>
    </xf>
    <xf numFmtId="49" fontId="7" fillId="2" borderId="4" xfId="0" applyNumberFormat="1" applyFont="1" applyFill="1" applyBorder="1" applyAlignment="1">
      <alignment vertical="center"/>
    </xf>
    <xf numFmtId="0" fontId="7" fillId="4" borderId="1" xfId="0" applyFont="1" applyFill="1" applyBorder="1" applyAlignment="1">
      <alignment vertical="center"/>
    </xf>
    <xf numFmtId="0" fontId="7" fillId="4" borderId="2" xfId="0" applyFont="1" applyFill="1" applyBorder="1" applyAlignment="1">
      <alignment vertical="center"/>
    </xf>
    <xf numFmtId="0" fontId="7" fillId="7" borderId="2" xfId="0" applyFont="1" applyFill="1" applyBorder="1" applyAlignment="1">
      <alignment vertical="center"/>
    </xf>
    <xf numFmtId="0" fontId="7" fillId="7" borderId="4" xfId="0" applyFont="1" applyFill="1" applyBorder="1" applyAlignment="1">
      <alignment vertical="center"/>
    </xf>
    <xf numFmtId="0" fontId="6" fillId="6" borderId="1" xfId="0" applyFont="1" applyFill="1" applyBorder="1" applyAlignment="1">
      <alignment vertical="center"/>
    </xf>
    <xf numFmtId="0" fontId="6" fillId="6" borderId="2" xfId="0" applyFont="1" applyFill="1" applyBorder="1" applyAlignment="1">
      <alignment vertical="center"/>
    </xf>
    <xf numFmtId="0" fontId="6" fillId="6" borderId="4" xfId="0" applyFont="1" applyFill="1" applyBorder="1" applyAlignment="1">
      <alignment vertical="center"/>
    </xf>
    <xf numFmtId="49" fontId="6" fillId="11" borderId="1" xfId="0" applyNumberFormat="1" applyFont="1" applyFill="1" applyBorder="1" applyAlignment="1">
      <alignment vertical="center"/>
    </xf>
    <xf numFmtId="49" fontId="6" fillId="11" borderId="2" xfId="0" applyNumberFormat="1" applyFont="1" applyFill="1" applyBorder="1" applyAlignment="1">
      <alignment vertical="center"/>
    </xf>
    <xf numFmtId="49" fontId="6" fillId="11" borderId="4" xfId="0" applyNumberFormat="1" applyFont="1" applyFill="1" applyBorder="1" applyAlignment="1">
      <alignment vertical="center"/>
    </xf>
    <xf numFmtId="0" fontId="6" fillId="4" borderId="1" xfId="0" applyFont="1" applyFill="1" applyBorder="1" applyAlignment="1">
      <alignment vertical="center"/>
    </xf>
    <xf numFmtId="0" fontId="6" fillId="4" borderId="2" xfId="0" applyFont="1" applyFill="1" applyBorder="1" applyAlignment="1">
      <alignment vertical="center"/>
    </xf>
    <xf numFmtId="0" fontId="6" fillId="4" borderId="4" xfId="0" applyFont="1" applyFill="1" applyBorder="1" applyAlignment="1">
      <alignment vertical="center"/>
    </xf>
    <xf numFmtId="0" fontId="6" fillId="11" borderId="1" xfId="0" applyFont="1" applyFill="1" applyBorder="1" applyAlignment="1">
      <alignment vertical="center"/>
    </xf>
    <xf numFmtId="0" fontId="6" fillId="11" borderId="2" xfId="0" applyFont="1" applyFill="1" applyBorder="1" applyAlignment="1">
      <alignment vertical="center"/>
    </xf>
    <xf numFmtId="0" fontId="6" fillId="11" borderId="4" xfId="0" applyFont="1" applyFill="1" applyBorder="1" applyAlignment="1">
      <alignment vertical="center"/>
    </xf>
    <xf numFmtId="0" fontId="6" fillId="0" borderId="3" xfId="0" applyFont="1" applyFill="1" applyBorder="1" applyAlignment="1">
      <alignment horizontal="left" vertical="center"/>
    </xf>
    <xf numFmtId="0" fontId="6" fillId="12" borderId="3" xfId="0" applyNumberFormat="1" applyFont="1" applyFill="1" applyBorder="1" applyAlignment="1">
      <alignment horizontal="left" vertical="center"/>
    </xf>
    <xf numFmtId="49" fontId="7" fillId="0" borderId="3"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7" fillId="13" borderId="3" xfId="0" applyFont="1" applyFill="1" applyBorder="1" applyAlignment="1">
      <alignment vertical="center" wrapText="1"/>
    </xf>
    <xf numFmtId="0" fontId="7" fillId="2" borderId="3" xfId="0" applyFont="1" applyFill="1" applyBorder="1" applyAlignment="1">
      <alignment vertical="center" wrapText="1"/>
    </xf>
    <xf numFmtId="49" fontId="6" fillId="0" borderId="3"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left" vertical="center" wrapText="1"/>
    </xf>
    <xf numFmtId="49" fontId="6" fillId="0" borderId="3" xfId="0" applyNumberFormat="1" applyFont="1" applyFill="1" applyBorder="1" applyAlignment="1">
      <alignment vertical="center"/>
    </xf>
    <xf numFmtId="49" fontId="7"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7" fillId="0" borderId="3" xfId="0" applyNumberFormat="1" applyFont="1" applyFill="1" applyBorder="1" applyAlignment="1">
      <alignment horizontal="left" vertical="center" wrapText="1"/>
    </xf>
    <xf numFmtId="49" fontId="7" fillId="0" borderId="3" xfId="0" applyNumberFormat="1" applyFont="1" applyFill="1" applyBorder="1" applyAlignment="1">
      <alignment horizontal="center" vertical="center"/>
    </xf>
    <xf numFmtId="49" fontId="6" fillId="0" borderId="3" xfId="0" applyNumberFormat="1" applyFont="1" applyFill="1" applyBorder="1"/>
    <xf numFmtId="49" fontId="7" fillId="0" borderId="0" xfId="0" applyNumberFormat="1" applyFont="1" applyAlignment="1">
      <alignment horizontal="center" vertical="center"/>
    </xf>
    <xf numFmtId="49" fontId="7" fillId="0" borderId="3" xfId="0" applyNumberFormat="1" applyFont="1" applyBorder="1" applyAlignment="1">
      <alignment vertical="center"/>
    </xf>
    <xf numFmtId="0" fontId="7" fillId="0" borderId="3" xfId="0" applyFont="1" applyFill="1" applyBorder="1" applyAlignment="1">
      <alignment horizontal="center" vertical="center"/>
    </xf>
    <xf numFmtId="49" fontId="12" fillId="0" borderId="14" xfId="0" applyNumberFormat="1" applyFont="1" applyFill="1" applyBorder="1" applyAlignment="1">
      <alignment horizontal="center" vertical="center"/>
    </xf>
    <xf numFmtId="0" fontId="6" fillId="14" borderId="3" xfId="0" applyNumberFormat="1" applyFont="1" applyFill="1" applyBorder="1" applyAlignment="1">
      <alignment horizontal="left" vertical="center"/>
    </xf>
    <xf numFmtId="49" fontId="7" fillId="0" borderId="3" xfId="0" applyNumberFormat="1" applyFont="1" applyBorder="1" applyAlignment="1">
      <alignment horizontal="center" vertical="center" shrinkToFit="1"/>
    </xf>
    <xf numFmtId="0" fontId="7" fillId="0" borderId="3" xfId="0" applyNumberFormat="1" applyFont="1" applyFill="1" applyBorder="1" applyAlignment="1">
      <alignment horizontal="left" vertical="center"/>
    </xf>
    <xf numFmtId="49" fontId="6" fillId="2" borderId="3" xfId="0" applyNumberFormat="1" applyFont="1" applyFill="1" applyBorder="1" applyAlignment="1">
      <alignment horizontal="center" vertical="center"/>
    </xf>
    <xf numFmtId="49" fontId="7" fillId="0" borderId="3" xfId="0" applyNumberFormat="1" applyFont="1" applyBorder="1" applyAlignment="1">
      <alignment horizontal="left" vertical="center"/>
    </xf>
    <xf numFmtId="0" fontId="6" fillId="0" borderId="3" xfId="0" applyNumberFormat="1" applyFont="1" applyFill="1" applyBorder="1" applyAlignment="1">
      <alignment horizontal="left" vertical="center"/>
    </xf>
    <xf numFmtId="0" fontId="7" fillId="2" borderId="3" xfId="0" applyNumberFormat="1" applyFont="1" applyFill="1" applyBorder="1" applyAlignment="1">
      <alignment horizontal="left" vertical="center" wrapText="1"/>
    </xf>
    <xf numFmtId="0" fontId="7" fillId="14" borderId="3" xfId="0" applyNumberFormat="1" applyFont="1" applyFill="1" applyBorder="1" applyAlignment="1">
      <alignment horizontal="left" vertical="center" wrapText="1"/>
    </xf>
    <xf numFmtId="0" fontId="7" fillId="0" borderId="0" xfId="0" applyNumberFormat="1" applyFont="1" applyFill="1" applyAlignment="1">
      <alignment horizontal="left" vertical="center" wrapText="1"/>
    </xf>
    <xf numFmtId="49" fontId="7" fillId="15" borderId="3" xfId="0" applyNumberFormat="1" applyFont="1" applyFill="1" applyBorder="1" applyAlignment="1">
      <alignment vertical="center"/>
    </xf>
    <xf numFmtId="49" fontId="7" fillId="0" borderId="3" xfId="0" applyNumberFormat="1" applyFont="1" applyFill="1" applyBorder="1" applyAlignment="1">
      <alignment vertical="center"/>
    </xf>
    <xf numFmtId="0" fontId="7" fillId="0" borderId="3" xfId="0" applyFont="1" applyBorder="1" applyAlignment="1">
      <alignment horizontal="center" vertical="center"/>
    </xf>
    <xf numFmtId="0" fontId="6" fillId="0" borderId="3" xfId="0" applyFont="1" applyFill="1" applyBorder="1" applyAlignment="1">
      <alignment horizontal="center" vertical="center"/>
    </xf>
    <xf numFmtId="0" fontId="6" fillId="16" borderId="3" xfId="0" applyFont="1" applyFill="1" applyBorder="1" applyAlignment="1">
      <alignment horizontal="center" vertical="center"/>
    </xf>
    <xf numFmtId="0" fontId="7" fillId="14" borderId="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xf>
    <xf numFmtId="0" fontId="7" fillId="0" borderId="3" xfId="0" applyNumberFormat="1" applyFont="1" applyBorder="1" applyAlignment="1">
      <alignment horizontal="center" vertical="center"/>
    </xf>
    <xf numFmtId="0" fontId="7"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xf>
    <xf numFmtId="0" fontId="6" fillId="14" borderId="3" xfId="0" applyNumberFormat="1" applyFont="1" applyFill="1" applyBorder="1" applyAlignment="1">
      <alignment horizontal="center" vertical="center"/>
    </xf>
    <xf numFmtId="0" fontId="7" fillId="0" borderId="0" xfId="0" applyNumberFormat="1" applyFont="1" applyFill="1" applyAlignment="1">
      <alignment horizontal="left" vertical="center"/>
    </xf>
    <xf numFmtId="0" fontId="7" fillId="0" borderId="0" xfId="0" applyFont="1" applyFill="1" applyAlignment="1">
      <alignment horizontal="center" vertical="center"/>
    </xf>
    <xf numFmtId="49" fontId="7" fillId="0" borderId="3" xfId="0" applyNumberFormat="1" applyFont="1" applyFill="1" applyBorder="1" applyAlignment="1">
      <alignment vertical="center" wrapText="1"/>
    </xf>
    <xf numFmtId="49" fontId="7" fillId="12" borderId="3" xfId="0" applyNumberFormat="1" applyFont="1" applyFill="1" applyBorder="1" applyAlignment="1">
      <alignment horizontal="center" vertical="center"/>
    </xf>
    <xf numFmtId="0" fontId="6" fillId="0" borderId="3" xfId="0" applyFont="1" applyBorder="1"/>
    <xf numFmtId="0" fontId="6" fillId="7" borderId="3" xfId="0" applyFont="1" applyFill="1" applyBorder="1" applyAlignment="1">
      <alignment horizontal="center" vertical="center"/>
    </xf>
    <xf numFmtId="0" fontId="7" fillId="0" borderId="3" xfId="0" applyFont="1" applyBorder="1"/>
    <xf numFmtId="0" fontId="7" fillId="0" borderId="3" xfId="0" applyFont="1" applyFill="1" applyBorder="1" applyAlignment="1">
      <alignment vertical="center"/>
    </xf>
    <xf numFmtId="0" fontId="7" fillId="0" borderId="3" xfId="0" applyFont="1" applyBorder="1" applyAlignment="1">
      <alignment vertical="center"/>
    </xf>
    <xf numFmtId="0" fontId="7" fillId="4" borderId="3" xfId="0" applyFont="1" applyFill="1" applyBorder="1" applyAlignment="1">
      <alignment horizontal="center" vertical="center"/>
    </xf>
    <xf numFmtId="0" fontId="7" fillId="4" borderId="3" xfId="0" applyNumberFormat="1" applyFont="1" applyFill="1" applyBorder="1" applyAlignment="1">
      <alignment horizontal="center" vertical="center"/>
    </xf>
    <xf numFmtId="49" fontId="7" fillId="2" borderId="3" xfId="0" applyNumberFormat="1" applyFont="1" applyFill="1" applyBorder="1" applyAlignment="1">
      <alignment horizontal="center" vertical="center"/>
    </xf>
    <xf numFmtId="0" fontId="7" fillId="0" borderId="3" xfId="0" applyFont="1" applyFill="1" applyBorder="1"/>
    <xf numFmtId="0" fontId="6" fillId="0" borderId="3" xfId="0" applyFont="1" applyFill="1" applyBorder="1" applyAlignment="1">
      <alignment vertical="center" wrapText="1"/>
    </xf>
    <xf numFmtId="0" fontId="6" fillId="0" borderId="3" xfId="0" applyFont="1" applyFill="1" applyBorder="1"/>
    <xf numFmtId="0" fontId="7" fillId="0" borderId="3" xfId="0" applyFont="1" applyBorder="1" applyAlignment="1">
      <alignment horizontal="left" vertical="center"/>
    </xf>
    <xf numFmtId="0" fontId="6" fillId="0" borderId="0" xfId="0" applyFont="1" applyFill="1" applyBorder="1" applyAlignment="1">
      <alignment horizontal="center" vertical="center"/>
    </xf>
    <xf numFmtId="49" fontId="6" fillId="0" borderId="0" xfId="0" applyNumberFormat="1" applyFont="1" applyFill="1" applyAlignment="1">
      <alignment horizontal="center" vertical="center"/>
    </xf>
    <xf numFmtId="0" fontId="6" fillId="0" borderId="0" xfId="0" applyFont="1" applyFill="1" applyAlignment="1">
      <alignment horizontal="center" vertical="center" shrinkToFit="1"/>
    </xf>
    <xf numFmtId="0" fontId="7" fillId="0" borderId="0" xfId="0" applyNumberFormat="1" applyFont="1" applyBorder="1" applyAlignment="1">
      <alignment horizontal="left" vertical="center"/>
    </xf>
    <xf numFmtId="0" fontId="7" fillId="0" borderId="10" xfId="0" applyFont="1" applyFill="1" applyBorder="1"/>
    <xf numFmtId="0" fontId="6" fillId="0" borderId="10" xfId="0" applyFont="1" applyFill="1" applyBorder="1" applyAlignment="1">
      <alignment horizontal="center" vertical="center"/>
    </xf>
    <xf numFmtId="0" fontId="7" fillId="0" borderId="0" xfId="0" applyNumberFormat="1" applyFont="1" applyFill="1" applyBorder="1" applyAlignment="1">
      <alignment horizontal="left" vertical="center"/>
    </xf>
    <xf numFmtId="49" fontId="6" fillId="2" borderId="0" xfId="0" applyNumberFormat="1" applyFont="1" applyFill="1" applyBorder="1" applyAlignment="1">
      <alignment horizontal="left" vertical="center" shrinkToFit="1"/>
    </xf>
    <xf numFmtId="177" fontId="6" fillId="4" borderId="0" xfId="0" quotePrefix="1" applyNumberFormat="1" applyFont="1" applyFill="1" applyBorder="1" applyAlignment="1">
      <alignment horizontal="right" vertical="center"/>
    </xf>
    <xf numFmtId="56" fontId="6" fillId="4" borderId="0" xfId="0" applyNumberFormat="1" applyFont="1" applyFill="1" applyBorder="1" applyAlignment="1">
      <alignment horizontal="left" vertical="center"/>
    </xf>
    <xf numFmtId="14" fontId="6" fillId="4" borderId="0" xfId="0" applyNumberFormat="1" applyFont="1" applyFill="1" applyBorder="1" applyAlignment="1">
      <alignment horizontal="left" vertical="center"/>
    </xf>
    <xf numFmtId="0" fontId="6" fillId="2" borderId="0" xfId="0" applyNumberFormat="1" applyFont="1" applyFill="1" applyBorder="1" applyAlignment="1" applyProtection="1">
      <alignment horizontal="left" vertical="center"/>
    </xf>
    <xf numFmtId="0" fontId="14" fillId="0" borderId="0" xfId="0" applyFont="1" applyAlignment="1">
      <alignment vertical="center"/>
    </xf>
    <xf numFmtId="177" fontId="6" fillId="4" borderId="0" xfId="0" applyNumberFormat="1" applyFont="1" applyFill="1" applyBorder="1" applyAlignment="1" applyProtection="1">
      <alignment horizontal="left" vertical="center"/>
    </xf>
    <xf numFmtId="177" fontId="6" fillId="7" borderId="0" xfId="0" applyNumberFormat="1" applyFont="1" applyFill="1" applyBorder="1" applyAlignment="1">
      <alignment horizontal="left" vertical="center"/>
    </xf>
    <xf numFmtId="0" fontId="6" fillId="7" borderId="3" xfId="0" applyFont="1" applyFill="1" applyBorder="1" applyAlignment="1">
      <alignment vertical="center"/>
    </xf>
    <xf numFmtId="0" fontId="7" fillId="10" borderId="35" xfId="0" applyFont="1" applyFill="1" applyBorder="1" applyAlignment="1">
      <alignment vertical="center"/>
    </xf>
    <xf numFmtId="0" fontId="7" fillId="0" borderId="39" xfId="0" applyFont="1" applyBorder="1" applyAlignment="1">
      <alignment vertical="center" shrinkToFit="1"/>
    </xf>
    <xf numFmtId="0" fontId="7" fillId="0" borderId="22" xfId="0" applyFont="1" applyBorder="1"/>
    <xf numFmtId="0" fontId="7" fillId="10" borderId="37" xfId="0" applyFont="1" applyFill="1" applyBorder="1" applyAlignment="1">
      <alignment vertical="center"/>
    </xf>
    <xf numFmtId="0" fontId="7" fillId="10" borderId="38" xfId="0" applyFont="1" applyFill="1" applyBorder="1" applyAlignment="1">
      <alignment vertical="center"/>
    </xf>
    <xf numFmtId="0" fontId="7" fillId="0" borderId="40" xfId="0" applyFont="1" applyBorder="1" applyAlignment="1">
      <alignment vertical="center" shrinkToFit="1"/>
    </xf>
    <xf numFmtId="0" fontId="6" fillId="4" borderId="0" xfId="0" applyFont="1" applyFill="1" applyAlignment="1">
      <alignment vertical="center"/>
    </xf>
    <xf numFmtId="0" fontId="6" fillId="11" borderId="3" xfId="0" applyFont="1" applyFill="1" applyBorder="1" applyAlignment="1">
      <alignment vertical="center"/>
    </xf>
    <xf numFmtId="0" fontId="28" fillId="3" borderId="0" xfId="0" applyFont="1" applyFill="1" applyBorder="1" applyAlignment="1">
      <alignment vertical="center"/>
    </xf>
    <xf numFmtId="178" fontId="6" fillId="3" borderId="0" xfId="0" applyNumberFormat="1" applyFont="1" applyFill="1" applyBorder="1" applyAlignment="1" applyProtection="1">
      <alignment vertical="center"/>
    </xf>
    <xf numFmtId="0" fontId="0" fillId="0" borderId="3" xfId="0" applyBorder="1"/>
    <xf numFmtId="0" fontId="6" fillId="0" borderId="3" xfId="0" applyNumberFormat="1" applyFont="1" applyFill="1" applyBorder="1" applyAlignment="1" applyProtection="1">
      <alignment horizontal="center" vertical="center" shrinkToFit="1"/>
    </xf>
    <xf numFmtId="0" fontId="6" fillId="11" borderId="3" xfId="0" applyNumberFormat="1" applyFont="1" applyFill="1" applyBorder="1" applyAlignment="1" applyProtection="1">
      <alignment horizontal="center" vertical="center" shrinkToFit="1"/>
    </xf>
    <xf numFmtId="0" fontId="6" fillId="5" borderId="3" xfId="0" applyNumberFormat="1" applyFont="1" applyFill="1" applyBorder="1" applyAlignment="1" applyProtection="1">
      <alignment vertical="center"/>
    </xf>
    <xf numFmtId="181" fontId="6" fillId="11" borderId="0" xfId="0" applyNumberFormat="1" applyFont="1" applyFill="1" applyBorder="1" applyAlignment="1" applyProtection="1">
      <alignment vertical="center"/>
    </xf>
    <xf numFmtId="180" fontId="6" fillId="4" borderId="0" xfId="0" applyNumberFormat="1" applyFont="1" applyFill="1" applyBorder="1" applyAlignment="1" applyProtection="1">
      <alignment vertical="center"/>
    </xf>
    <xf numFmtId="0" fontId="6" fillId="3" borderId="0" xfId="0" applyNumberFormat="1" applyFont="1" applyFill="1" applyBorder="1" applyAlignment="1" applyProtection="1">
      <alignment horizontal="center" vertical="center"/>
    </xf>
    <xf numFmtId="0" fontId="0" fillId="3" borderId="0" xfId="0" applyFill="1" applyAlignment="1">
      <alignment vertical="center"/>
    </xf>
    <xf numFmtId="49" fontId="6" fillId="2" borderId="0" xfId="0" applyNumberFormat="1" applyFont="1" applyFill="1" applyBorder="1" applyAlignment="1">
      <alignment horizontal="left" vertical="center"/>
    </xf>
    <xf numFmtId="177" fontId="6" fillId="2" borderId="0" xfId="0" applyNumberFormat="1" applyFont="1" applyFill="1" applyBorder="1" applyAlignment="1" applyProtection="1">
      <alignment vertical="center"/>
    </xf>
    <xf numFmtId="0" fontId="6" fillId="4" borderId="0" xfId="0" applyFont="1" applyFill="1" applyAlignment="1">
      <alignment horizontal="center"/>
    </xf>
    <xf numFmtId="0" fontId="6" fillId="3" borderId="0" xfId="0" applyFont="1" applyFill="1" applyAlignment="1">
      <alignment horizontal="center"/>
    </xf>
    <xf numFmtId="0" fontId="6" fillId="0" borderId="0" xfId="0" applyNumberFormat="1" applyFont="1" applyFill="1" applyBorder="1" applyAlignment="1">
      <alignment horizontal="center" vertical="center"/>
    </xf>
    <xf numFmtId="0" fontId="7" fillId="0" borderId="0" xfId="0" applyFont="1" applyAlignment="1">
      <alignment horizontal="center"/>
    </xf>
    <xf numFmtId="0" fontId="6" fillId="11" borderId="0" xfId="0" applyNumberFormat="1" applyFont="1" applyFill="1" applyBorder="1" applyAlignment="1">
      <alignment horizontal="left" vertical="center"/>
    </xf>
    <xf numFmtId="0" fontId="6" fillId="4" borderId="0" xfId="0" quotePrefix="1" applyNumberFormat="1" applyFont="1" applyFill="1" applyBorder="1" applyAlignment="1">
      <alignment horizontal="left" vertical="center"/>
    </xf>
    <xf numFmtId="0" fontId="7" fillId="7" borderId="3" xfId="0" applyFont="1" applyFill="1" applyBorder="1" applyAlignment="1">
      <alignment horizontal="center" vertical="center"/>
    </xf>
    <xf numFmtId="0" fontId="7" fillId="7" borderId="3" xfId="0" applyNumberFormat="1" applyFont="1" applyFill="1" applyBorder="1" applyAlignment="1">
      <alignment horizontal="center" vertical="center"/>
    </xf>
    <xf numFmtId="0" fontId="6" fillId="4" borderId="0" xfId="0" applyFont="1" applyFill="1" applyAlignment="1">
      <alignment horizontal="center" vertical="center" wrapText="1"/>
    </xf>
    <xf numFmtId="0" fontId="6" fillId="4" borderId="0" xfId="0" applyFont="1" applyFill="1" applyAlignment="1">
      <alignment horizontal="center" vertical="center"/>
    </xf>
    <xf numFmtId="0" fontId="6" fillId="4" borderId="3" xfId="0" applyFont="1" applyFill="1" applyBorder="1" applyAlignment="1">
      <alignment horizontal="center" vertical="center" wrapText="1"/>
    </xf>
    <xf numFmtId="0" fontId="6" fillId="4" borderId="3" xfId="0" applyFont="1" applyFill="1" applyBorder="1" applyAlignment="1">
      <alignment horizontal="center" vertical="center"/>
    </xf>
    <xf numFmtId="0" fontId="6" fillId="11" borderId="3" xfId="0" applyFont="1" applyFill="1" applyBorder="1" applyAlignment="1">
      <alignment horizontal="center" vertical="center" wrapText="1"/>
    </xf>
    <xf numFmtId="0" fontId="30" fillId="4" borderId="3" xfId="0" applyFont="1" applyFill="1" applyBorder="1" applyAlignment="1">
      <alignment vertical="center"/>
    </xf>
    <xf numFmtId="177" fontId="6" fillId="0" borderId="3" xfId="0" applyNumberFormat="1" applyFont="1" applyBorder="1" applyAlignment="1">
      <alignment horizontal="left" vertical="center"/>
    </xf>
    <xf numFmtId="0" fontId="6" fillId="0" borderId="3" xfId="0" quotePrefix="1" applyFont="1" applyBorder="1" applyAlignment="1">
      <alignment horizontal="center" vertical="center"/>
    </xf>
    <xf numFmtId="0" fontId="6" fillId="0" borderId="3" xfId="0" applyFont="1" applyBorder="1" applyAlignment="1">
      <alignment horizontal="left" vertical="center"/>
    </xf>
    <xf numFmtId="181" fontId="6" fillId="0" borderId="3" xfId="0" applyNumberFormat="1" applyFont="1" applyBorder="1" applyAlignment="1">
      <alignment horizontal="left" vertical="center"/>
    </xf>
    <xf numFmtId="179" fontId="6" fillId="0" borderId="3" xfId="0" applyNumberFormat="1" applyFont="1" applyBorder="1" applyAlignment="1">
      <alignment horizontal="left" vertical="center"/>
    </xf>
    <xf numFmtId="0" fontId="6" fillId="0" borderId="14"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11" borderId="10" xfId="0" applyFont="1" applyFill="1" applyBorder="1" applyAlignment="1">
      <alignment horizontal="center" vertical="center"/>
    </xf>
    <xf numFmtId="0" fontId="30" fillId="11" borderId="0" xfId="0" applyFont="1" applyFill="1"/>
    <xf numFmtId="0" fontId="6" fillId="11" borderId="3" xfId="0" applyFont="1" applyFill="1" applyBorder="1"/>
    <xf numFmtId="0" fontId="6" fillId="4" borderId="3" xfId="0" applyFont="1" applyFill="1" applyBorder="1"/>
    <xf numFmtId="0" fontId="6" fillId="0" borderId="3" xfId="0" applyFont="1" applyBorder="1" applyAlignment="1">
      <alignment shrinkToFit="1"/>
    </xf>
    <xf numFmtId="0" fontId="6" fillId="11" borderId="3" xfId="0" applyFont="1" applyFill="1" applyBorder="1" applyAlignment="1">
      <alignment shrinkToFit="1"/>
    </xf>
    <xf numFmtId="0" fontId="6" fillId="3" borderId="0" xfId="0" applyFont="1" applyFill="1"/>
    <xf numFmtId="49" fontId="7" fillId="4" borderId="3" xfId="0" applyNumberFormat="1" applyFont="1" applyFill="1" applyBorder="1" applyAlignment="1">
      <alignment vertical="center"/>
    </xf>
    <xf numFmtId="0" fontId="6" fillId="0" borderId="0" xfId="0" applyFont="1" applyBorder="1" applyAlignment="1">
      <alignment horizontal="center" vertical="center"/>
    </xf>
    <xf numFmtId="0" fontId="7" fillId="2" borderId="1" xfId="0" applyFont="1" applyFill="1" applyBorder="1" applyAlignment="1">
      <alignment horizontal="left" vertical="center"/>
    </xf>
    <xf numFmtId="0" fontId="7" fillId="2" borderId="4" xfId="0" applyFont="1" applyFill="1" applyBorder="1" applyAlignment="1">
      <alignment horizontal="left" vertical="center"/>
    </xf>
    <xf numFmtId="0" fontId="6" fillId="9" borderId="0" xfId="0" applyNumberFormat="1" applyFont="1" applyFill="1" applyBorder="1" applyAlignment="1">
      <alignment horizontal="left" vertical="center"/>
    </xf>
    <xf numFmtId="0" fontId="6" fillId="0" borderId="4"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9"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22"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vertical="center"/>
    </xf>
    <xf numFmtId="0" fontId="6" fillId="0" borderId="52" xfId="0" applyFont="1" applyBorder="1" applyAlignment="1">
      <alignment horizontal="center" vertical="center"/>
    </xf>
    <xf numFmtId="0" fontId="6" fillId="0" borderId="0" xfId="0" applyFont="1" applyAlignment="1">
      <alignment horizontal="left" vertical="center" indent="1"/>
    </xf>
    <xf numFmtId="0" fontId="29" fillId="4" borderId="3" xfId="0" applyFont="1" applyFill="1" applyBorder="1" applyAlignment="1">
      <alignment vertical="center"/>
    </xf>
    <xf numFmtId="0" fontId="6" fillId="11" borderId="2" xfId="0" applyFont="1" applyFill="1" applyBorder="1" applyAlignment="1">
      <alignment horizontal="left" vertical="center"/>
    </xf>
    <xf numFmtId="0" fontId="6" fillId="11" borderId="4" xfId="0" applyFont="1" applyFill="1" applyBorder="1" applyAlignment="1">
      <alignment horizontal="left" vertical="center"/>
    </xf>
    <xf numFmtId="0" fontId="6" fillId="0" borderId="3" xfId="0" applyNumberFormat="1" applyFont="1" applyFill="1" applyBorder="1" applyAlignment="1">
      <alignment horizontal="centerContinuous" vertical="center" wrapText="1"/>
    </xf>
    <xf numFmtId="49" fontId="6" fillId="0" borderId="14" xfId="0" applyNumberFormat="1" applyFont="1" applyFill="1" applyBorder="1" applyAlignment="1">
      <alignment horizontal="center" vertical="center"/>
    </xf>
    <xf numFmtId="0" fontId="0" fillId="5" borderId="0" xfId="0" applyFill="1" applyBorder="1" applyAlignment="1">
      <alignment vertical="center"/>
    </xf>
    <xf numFmtId="0" fontId="0" fillId="0" borderId="0" xfId="0" applyFill="1" applyBorder="1" applyAlignment="1">
      <alignment vertical="center"/>
    </xf>
    <xf numFmtId="0" fontId="6" fillId="0" borderId="0" xfId="0" applyFont="1" applyFill="1" applyBorder="1" applyAlignment="1">
      <alignment horizontal="left" vertical="center" wrapText="1"/>
    </xf>
    <xf numFmtId="0" fontId="6" fillId="0" borderId="0" xfId="0" applyNumberFormat="1" applyFont="1" applyBorder="1" applyAlignment="1">
      <alignment vertical="center"/>
    </xf>
    <xf numFmtId="0" fontId="6" fillId="10" borderId="0" xfId="0" applyFont="1" applyFill="1" applyAlignment="1">
      <alignment vertical="center"/>
    </xf>
    <xf numFmtId="0" fontId="6" fillId="0" borderId="0" xfId="0" quotePrefix="1" applyFont="1" applyFill="1" applyAlignment="1">
      <alignment horizontal="center" vertical="center"/>
    </xf>
    <xf numFmtId="180" fontId="6" fillId="9" borderId="0" xfId="0" applyNumberFormat="1" applyFont="1" applyFill="1" applyBorder="1" applyAlignment="1" applyProtection="1">
      <alignment horizontal="left" vertical="center"/>
    </xf>
    <xf numFmtId="0" fontId="6" fillId="0" borderId="3" xfId="0" applyNumberFormat="1" applyFont="1" applyFill="1" applyBorder="1" applyAlignment="1">
      <alignment horizontal="center" vertical="center" wrapText="1"/>
    </xf>
    <xf numFmtId="0" fontId="6" fillId="16" borderId="0" xfId="0" applyNumberFormat="1" applyFont="1" applyFill="1" applyBorder="1" applyAlignment="1">
      <alignment horizontal="left" vertical="center"/>
    </xf>
    <xf numFmtId="181" fontId="6" fillId="5" borderId="0" xfId="0" applyNumberFormat="1" applyFont="1" applyFill="1" applyBorder="1" applyAlignment="1" applyProtection="1">
      <alignment horizontal="right" vertical="center"/>
    </xf>
    <xf numFmtId="0" fontId="6" fillId="18" borderId="0" xfId="0" applyNumberFormat="1" applyFont="1" applyFill="1" applyBorder="1" applyAlignment="1" applyProtection="1">
      <alignment vertical="center"/>
    </xf>
    <xf numFmtId="178" fontId="6" fillId="19" borderId="0" xfId="0" applyNumberFormat="1" applyFont="1" applyFill="1" applyBorder="1" applyAlignment="1">
      <alignment horizontal="left" vertical="center"/>
    </xf>
    <xf numFmtId="0" fontId="6" fillId="19" borderId="0" xfId="0" applyNumberFormat="1" applyFont="1" applyFill="1" applyBorder="1" applyAlignment="1">
      <alignment horizontal="left" vertical="center"/>
    </xf>
    <xf numFmtId="49" fontId="7" fillId="20" borderId="3"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wrapText="1"/>
    </xf>
    <xf numFmtId="3" fontId="6" fillId="0" borderId="0" xfId="0" applyNumberFormat="1" applyFont="1" applyFill="1" applyBorder="1" applyAlignment="1" applyProtection="1">
      <alignment vertical="center"/>
    </xf>
    <xf numFmtId="0" fontId="6" fillId="19" borderId="0" xfId="0" applyNumberFormat="1" applyFont="1" applyFill="1" applyBorder="1" applyAlignment="1" applyProtection="1">
      <alignment vertical="center"/>
    </xf>
    <xf numFmtId="0" fontId="0" fillId="18" borderId="0" xfId="0" applyFill="1" applyAlignment="1">
      <alignment vertical="center"/>
    </xf>
    <xf numFmtId="49" fontId="7" fillId="21" borderId="3" xfId="0" applyNumberFormat="1" applyFont="1" applyFill="1" applyBorder="1" applyAlignment="1">
      <alignment horizontal="center" vertical="center"/>
    </xf>
    <xf numFmtId="178" fontId="6" fillId="18" borderId="0" xfId="0" applyNumberFormat="1" applyFont="1" applyFill="1" applyBorder="1" applyAlignment="1">
      <alignment horizontal="left" vertical="center"/>
    </xf>
    <xf numFmtId="0" fontId="6" fillId="22" borderId="3" xfId="0" applyFont="1" applyFill="1" applyBorder="1" applyAlignment="1">
      <alignment vertical="center"/>
    </xf>
    <xf numFmtId="0" fontId="4" fillId="0" borderId="3" xfId="2" applyFill="1" applyBorder="1" applyAlignment="1" applyProtection="1">
      <alignment vertical="center"/>
    </xf>
    <xf numFmtId="0" fontId="34" fillId="0" borderId="0" xfId="0" applyFont="1"/>
    <xf numFmtId="0" fontId="6" fillId="18" borderId="0" xfId="0" applyFont="1" applyFill="1" applyAlignment="1">
      <alignment vertical="center"/>
    </xf>
    <xf numFmtId="0" fontId="6" fillId="21" borderId="0" xfId="0" applyFont="1" applyFill="1" applyAlignment="1"/>
    <xf numFmtId="0" fontId="6" fillId="0" borderId="0" xfId="0" applyFont="1" applyFill="1" applyAlignment="1"/>
    <xf numFmtId="0" fontId="6" fillId="18" borderId="0" xfId="0" applyFont="1" applyFill="1" applyAlignment="1"/>
    <xf numFmtId="0" fontId="6" fillId="19" borderId="0" xfId="0" applyFont="1" applyFill="1" applyAlignment="1"/>
    <xf numFmtId="0" fontId="6" fillId="19" borderId="0" xfId="0" applyFont="1" applyFill="1" applyBorder="1" applyAlignment="1">
      <alignment vertical="center"/>
    </xf>
    <xf numFmtId="17" fontId="6" fillId="0" borderId="3" xfId="0" applyNumberFormat="1" applyFont="1" applyFill="1" applyBorder="1" applyAlignment="1">
      <alignment vertical="center"/>
    </xf>
    <xf numFmtId="181" fontId="6" fillId="18" borderId="0" xfId="0" applyNumberFormat="1" applyFont="1" applyFill="1" applyBorder="1" applyAlignment="1" applyProtection="1">
      <alignment vertical="center"/>
    </xf>
    <xf numFmtId="181" fontId="0" fillId="18" borderId="0" xfId="0" applyNumberFormat="1" applyFill="1" applyAlignment="1">
      <alignment vertical="center"/>
    </xf>
    <xf numFmtId="181" fontId="0" fillId="19" borderId="0" xfId="0" applyNumberFormat="1" applyFill="1" applyAlignment="1">
      <alignment vertical="center"/>
    </xf>
    <xf numFmtId="0" fontId="7" fillId="0" borderId="22" xfId="0" applyFont="1" applyBorder="1" applyAlignment="1">
      <alignment vertical="center"/>
    </xf>
    <xf numFmtId="0" fontId="0" fillId="19" borderId="0" xfId="0" applyFill="1" applyAlignment="1">
      <alignment vertical="center"/>
    </xf>
    <xf numFmtId="177" fontId="7" fillId="10" borderId="22" xfId="11" applyNumberFormat="1" applyFont="1" applyFill="1" applyBorder="1" applyAlignment="1">
      <alignment horizontal="right" vertical="center"/>
    </xf>
    <xf numFmtId="0" fontId="7" fillId="0" borderId="22" xfId="11" applyFont="1" applyBorder="1" applyAlignment="1">
      <alignment vertical="center" shrinkToFit="1"/>
    </xf>
    <xf numFmtId="0" fontId="6" fillId="23" borderId="0" xfId="0" applyNumberFormat="1" applyFont="1" applyFill="1" applyBorder="1" applyAlignment="1" applyProtection="1">
      <alignment vertical="center"/>
    </xf>
    <xf numFmtId="0" fontId="7" fillId="0" borderId="20" xfId="0" applyFont="1" applyBorder="1" applyAlignment="1">
      <alignment vertical="center" wrapText="1" shrinkToFit="1"/>
    </xf>
    <xf numFmtId="0" fontId="7" fillId="10" borderId="26" xfId="0" applyFont="1" applyFill="1" applyBorder="1" applyAlignment="1">
      <alignment vertical="center"/>
    </xf>
    <xf numFmtId="0" fontId="7" fillId="10" borderId="29" xfId="0" applyFont="1" applyFill="1" applyBorder="1" applyAlignment="1">
      <alignment vertical="center"/>
    </xf>
    <xf numFmtId="0" fontId="7" fillId="2" borderId="24" xfId="0" applyFont="1" applyFill="1" applyBorder="1" applyAlignment="1">
      <alignment vertical="center"/>
    </xf>
    <xf numFmtId="0" fontId="6" fillId="18" borderId="0" xfId="0" applyNumberFormat="1" applyFont="1" applyFill="1" applyBorder="1" applyAlignment="1" applyProtection="1">
      <alignment horizontal="center" vertical="center"/>
    </xf>
    <xf numFmtId="0" fontId="6" fillId="0" borderId="0" xfId="0" applyFont="1" applyFill="1" applyBorder="1" applyAlignment="1">
      <alignment vertical="center" shrinkToFit="1"/>
    </xf>
    <xf numFmtId="0" fontId="0" fillId="24" borderId="0" xfId="0" applyFill="1" applyAlignment="1">
      <alignment vertical="center"/>
    </xf>
    <xf numFmtId="0" fontId="0" fillId="19" borderId="0" xfId="0" applyFont="1" applyFill="1" applyAlignment="1">
      <alignment vertical="center"/>
    </xf>
    <xf numFmtId="0" fontId="0" fillId="23" borderId="0" xfId="0" applyFill="1" applyAlignment="1">
      <alignment vertical="center"/>
    </xf>
    <xf numFmtId="0" fontId="6" fillId="19" borderId="0" xfId="0" applyNumberFormat="1" applyFont="1" applyFill="1" applyBorder="1" applyAlignment="1" applyProtection="1">
      <alignment horizontal="left" vertical="center"/>
    </xf>
    <xf numFmtId="180" fontId="6" fillId="21" borderId="0" xfId="0" applyNumberFormat="1" applyFont="1" applyFill="1" applyBorder="1" applyAlignment="1">
      <alignment horizontal="left" vertical="center"/>
    </xf>
    <xf numFmtId="0" fontId="6" fillId="21" borderId="0" xfId="0" applyNumberFormat="1" applyFont="1" applyFill="1" applyBorder="1" applyAlignment="1" applyProtection="1">
      <alignment vertical="center"/>
    </xf>
    <xf numFmtId="0" fontId="35" fillId="0" borderId="0" xfId="0" applyNumberFormat="1" applyFont="1" applyBorder="1" applyAlignment="1">
      <alignment horizontal="right" vertical="center"/>
    </xf>
    <xf numFmtId="0" fontId="36" fillId="0" borderId="0" xfId="0" applyFont="1" applyAlignment="1">
      <alignment horizontal="right" vertical="center"/>
    </xf>
    <xf numFmtId="0" fontId="35" fillId="0" borderId="0" xfId="0" applyNumberFormat="1" applyFont="1" applyFill="1" applyBorder="1" applyAlignment="1" applyProtection="1">
      <alignment horizontal="right" vertical="center"/>
    </xf>
    <xf numFmtId="0" fontId="6" fillId="19" borderId="0" xfId="0" applyFont="1" applyFill="1" applyAlignment="1">
      <alignment wrapText="1"/>
    </xf>
    <xf numFmtId="0" fontId="28" fillId="0" borderId="0" xfId="0" applyNumberFormat="1" applyFont="1" applyFill="1" applyBorder="1" applyAlignment="1" applyProtection="1">
      <alignment horizontal="left" vertical="center"/>
    </xf>
    <xf numFmtId="188" fontId="7" fillId="0" borderId="0" xfId="0" applyNumberFormat="1" applyFont="1" applyAlignment="1">
      <alignment horizontal="center" vertical="center" shrinkToFit="1"/>
    </xf>
    <xf numFmtId="0" fontId="6" fillId="0" borderId="0" xfId="7" applyFont="1" applyBorder="1" applyAlignment="1">
      <alignment vertical="center"/>
    </xf>
    <xf numFmtId="0" fontId="0" fillId="0" borderId="0" xfId="0" applyAlignment="1">
      <alignment vertical="center"/>
    </xf>
    <xf numFmtId="0" fontId="0" fillId="0" borderId="0" xfId="0" applyAlignment="1">
      <alignment vertical="center"/>
    </xf>
    <xf numFmtId="0" fontId="28" fillId="0" borderId="0" xfId="0" applyFont="1" applyAlignment="1">
      <alignment vertical="center"/>
    </xf>
    <xf numFmtId="0" fontId="37" fillId="0" borderId="0" xfId="0" applyFont="1"/>
    <xf numFmtId="0" fontId="7" fillId="0" borderId="0" xfId="0" applyNumberFormat="1" applyFont="1" applyAlignment="1">
      <alignment horizontal="center" vertical="center" shrinkToFit="1"/>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7" fillId="2" borderId="0" xfId="0" applyNumberFormat="1" applyFont="1" applyFill="1" applyAlignment="1">
      <alignment horizontal="center" vertical="center" shrinkToFit="1"/>
    </xf>
    <xf numFmtId="0" fontId="7" fillId="0" borderId="0" xfId="0" quotePrefix="1" applyNumberFormat="1" applyFont="1" applyAlignment="1">
      <alignment horizontal="center" vertical="center" shrinkToFit="1"/>
    </xf>
    <xf numFmtId="0" fontId="6" fillId="0" borderId="0" xfId="0" applyFont="1" applyAlignment="1">
      <alignment horizontal="center" vertical="center"/>
    </xf>
    <xf numFmtId="0" fontId="27" fillId="0" borderId="54" xfId="0" applyFont="1" applyBorder="1" applyAlignment="1">
      <alignment vertical="center"/>
    </xf>
    <xf numFmtId="0" fontId="14" fillId="0" borderId="81" xfId="0" applyFont="1" applyBorder="1" applyAlignment="1">
      <alignment horizontal="center" vertical="center" shrinkToFit="1"/>
    </xf>
    <xf numFmtId="0" fontId="14" fillId="0" borderId="82" xfId="0" applyFont="1" applyBorder="1" applyAlignment="1">
      <alignment vertical="center"/>
    </xf>
    <xf numFmtId="0" fontId="14" fillId="0" borderId="54" xfId="0" applyFont="1" applyBorder="1" applyAlignment="1">
      <alignment vertical="center"/>
    </xf>
    <xf numFmtId="0" fontId="18" fillId="0" borderId="83" xfId="0" applyFont="1" applyBorder="1" applyAlignment="1">
      <alignment horizontal="center" vertical="center"/>
    </xf>
    <xf numFmtId="0" fontId="18" fillId="0" borderId="83" xfId="0" applyFont="1" applyBorder="1" applyAlignment="1">
      <alignment vertical="center"/>
    </xf>
    <xf numFmtId="0" fontId="18"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84" xfId="0" applyFont="1" applyBorder="1" applyAlignment="1">
      <alignment vertical="center"/>
    </xf>
    <xf numFmtId="0" fontId="24" fillId="0" borderId="0" xfId="0" applyFont="1" applyAlignment="1">
      <alignment vertical="center"/>
    </xf>
    <xf numFmtId="0" fontId="21" fillId="0" borderId="0" xfId="0" applyFont="1" applyAlignment="1">
      <alignment vertical="center"/>
    </xf>
    <xf numFmtId="0" fontId="14" fillId="0" borderId="12" xfId="0" applyFont="1" applyBorder="1" applyAlignment="1">
      <alignment vertical="center"/>
    </xf>
    <xf numFmtId="0" fontId="14" fillId="0" borderId="13" xfId="0" applyFont="1" applyBorder="1" applyAlignment="1">
      <alignment vertical="center"/>
    </xf>
    <xf numFmtId="0" fontId="14" fillId="0" borderId="5" xfId="0" applyFont="1" applyBorder="1" applyAlignment="1">
      <alignment vertical="center"/>
    </xf>
    <xf numFmtId="0" fontId="14" fillId="0" borderId="8" xfId="0" applyFont="1" applyBorder="1" applyAlignment="1">
      <alignment vertical="center"/>
    </xf>
    <xf numFmtId="0" fontId="14" fillId="0" borderId="9" xfId="0" applyFont="1" applyBorder="1" applyAlignment="1">
      <alignment vertical="center"/>
    </xf>
    <xf numFmtId="0" fontId="14" fillId="0" borderId="55" xfId="0" applyFont="1" applyBorder="1" applyAlignment="1">
      <alignment vertical="center"/>
    </xf>
    <xf numFmtId="0" fontId="14" fillId="0" borderId="85" xfId="0" applyFont="1" applyBorder="1" applyAlignment="1">
      <alignment vertical="center"/>
    </xf>
    <xf numFmtId="0" fontId="16" fillId="0" borderId="0" xfId="0" applyFont="1" applyAlignment="1">
      <alignment vertical="center"/>
    </xf>
    <xf numFmtId="0" fontId="14" fillId="0" borderId="56" xfId="0" applyFont="1" applyBorder="1" applyAlignment="1">
      <alignment vertical="center"/>
    </xf>
    <xf numFmtId="0" fontId="14" fillId="0" borderId="57" xfId="0" applyFont="1" applyBorder="1" applyAlignment="1">
      <alignment vertical="center"/>
    </xf>
    <xf numFmtId="0" fontId="14" fillId="0" borderId="69" xfId="0" applyFont="1" applyBorder="1" applyAlignment="1">
      <alignment vertical="center"/>
    </xf>
    <xf numFmtId="0" fontId="14" fillId="0" borderId="58" xfId="0" applyFont="1" applyBorder="1" applyAlignment="1">
      <alignment vertical="center"/>
    </xf>
    <xf numFmtId="0" fontId="14" fillId="0" borderId="59" xfId="0" applyFont="1" applyBorder="1" applyAlignment="1">
      <alignment vertical="center"/>
    </xf>
    <xf numFmtId="0" fontId="22" fillId="0" borderId="0" xfId="0" applyFont="1" applyAlignment="1">
      <alignment horizontal="center" vertical="center"/>
    </xf>
    <xf numFmtId="0" fontId="19" fillId="0" borderId="0" xfId="0" applyFont="1" applyAlignment="1">
      <alignment vertical="center" wrapText="1"/>
    </xf>
    <xf numFmtId="0" fontId="6" fillId="0" borderId="0" xfId="0" applyFont="1" applyAlignment="1">
      <alignment vertical="top"/>
    </xf>
    <xf numFmtId="0" fontId="22" fillId="0" borderId="60" xfId="0" applyFont="1" applyBorder="1" applyAlignment="1">
      <alignment vertical="center"/>
    </xf>
    <xf numFmtId="0" fontId="22" fillId="0" borderId="53" xfId="0" applyFont="1" applyBorder="1" applyAlignment="1">
      <alignment vertical="center"/>
    </xf>
    <xf numFmtId="0" fontId="14" fillId="0" borderId="53" xfId="0" applyFont="1" applyBorder="1" applyAlignment="1">
      <alignment vertical="center"/>
    </xf>
    <xf numFmtId="0" fontId="14" fillId="0" borderId="61" xfId="0" applyFont="1" applyBorder="1" applyAlignment="1">
      <alignment vertical="center"/>
    </xf>
    <xf numFmtId="0" fontId="15" fillId="0" borderId="0" xfId="0" applyFont="1" applyAlignment="1">
      <alignment vertical="center"/>
    </xf>
    <xf numFmtId="56" fontId="14" fillId="0" borderId="0" xfId="0" applyNumberFormat="1" applyFont="1" applyAlignment="1">
      <alignment vertical="center"/>
    </xf>
    <xf numFmtId="0" fontId="15" fillId="0" borderId="70" xfId="0" applyFont="1" applyBorder="1" applyAlignment="1">
      <alignment vertical="center"/>
    </xf>
    <xf numFmtId="0" fontId="15" fillId="0" borderId="71" xfId="0" applyFont="1" applyBorder="1" applyAlignment="1">
      <alignment vertical="center"/>
    </xf>
    <xf numFmtId="0" fontId="15" fillId="0" borderId="62" xfId="0" applyFont="1" applyBorder="1" applyAlignment="1">
      <alignment horizontal="left" vertical="center"/>
    </xf>
    <xf numFmtId="0" fontId="15" fillId="0" borderId="66" xfId="0" applyFont="1" applyBorder="1" applyAlignment="1">
      <alignment vertical="center"/>
    </xf>
    <xf numFmtId="0" fontId="15" fillId="0" borderId="41" xfId="0" applyFont="1" applyBorder="1" applyAlignment="1">
      <alignment vertical="center"/>
    </xf>
    <xf numFmtId="0" fontId="15" fillId="0" borderId="75" xfId="0" applyFont="1" applyBorder="1" applyAlignment="1">
      <alignment vertical="center"/>
    </xf>
    <xf numFmtId="0" fontId="15" fillId="0" borderId="86" xfId="0" applyFont="1" applyBorder="1" applyAlignment="1">
      <alignment vertical="center"/>
    </xf>
    <xf numFmtId="179" fontId="15" fillId="0" borderId="75" xfId="0" applyNumberFormat="1" applyFont="1" applyBorder="1" applyAlignment="1">
      <alignment vertical="center"/>
    </xf>
    <xf numFmtId="0" fontId="15" fillId="0" borderId="76" xfId="0" applyFont="1" applyBorder="1" applyAlignment="1">
      <alignment horizontal="right" vertical="center"/>
    </xf>
    <xf numFmtId="0" fontId="15" fillId="0" borderId="65" xfId="0" applyFont="1" applyBorder="1" applyAlignment="1">
      <alignment vertical="center"/>
    </xf>
    <xf numFmtId="0" fontId="15" fillId="0" borderId="3" xfId="0" applyFont="1" applyBorder="1" applyAlignment="1">
      <alignment vertical="center"/>
    </xf>
    <xf numFmtId="0" fontId="15" fillId="0" borderId="1" xfId="0" applyFont="1" applyBorder="1" applyAlignment="1">
      <alignment vertical="center"/>
    </xf>
    <xf numFmtId="179" fontId="15" fillId="0" borderId="1" xfId="0" applyNumberFormat="1" applyFont="1" applyBorder="1" applyAlignment="1">
      <alignment vertical="center"/>
    </xf>
    <xf numFmtId="0" fontId="15" fillId="0" borderId="77" xfId="0" applyFont="1" applyBorder="1" applyAlignment="1">
      <alignment horizontal="right" vertical="center"/>
    </xf>
    <xf numFmtId="0" fontId="14" fillId="0" borderId="62" xfId="0" applyFont="1" applyBorder="1" applyAlignment="1">
      <alignment horizontal="right" vertical="center"/>
    </xf>
    <xf numFmtId="0" fontId="15" fillId="0" borderId="67" xfId="0" applyFont="1" applyBorder="1" applyAlignment="1">
      <alignment vertical="center"/>
    </xf>
    <xf numFmtId="0" fontId="15" fillId="0" borderId="78" xfId="0" applyFont="1" applyBorder="1" applyAlignment="1">
      <alignment vertical="center"/>
    </xf>
    <xf numFmtId="0" fontId="15" fillId="0" borderId="79" xfId="0" applyFont="1" applyBorder="1" applyAlignment="1">
      <alignment vertical="center"/>
    </xf>
    <xf numFmtId="179" fontId="15" fillId="0" borderId="79" xfId="0" applyNumberFormat="1" applyFont="1" applyBorder="1" applyAlignment="1">
      <alignment vertical="center"/>
    </xf>
    <xf numFmtId="0" fontId="15" fillId="0" borderId="80" xfId="0" applyFont="1" applyBorder="1" applyAlignment="1">
      <alignment horizontal="right" vertical="center"/>
    </xf>
    <xf numFmtId="0" fontId="14" fillId="0" borderId="1" xfId="0" applyFont="1" applyBorder="1" applyAlignment="1">
      <alignment vertical="center"/>
    </xf>
    <xf numFmtId="0" fontId="14" fillId="0" borderId="2" xfId="0" applyFont="1" applyBorder="1" applyAlignment="1">
      <alignment vertical="center"/>
    </xf>
    <xf numFmtId="0" fontId="14" fillId="0" borderId="2" xfId="0" applyFont="1" applyBorder="1" applyAlignment="1">
      <alignment horizontal="right" vertical="center"/>
    </xf>
    <xf numFmtId="0" fontId="14" fillId="0" borderId="2" xfId="0" applyFont="1" applyBorder="1" applyAlignment="1">
      <alignment horizontal="left" vertical="center"/>
    </xf>
    <xf numFmtId="181" fontId="14" fillId="0" borderId="2" xfId="0" applyNumberFormat="1" applyFont="1" applyBorder="1" applyAlignment="1">
      <alignment horizontal="right" vertical="center"/>
    </xf>
    <xf numFmtId="0" fontId="14" fillId="0" borderId="4" xfId="0" applyFont="1" applyBorder="1" applyAlignment="1">
      <alignment vertical="center"/>
    </xf>
    <xf numFmtId="0" fontId="14" fillId="0" borderId="12" xfId="0" applyFont="1" applyBorder="1" applyAlignment="1">
      <alignment horizontal="left" vertical="center"/>
    </xf>
    <xf numFmtId="9" fontId="14" fillId="0" borderId="0" xfId="0" applyNumberFormat="1" applyFont="1" applyAlignment="1">
      <alignment vertical="center"/>
    </xf>
    <xf numFmtId="0" fontId="14" fillId="0" borderId="4" xfId="0" applyFont="1" applyBorder="1" applyAlignment="1">
      <alignment horizontal="left" vertical="center"/>
    </xf>
    <xf numFmtId="0" fontId="14" fillId="0" borderId="7" xfId="0" applyFont="1" applyBorder="1" applyAlignment="1">
      <alignment vertical="center"/>
    </xf>
    <xf numFmtId="0" fontId="24" fillId="0" borderId="2" xfId="0" applyFont="1" applyBorder="1" applyAlignment="1">
      <alignment horizontal="left" vertical="center"/>
    </xf>
    <xf numFmtId="0" fontId="14" fillId="0" borderId="87" xfId="0" applyFont="1" applyBorder="1" applyAlignment="1">
      <alignment vertical="center"/>
    </xf>
    <xf numFmtId="0" fontId="25" fillId="0" borderId="63" xfId="0" applyFont="1" applyBorder="1" applyAlignment="1">
      <alignment vertical="center"/>
    </xf>
    <xf numFmtId="0" fontId="26" fillId="0" borderId="64" xfId="0" applyFont="1" applyBorder="1" applyAlignment="1">
      <alignment vertical="center"/>
    </xf>
    <xf numFmtId="185" fontId="26" fillId="0" borderId="88" xfId="0" applyNumberFormat="1" applyFont="1" applyBorder="1" applyAlignment="1">
      <alignment horizontal="right" vertical="center"/>
    </xf>
    <xf numFmtId="0" fontId="33" fillId="0" borderId="68" xfId="0" applyFont="1" applyBorder="1" applyAlignment="1">
      <alignment vertical="center"/>
    </xf>
    <xf numFmtId="181" fontId="14" fillId="0" borderId="2" xfId="0" applyNumberFormat="1" applyFont="1" applyBorder="1" applyAlignment="1">
      <alignment horizontal="right" vertical="center"/>
    </xf>
    <xf numFmtId="187" fontId="14" fillId="0" borderId="2" xfId="3" applyNumberFormat="1" applyFont="1" applyFill="1" applyBorder="1" applyAlignment="1">
      <alignment horizontal="right" vertical="center"/>
    </xf>
    <xf numFmtId="0" fontId="0" fillId="0" borderId="0" xfId="0" applyAlignment="1">
      <alignment vertical="center"/>
    </xf>
    <xf numFmtId="0" fontId="14" fillId="0" borderId="13" xfId="0" applyFont="1" applyBorder="1" applyAlignment="1">
      <alignment horizontal="left" vertical="center"/>
    </xf>
    <xf numFmtId="181" fontId="14" fillId="0" borderId="106" xfId="0" applyNumberFormat="1" applyFont="1" applyBorder="1" applyAlignment="1">
      <alignment horizontal="right" vertical="center"/>
    </xf>
    <xf numFmtId="0" fontId="0" fillId="0" borderId="0" xfId="0" applyAlignment="1">
      <alignment vertical="center"/>
    </xf>
    <xf numFmtId="189" fontId="6" fillId="5" borderId="3" xfId="0" applyNumberFormat="1" applyFont="1" applyFill="1" applyBorder="1" applyAlignment="1" applyProtection="1">
      <alignment vertical="center"/>
    </xf>
    <xf numFmtId="0" fontId="6" fillId="24" borderId="3" xfId="0" applyNumberFormat="1" applyFont="1" applyFill="1" applyBorder="1" applyAlignment="1" applyProtection="1">
      <alignment horizontal="center" vertical="center"/>
    </xf>
    <xf numFmtId="188" fontId="38" fillId="0" borderId="0" xfId="0" applyNumberFormat="1" applyFont="1" applyAlignment="1">
      <alignment horizontal="center" vertical="center" shrinkToFit="1"/>
    </xf>
    <xf numFmtId="49" fontId="7"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Border="1" applyAlignment="1">
      <alignment horizontal="center" vertical="center"/>
    </xf>
    <xf numFmtId="0" fontId="6" fillId="25" borderId="3" xfId="0" applyFont="1" applyFill="1" applyBorder="1" applyAlignment="1">
      <alignment horizontal="center" vertical="center"/>
    </xf>
    <xf numFmtId="0" fontId="7" fillId="21" borderId="3" xfId="0" applyFont="1" applyFill="1" applyBorder="1" applyAlignment="1">
      <alignment horizontal="center" vertical="center"/>
    </xf>
    <xf numFmtId="181" fontId="14" fillId="0" borderId="2" xfId="0" applyNumberFormat="1" applyFont="1" applyBorder="1" applyAlignment="1">
      <alignment horizontal="right" vertical="center"/>
    </xf>
    <xf numFmtId="0" fontId="39" fillId="0" borderId="1" xfId="0" applyFont="1" applyBorder="1" applyAlignment="1">
      <alignment vertical="center"/>
    </xf>
    <xf numFmtId="176" fontId="6" fillId="0" borderId="0" xfId="0" applyNumberFormat="1" applyFont="1" applyBorder="1" applyAlignment="1">
      <alignment horizontal="left" vertical="center"/>
    </xf>
    <xf numFmtId="0" fontId="6" fillId="3" borderId="1" xfId="0" applyNumberFormat="1" applyFont="1" applyFill="1" applyBorder="1" applyAlignment="1">
      <alignment horizontal="left" vertical="center"/>
    </xf>
    <xf numFmtId="0" fontId="6" fillId="3" borderId="2" xfId="0" applyNumberFormat="1" applyFont="1" applyFill="1" applyBorder="1" applyAlignment="1">
      <alignment horizontal="left" vertical="center"/>
    </xf>
    <xf numFmtId="0" fontId="6" fillId="3" borderId="4" xfId="0" applyNumberFormat="1" applyFont="1" applyFill="1" applyBorder="1" applyAlignment="1">
      <alignment horizontal="left"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4" borderId="35" xfId="0" applyFont="1" applyFill="1" applyBorder="1" applyAlignment="1">
      <alignment horizontal="center" vertical="center"/>
    </xf>
    <xf numFmtId="0" fontId="7" fillId="4" borderId="37" xfId="0" applyFont="1" applyFill="1" applyBorder="1" applyAlignment="1">
      <alignment horizontal="center" vertical="center"/>
    </xf>
    <xf numFmtId="0" fontId="7" fillId="4" borderId="38" xfId="0" applyFont="1" applyFill="1" applyBorder="1" applyAlignment="1">
      <alignment horizontal="center" vertical="center"/>
    </xf>
    <xf numFmtId="49" fontId="7" fillId="0" borderId="3" xfId="0" applyNumberFormat="1" applyFont="1" applyFill="1" applyBorder="1" applyAlignment="1">
      <alignment horizontal="center" vertical="center" wrapText="1"/>
    </xf>
    <xf numFmtId="0" fontId="6" fillId="11" borderId="2" xfId="0" applyFont="1" applyFill="1" applyBorder="1" applyAlignment="1">
      <alignment horizontal="left" vertical="center"/>
    </xf>
    <xf numFmtId="0" fontId="7" fillId="2" borderId="3" xfId="0" applyFont="1" applyFill="1" applyBorder="1" applyAlignment="1">
      <alignment horizontal="left" vertical="center"/>
    </xf>
    <xf numFmtId="0" fontId="6" fillId="14" borderId="3" xfId="0" applyFont="1" applyFill="1" applyBorder="1" applyAlignment="1">
      <alignment horizontal="center" vertical="center" wrapText="1"/>
    </xf>
    <xf numFmtId="0" fontId="6" fillId="17" borderId="3" xfId="0" applyFont="1" applyFill="1" applyBorder="1" applyAlignment="1">
      <alignment horizontal="left" vertical="center"/>
    </xf>
    <xf numFmtId="0" fontId="6" fillId="11" borderId="1" xfId="0" applyFont="1" applyFill="1" applyBorder="1" applyAlignment="1">
      <alignment horizontal="left" vertical="center"/>
    </xf>
    <xf numFmtId="49" fontId="6" fillId="0" borderId="3" xfId="0" applyNumberFormat="1" applyFont="1" applyFill="1" applyBorder="1" applyAlignment="1">
      <alignment horizontal="center" vertical="center" wrapText="1"/>
    </xf>
    <xf numFmtId="49" fontId="7" fillId="0" borderId="3" xfId="0" applyNumberFormat="1" applyFont="1" applyBorder="1" applyAlignment="1">
      <alignment horizontal="center" vertical="center" wrapText="1"/>
    </xf>
    <xf numFmtId="49" fontId="8" fillId="2" borderId="3" xfId="0" applyNumberFormat="1" applyFont="1" applyFill="1" applyBorder="1" applyAlignment="1">
      <alignment horizontal="center" vertical="center" wrapText="1"/>
    </xf>
    <xf numFmtId="0" fontId="6" fillId="2" borderId="3"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6" fillId="14" borderId="3" xfId="0" applyFont="1" applyFill="1" applyBorder="1" applyAlignment="1">
      <alignment horizontal="left" vertical="center" wrapText="1"/>
    </xf>
    <xf numFmtId="0" fontId="6" fillId="6" borderId="3" xfId="0" applyFont="1" applyFill="1" applyBorder="1" applyAlignment="1">
      <alignment horizontal="left" vertical="center"/>
    </xf>
    <xf numFmtId="0" fontId="6" fillId="4" borderId="3" xfId="0" applyFont="1" applyFill="1" applyBorder="1" applyAlignment="1">
      <alignment horizontal="left" vertical="center"/>
    </xf>
    <xf numFmtId="49" fontId="7" fillId="2" borderId="3" xfId="0" applyNumberFormat="1" applyFont="1" applyFill="1" applyBorder="1" applyAlignment="1">
      <alignment horizontal="center" vertical="center" wrapText="1"/>
    </xf>
    <xf numFmtId="0" fontId="6" fillId="0" borderId="3" xfId="0" applyNumberFormat="1" applyFont="1" applyFill="1" applyBorder="1" applyAlignment="1">
      <alignment horizontal="left" vertical="center" wrapText="1"/>
    </xf>
    <xf numFmtId="0" fontId="6" fillId="11" borderId="3" xfId="0" applyFont="1" applyFill="1" applyBorder="1" applyAlignment="1">
      <alignment horizontal="left" vertical="center"/>
    </xf>
    <xf numFmtId="0" fontId="6" fillId="5" borderId="3" xfId="0" applyNumberFormat="1" applyFont="1" applyFill="1" applyBorder="1" applyAlignment="1">
      <alignment horizontal="left" vertical="center"/>
    </xf>
    <xf numFmtId="49" fontId="0" fillId="2" borderId="3" xfId="0" applyNumberFormat="1" applyFill="1" applyBorder="1" applyAlignment="1">
      <alignment horizontal="center" vertical="center" wrapText="1"/>
    </xf>
    <xf numFmtId="49" fontId="7" fillId="4" borderId="3" xfId="0" applyNumberFormat="1" applyFont="1" applyFill="1" applyBorder="1" applyAlignment="1">
      <alignment horizontal="left" vertical="center"/>
    </xf>
    <xf numFmtId="49" fontId="7" fillId="8" borderId="3" xfId="0" applyNumberFormat="1" applyFont="1" applyFill="1" applyBorder="1" applyAlignment="1">
      <alignment horizontal="left" vertical="center"/>
    </xf>
    <xf numFmtId="0" fontId="7" fillId="0" borderId="3" xfId="0" applyNumberFormat="1" applyFont="1" applyFill="1" applyBorder="1" applyAlignment="1">
      <alignment horizontal="left" vertical="center" wrapText="1"/>
    </xf>
    <xf numFmtId="0" fontId="14" fillId="0" borderId="1" xfId="0" applyFont="1" applyBorder="1" applyAlignment="1">
      <alignment horizontal="left" vertical="center"/>
    </xf>
    <xf numFmtId="0" fontId="14" fillId="0" borderId="2" xfId="0" applyFont="1" applyBorder="1" applyAlignment="1">
      <alignment horizontal="left" vertical="center"/>
    </xf>
    <xf numFmtId="181" fontId="14" fillId="0" borderId="2" xfId="0" applyNumberFormat="1" applyFont="1" applyBorder="1" applyAlignment="1">
      <alignment horizontal="right" vertical="center"/>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11" xfId="0" applyFont="1" applyBorder="1" applyAlignment="1">
      <alignment horizontal="left" vertical="center" wrapText="1"/>
    </xf>
    <xf numFmtId="0" fontId="14" fillId="0" borderId="0" xfId="0" applyFont="1" applyAlignment="1">
      <alignment horizontal="left" vertical="center"/>
    </xf>
    <xf numFmtId="0" fontId="16" fillId="0" borderId="0" xfId="0" applyFont="1" applyAlignment="1">
      <alignment horizontal="left" vertical="center"/>
    </xf>
    <xf numFmtId="0" fontId="3" fillId="0" borderId="0" xfId="0" applyFont="1" applyAlignment="1">
      <alignment horizontal="left" vertical="center" shrinkToFit="1"/>
    </xf>
    <xf numFmtId="0" fontId="3" fillId="0" borderId="7"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1" xfId="0" applyFont="1" applyBorder="1" applyAlignment="1">
      <alignment horizontal="left" vertical="center" shrinkToFit="1"/>
    </xf>
    <xf numFmtId="0" fontId="21" fillId="0" borderId="53" xfId="0" applyFont="1" applyBorder="1" applyAlignment="1">
      <alignment vertical="center" shrinkToFit="1"/>
    </xf>
    <xf numFmtId="0" fontId="23" fillId="0" borderId="53" xfId="0" applyFont="1" applyBorder="1" applyAlignment="1">
      <alignment horizontal="center" vertical="center"/>
    </xf>
    <xf numFmtId="0" fontId="14" fillId="0" borderId="90" xfId="0" applyFont="1" applyBorder="1" applyAlignment="1">
      <alignment horizontal="center" vertical="center"/>
    </xf>
    <xf numFmtId="0" fontId="14" fillId="0" borderId="91" xfId="0" applyFont="1" applyBorder="1" applyAlignment="1">
      <alignment horizontal="center" vertical="center"/>
    </xf>
    <xf numFmtId="0" fontId="1" fillId="0" borderId="94" xfId="0" applyFont="1" applyBorder="1" applyAlignment="1">
      <alignment horizontal="center" vertical="center"/>
    </xf>
    <xf numFmtId="0" fontId="1" fillId="0" borderId="95" xfId="0" applyFont="1" applyBorder="1" applyAlignment="1">
      <alignment horizontal="center" vertical="center"/>
    </xf>
    <xf numFmtId="0" fontId="3" fillId="0" borderId="13" xfId="0" applyFont="1" applyBorder="1" applyAlignment="1">
      <alignment horizontal="left" vertical="center" shrinkToFit="1"/>
    </xf>
    <xf numFmtId="0" fontId="3" fillId="0" borderId="15" xfId="0" applyFont="1" applyBorder="1" applyAlignment="1">
      <alignment horizontal="left" vertical="center" shrinkToFit="1"/>
    </xf>
    <xf numFmtId="0" fontId="22" fillId="0" borderId="57" xfId="0" applyFont="1" applyBorder="1" applyAlignment="1">
      <alignment vertical="center"/>
    </xf>
    <xf numFmtId="0" fontId="22" fillId="0" borderId="69" xfId="0" applyFont="1" applyBorder="1" applyAlignment="1">
      <alignment vertical="center"/>
    </xf>
    <xf numFmtId="0" fontId="24" fillId="0" borderId="0" xfId="0" applyFont="1" applyAlignment="1">
      <alignment horizontal="left" wrapText="1"/>
    </xf>
    <xf numFmtId="0" fontId="15" fillId="0" borderId="89" xfId="0" applyFont="1" applyBorder="1" applyAlignment="1">
      <alignment horizontal="center" vertical="center"/>
    </xf>
    <xf numFmtId="0" fontId="15" fillId="0" borderId="72" xfId="0" applyFont="1" applyBorder="1" applyAlignment="1">
      <alignment horizontal="center" vertical="center"/>
    </xf>
    <xf numFmtId="187" fontId="14" fillId="0" borderId="2" xfId="3" applyNumberFormat="1" applyFont="1" applyFill="1" applyBorder="1" applyAlignment="1">
      <alignment horizontal="right" vertical="center"/>
    </xf>
    <xf numFmtId="185" fontId="14" fillId="0" borderId="2" xfId="3" applyNumberFormat="1" applyFont="1" applyFill="1" applyBorder="1" applyAlignment="1">
      <alignment horizontal="right" vertical="center"/>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left" vertical="top"/>
    </xf>
    <xf numFmtId="0" fontId="0" fillId="0" borderId="93" xfId="0" applyBorder="1" applyAlignment="1">
      <alignment horizontal="left" vertical="top"/>
    </xf>
    <xf numFmtId="0" fontId="0" fillId="0" borderId="58" xfId="0" applyBorder="1" applyAlignment="1">
      <alignment horizontal="center" vertical="top"/>
    </xf>
    <xf numFmtId="0" fontId="0" fillId="0" borderId="59" xfId="0" applyBorder="1" applyAlignment="1">
      <alignment horizontal="center" vertical="top"/>
    </xf>
    <xf numFmtId="178" fontId="0" fillId="0" borderId="0" xfId="0" applyNumberFormat="1" applyAlignment="1">
      <alignment horizontal="left" vertical="center"/>
    </xf>
    <xf numFmtId="0" fontId="14" fillId="0" borderId="0" xfId="0" applyFont="1" applyAlignment="1">
      <alignment horizontal="left" vertical="center" shrinkToFit="1"/>
    </xf>
    <xf numFmtId="0" fontId="15" fillId="0" borderId="0" xfId="0" applyFont="1" applyAlignment="1">
      <alignment horizontal="left" vertical="center" shrinkToFit="1"/>
    </xf>
    <xf numFmtId="0" fontId="14" fillId="0" borderId="96" xfId="0" applyFont="1" applyBorder="1" applyAlignment="1">
      <alignment horizontal="center" vertical="center"/>
    </xf>
    <xf numFmtId="0" fontId="0" fillId="0" borderId="4" xfId="0" applyBorder="1" applyAlignment="1">
      <alignment horizontal="center" vertical="center"/>
    </xf>
    <xf numFmtId="0" fontId="14" fillId="0" borderId="1"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77" xfId="0" applyFont="1" applyBorder="1" applyAlignment="1">
      <alignment horizontal="left" vertical="center" shrinkToFit="1"/>
    </xf>
    <xf numFmtId="0" fontId="14" fillId="0" borderId="97" xfId="0" applyFont="1" applyBorder="1" applyAlignment="1">
      <alignment horizontal="center" vertical="center"/>
    </xf>
    <xf numFmtId="0" fontId="0" fillId="0" borderId="98" xfId="0" applyBorder="1" applyAlignment="1">
      <alignment horizontal="center" vertical="center"/>
    </xf>
    <xf numFmtId="0" fontId="14" fillId="0" borderId="99" xfId="0" applyFont="1" applyBorder="1" applyAlignment="1">
      <alignment horizontal="left" vertical="center" shrinkToFit="1"/>
    </xf>
    <xf numFmtId="0" fontId="14" fillId="0" borderId="73" xfId="0" applyFont="1" applyBorder="1" applyAlignment="1">
      <alignment horizontal="left" vertical="center" shrinkToFit="1"/>
    </xf>
    <xf numFmtId="0" fontId="14" fillId="0" borderId="74" xfId="0" applyFont="1" applyBorder="1" applyAlignment="1">
      <alignment horizontal="left" vertical="center" shrinkToFit="1"/>
    </xf>
    <xf numFmtId="0" fontId="18" fillId="0" borderId="0" xfId="0" applyFont="1" applyAlignment="1">
      <alignment horizontal="center" vertical="center" wrapText="1"/>
    </xf>
    <xf numFmtId="181" fontId="20" fillId="0" borderId="0" xfId="0" applyNumberFormat="1" applyFont="1" applyAlignment="1">
      <alignment vertical="center"/>
    </xf>
    <xf numFmtId="0" fontId="14" fillId="0" borderId="79" xfId="0" applyFont="1" applyBorder="1" applyAlignment="1">
      <alignment horizontal="left" vertical="center" shrinkToFit="1"/>
    </xf>
    <xf numFmtId="0" fontId="14" fillId="0" borderId="100" xfId="0" applyFont="1" applyBorder="1" applyAlignment="1">
      <alignment horizontal="left" vertical="center" shrinkToFit="1"/>
    </xf>
    <xf numFmtId="0" fontId="0" fillId="0" borderId="98" xfId="0" applyBorder="1" applyAlignment="1">
      <alignment horizontal="left" vertical="center" shrinkToFit="1"/>
    </xf>
    <xf numFmtId="0" fontId="14" fillId="0" borderId="79" xfId="0" applyFont="1" applyBorder="1" applyAlignment="1">
      <alignment horizontal="center" vertical="center"/>
    </xf>
    <xf numFmtId="0" fontId="14" fillId="0" borderId="80" xfId="0" applyFont="1" applyBorder="1" applyAlignment="1">
      <alignment horizontal="left" vertical="center" shrinkToFit="1"/>
    </xf>
    <xf numFmtId="0" fontId="14" fillId="0" borderId="101" xfId="0" applyFont="1" applyBorder="1" applyAlignment="1">
      <alignment horizontal="center" vertical="center"/>
    </xf>
    <xf numFmtId="0" fontId="0" fillId="0" borderId="102" xfId="0" applyBorder="1" applyAlignment="1">
      <alignment horizontal="center" vertical="center"/>
    </xf>
    <xf numFmtId="0" fontId="14" fillId="0" borderId="103" xfId="0" applyFont="1" applyBorder="1" applyAlignment="1">
      <alignment horizontal="left" vertical="center" shrinkToFit="1"/>
    </xf>
    <xf numFmtId="0" fontId="14" fillId="0" borderId="104" xfId="0" applyFont="1" applyBorder="1" applyAlignment="1">
      <alignment horizontal="left" vertical="center" shrinkToFit="1"/>
    </xf>
    <xf numFmtId="0" fontId="14" fillId="0" borderId="105" xfId="0" applyFont="1" applyBorder="1" applyAlignment="1">
      <alignment horizontal="left" vertical="center" shrinkToFit="1"/>
    </xf>
    <xf numFmtId="0" fontId="27" fillId="0" borderId="103" xfId="0" applyFont="1" applyBorder="1" applyAlignment="1">
      <alignment horizontal="left" vertical="center" shrinkToFit="1"/>
    </xf>
    <xf numFmtId="0" fontId="27" fillId="0" borderId="104" xfId="0" applyFont="1" applyBorder="1" applyAlignment="1">
      <alignment horizontal="left" vertical="center" shrinkToFit="1"/>
    </xf>
    <xf numFmtId="0" fontId="0" fillId="0" borderId="104" xfId="0" applyBorder="1" applyAlignment="1">
      <alignment horizontal="left" vertical="center" shrinkToFit="1"/>
    </xf>
    <xf numFmtId="0" fontId="13" fillId="0" borderId="0" xfId="0" applyFont="1" applyAlignment="1">
      <alignment horizontal="center" vertical="center"/>
    </xf>
    <xf numFmtId="0" fontId="17" fillId="0" borderId="0" xfId="0" applyFont="1" applyAlignment="1">
      <alignment horizontal="right" vertical="center"/>
    </xf>
    <xf numFmtId="0" fontId="15" fillId="0" borderId="0" xfId="0" applyFont="1" applyAlignment="1">
      <alignment horizontal="left" vertical="center"/>
    </xf>
    <xf numFmtId="0" fontId="0" fillId="0" borderId="0" xfId="0" applyAlignment="1">
      <alignment vertical="center"/>
    </xf>
    <xf numFmtId="0" fontId="14" fillId="0" borderId="0" xfId="0" applyFont="1" applyAlignment="1">
      <alignment horizontal="center" vertical="center"/>
    </xf>
    <xf numFmtId="0" fontId="14" fillId="0" borderId="73" xfId="0" applyFont="1" applyBorder="1" applyAlignment="1">
      <alignment horizontal="center" vertical="center"/>
    </xf>
    <xf numFmtId="0" fontId="14" fillId="0" borderId="0" xfId="0" applyFont="1" applyFill="1" applyAlignment="1">
      <alignment horizontal="center" vertical="center"/>
    </xf>
    <xf numFmtId="0" fontId="14" fillId="0" borderId="73" xfId="0" applyFont="1" applyFill="1" applyBorder="1" applyAlignment="1">
      <alignment horizontal="center" vertical="center"/>
    </xf>
  </cellXfs>
  <cellStyles count="13">
    <cellStyle name="パーセント 2" xfId="1" xr:uid="{00000000-0005-0000-0000-000001000000}"/>
    <cellStyle name="ハイパーリンク" xfId="2" builtinId="8"/>
    <cellStyle name="桁区切り 2" xfId="3" xr:uid="{00000000-0005-0000-0000-000004000000}"/>
    <cellStyle name="桁区切り 2 2" xfId="4" xr:uid="{00000000-0005-0000-0000-000005000000}"/>
    <cellStyle name="通貨 2" xfId="5" xr:uid="{00000000-0005-0000-0000-000007000000}"/>
    <cellStyle name="通貨 2 2" xfId="12" xr:uid="{1B6CD6B2-92FA-4D19-9A32-4A1C8C1843F3}"/>
    <cellStyle name="標準" xfId="0" builtinId="0"/>
    <cellStyle name="標準 2" xfId="6" xr:uid="{00000000-0005-0000-0000-000009000000}"/>
    <cellStyle name="標準 2 2 2" xfId="7" xr:uid="{00000000-0005-0000-0000-00000A000000}"/>
    <cellStyle name="標準 3" xfId="8" xr:uid="{00000000-0005-0000-0000-00000B000000}"/>
    <cellStyle name="標準 4" xfId="9" xr:uid="{00000000-0005-0000-0000-00000C000000}"/>
    <cellStyle name="標準 5" xfId="10" xr:uid="{00000000-0005-0000-0000-00000D000000}"/>
    <cellStyle name="標準 6" xfId="11" xr:uid="{00000000-0005-0000-0000-00000E000000}"/>
  </cellStyles>
  <dxfs count="0"/>
  <tableStyles count="0" defaultTableStyle="TableStyleMedium9" defaultPivotStyle="PivotStyleLight16"/>
  <colors>
    <mruColors>
      <color rgb="FFFF99CC"/>
      <color rgb="FFCCFFFF"/>
      <color rgb="FF00FF00"/>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Drop" dropLines="18" dropStyle="combo" dx="22" fmlaLink="cst_RENRAKUSAKI_KOUZOU_TANTOU_LinkCell" fmlaRange="cst_RENRAKUSAKI_KOUZOU_TANTOU_Erea" sel="2" val="0"/>
</file>

<file path=xl/ctrlProps/ctrlProp2.xml><?xml version="1.0" encoding="utf-8"?>
<formControlPr xmlns="http://schemas.microsoft.com/office/spreadsheetml/2009/9/main" objectType="Drop" dropLines="18" dropStyle="combo" dx="22" fmlaLink="cst_LIST_BOX_link_cell" fmlaRange="cst_LIST_BOX_list" sel="1" val="0"/>
</file>

<file path=xl/ctrlProps/ctrlProp3.xml><?xml version="1.0" encoding="utf-8"?>
<formControlPr xmlns="http://schemas.microsoft.com/office/spreadsheetml/2009/9/main" objectType="Drop" dropLines="4" dropStyle="combo" dx="22" fmlaLink="cst_shinsei_DOUI_kyoto_word__link" fmlaRange="cst_shinsei_DOUI_kyoto_word__list" sel="1" val="0"/>
</file>

<file path=xl/ctrlProps/ctrlProp4.xml><?xml version="1.0" encoding="utf-8"?>
<formControlPr xmlns="http://schemas.microsoft.com/office/spreadsheetml/2009/9/main" objectType="Drop" dropStyle="combo" dx="22" fmlaRange="dFIRESTATION_info!$A$40:$A$47" sel="0" val="0"/>
</file>

<file path=xl/ctrlProps/ctrlProp5.xml><?xml version="1.0" encoding="utf-8"?>
<formControlPr xmlns="http://schemas.microsoft.com/office/spreadsheetml/2009/9/main" objectType="Drop" dropStyle="combo" dx="22" fmlaLink="don_OFFICE__code_CIAS" fmlaRange="don_OFFICE__search_erea_CIAS"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69</xdr:row>
          <xdr:rowOff>0</xdr:rowOff>
        </xdr:from>
        <xdr:to>
          <xdr:col>6</xdr:col>
          <xdr:colOff>238125</xdr:colOff>
          <xdr:row>69</xdr:row>
          <xdr:rowOff>190500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19050</xdr:rowOff>
        </xdr:from>
        <xdr:to>
          <xdr:col>7</xdr:col>
          <xdr:colOff>1323975</xdr:colOff>
          <xdr:row>122</xdr:row>
          <xdr:rowOff>209550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6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230</xdr:row>
          <xdr:rowOff>76200</xdr:rowOff>
        </xdr:from>
        <xdr:to>
          <xdr:col>11</xdr:col>
          <xdr:colOff>676275</xdr:colOff>
          <xdr:row>231</xdr:row>
          <xdr:rowOff>171450</xdr:rowOff>
        </xdr:to>
        <xdr:sp macro="" textlink="">
          <xdr:nvSpPr>
            <xdr:cNvPr id="2051" name="Drop Down 3" hidden="1">
              <a:extLst>
                <a:ext uri="{63B3BB69-23CF-44E3-9099-C40C66FF867C}">
                  <a14:compatExt spid="_x0000_s2051"/>
                </a:ext>
                <a:ext uri="{FF2B5EF4-FFF2-40B4-BE49-F238E27FC236}">
                  <a16:creationId xmlns:a16="http://schemas.microsoft.com/office/drawing/2014/main" id="{00000000-0008-0000-06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34</xdr:row>
          <xdr:rowOff>19050</xdr:rowOff>
        </xdr:from>
        <xdr:to>
          <xdr:col>1</xdr:col>
          <xdr:colOff>771525</xdr:colOff>
          <xdr:row>35</xdr:row>
          <xdr:rowOff>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D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73</xdr:row>
          <xdr:rowOff>0</xdr:rowOff>
        </xdr:from>
        <xdr:to>
          <xdr:col>6</xdr:col>
          <xdr:colOff>0</xdr:colOff>
          <xdr:row>74</xdr:row>
          <xdr:rowOff>19050</xdr:rowOff>
        </xdr:to>
        <xdr:sp macro="" textlink="">
          <xdr:nvSpPr>
            <xdr:cNvPr id="5121" name="Drop Down 1" hidden="1">
              <a:extLst>
                <a:ext uri="{63B3BB69-23CF-44E3-9099-C40C66FF867C}">
                  <a14:compatExt spid="_x0000_s5121"/>
                </a:ext>
                <a:ext uri="{FF2B5EF4-FFF2-40B4-BE49-F238E27FC236}">
                  <a16:creationId xmlns:a16="http://schemas.microsoft.com/office/drawing/2014/main" id="{00000000-0008-0000-0F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19050</xdr:colOff>
      <xdr:row>8</xdr:row>
      <xdr:rowOff>0</xdr:rowOff>
    </xdr:from>
    <xdr:to>
      <xdr:col>4</xdr:col>
      <xdr:colOff>19050</xdr:colOff>
      <xdr:row>8</xdr:row>
      <xdr:rowOff>0</xdr:rowOff>
    </xdr:to>
    <xdr:sp macro="" textlink="">
      <xdr:nvSpPr>
        <xdr:cNvPr id="2" name="Line 1">
          <a:extLst>
            <a:ext uri="{FF2B5EF4-FFF2-40B4-BE49-F238E27FC236}">
              <a16:creationId xmlns:a16="http://schemas.microsoft.com/office/drawing/2014/main" id="{00000000-0008-0000-1200-000002000000}"/>
            </a:ext>
          </a:extLst>
        </xdr:cNvPr>
        <xdr:cNvSpPr>
          <a:spLocks noChangeShapeType="1"/>
        </xdr:cNvSpPr>
      </xdr:nvSpPr>
      <xdr:spPr bwMode="auto">
        <a:xfrm>
          <a:off x="2124075"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30</xdr:row>
      <xdr:rowOff>57150</xdr:rowOff>
    </xdr:from>
    <xdr:to>
      <xdr:col>4</xdr:col>
      <xdr:colOff>552450</xdr:colOff>
      <xdr:row>37</xdr:row>
      <xdr:rowOff>9525</xdr:rowOff>
    </xdr:to>
    <xdr:sp macro="" textlink="">
      <xdr:nvSpPr>
        <xdr:cNvPr id="3" name="Text Box 20">
          <a:extLst>
            <a:ext uri="{FF2B5EF4-FFF2-40B4-BE49-F238E27FC236}">
              <a16:creationId xmlns:a16="http://schemas.microsoft.com/office/drawing/2014/main" id="{00000000-0008-0000-1200-000003000000}"/>
            </a:ext>
          </a:extLst>
        </xdr:cNvPr>
        <xdr:cNvSpPr txBox="1">
          <a:spLocks noChangeArrowheads="1"/>
        </xdr:cNvSpPr>
      </xdr:nvSpPr>
      <xdr:spPr bwMode="auto">
        <a:xfrm>
          <a:off x="57150" y="6629400"/>
          <a:ext cx="2600325" cy="1352550"/>
        </a:xfrm>
        <a:prstGeom prst="rect">
          <a:avLst/>
        </a:prstGeom>
        <a:solidFill>
          <a:srgbClr val="FFFFFF"/>
        </a:solidFill>
        <a:ln w="9525">
          <a:solidFill>
            <a:srgbClr val="000000"/>
          </a:solidFill>
          <a:prstDash val="lgDashDot"/>
          <a:miter lim="800000"/>
          <a:headEnd/>
          <a:tailEnd/>
        </a:ln>
      </xdr:spPr>
      <xdr:txBody>
        <a:bodyPr vertOverflow="clip" wrap="square" lIns="90000" tIns="72000" rIns="90000" bIns="46800" anchor="t" upright="1"/>
        <a:lstStyle/>
        <a:p>
          <a:pPr algn="l" rtl="0">
            <a:lnSpc>
              <a:spcPts val="1100"/>
            </a:lnSpc>
            <a:defRPr sz="1000"/>
          </a:pPr>
          <a:r>
            <a:rPr lang="ja-JP" altLang="en-US" sz="900" b="0" i="0" strike="noStrike">
              <a:solidFill>
                <a:srgbClr val="000000"/>
              </a:solidFill>
              <a:latin typeface="ＭＳ Ｐゴシック"/>
              <a:ea typeface="ＭＳ Ｐゴシック"/>
            </a:rPr>
            <a:t>インターネット等の振込により明細の提出が困難な場合は下記に必要事項をご記入の上、</a:t>
          </a:r>
          <a:r>
            <a:rPr lang="en-US" altLang="ja-JP" sz="900" b="0" i="0" strike="noStrike">
              <a:solidFill>
                <a:srgbClr val="000000"/>
              </a:solidFill>
              <a:latin typeface="ＭＳ Ｐゴシック"/>
              <a:ea typeface="ＭＳ Ｐゴシック"/>
            </a:rPr>
            <a:t>FAX</a:t>
          </a:r>
          <a:r>
            <a:rPr lang="ja-JP" altLang="en-US" sz="900" b="0" i="0" strike="noStrike">
              <a:solidFill>
                <a:srgbClr val="000000"/>
              </a:solidFill>
              <a:latin typeface="ＭＳ Ｐゴシック"/>
              <a:ea typeface="ＭＳ Ｐゴシック"/>
            </a:rPr>
            <a:t>送信願います。</a:t>
          </a:r>
        </a:p>
        <a:p>
          <a:pPr algn="l" rtl="0">
            <a:lnSpc>
              <a:spcPts val="1100"/>
            </a:lnSpc>
            <a:defRPr sz="1000"/>
          </a:pPr>
          <a:endParaRPr lang="ja-JP" altLang="en-US" sz="900" b="0" i="0" strike="noStrike">
            <a:solidFill>
              <a:srgbClr val="000000"/>
            </a:solidFill>
            <a:latin typeface="ＭＳ Ｐゴシック"/>
            <a:ea typeface="ＭＳ Ｐゴシック"/>
          </a:endParaRPr>
        </a:p>
        <a:p>
          <a:pPr algn="l" rtl="0">
            <a:lnSpc>
              <a:spcPts val="1100"/>
            </a:lnSpc>
            <a:defRPr sz="1000"/>
          </a:pPr>
          <a:r>
            <a:rPr lang="ja-JP" altLang="en-US" sz="900" b="0" i="0" strike="noStrike">
              <a:solidFill>
                <a:srgbClr val="000000"/>
              </a:solidFill>
              <a:latin typeface="ＭＳ Ｐゴシック"/>
              <a:ea typeface="ＭＳ Ｐゴシック"/>
            </a:rPr>
            <a:t>振込年月日　　　　　　　     年　　　月　　　日</a:t>
          </a:r>
        </a:p>
        <a:p>
          <a:pPr algn="l" rtl="0">
            <a:lnSpc>
              <a:spcPts val="1100"/>
            </a:lnSpc>
            <a:defRPr sz="1000"/>
          </a:pPr>
          <a:endParaRPr lang="ja-JP" altLang="en-US" sz="9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ＭＳ Ｐゴシック"/>
              <a:ea typeface="ＭＳ Ｐゴシック"/>
            </a:rPr>
            <a:t>振込先金融機関 　　　　　　　　　　　　　銀行</a:t>
          </a:r>
        </a:p>
        <a:p>
          <a:pPr algn="l" rtl="0">
            <a:defRPr sz="1000"/>
          </a:pPr>
          <a:endParaRPr lang="ja-JP" altLang="en-US" sz="900" b="0" i="0"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hyperlink" Target="mailto:fukuzawa@hlpa.or.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99"/>
  </sheetPr>
  <dimension ref="A4:D854"/>
  <sheetViews>
    <sheetView topLeftCell="A827" zoomScale="90" zoomScaleNormal="90" workbookViewId="0">
      <selection activeCell="B855" sqref="B855"/>
    </sheetView>
  </sheetViews>
  <sheetFormatPr defaultColWidth="2.875" defaultRowHeight="18" customHeight="1"/>
  <cols>
    <col min="1" max="2" width="20.625" style="556" customWidth="1"/>
    <col min="3" max="3" width="10.625" style="562" customWidth="1"/>
    <col min="4" max="4" width="71.375" style="1" customWidth="1"/>
    <col min="5" max="16384" width="2.875" style="1"/>
  </cols>
  <sheetData>
    <row r="4" spans="1:4" ht="18" customHeight="1">
      <c r="A4" s="556" t="s">
        <v>2577</v>
      </c>
      <c r="B4" s="556" t="s">
        <v>2578</v>
      </c>
    </row>
    <row r="5" spans="1:4" ht="18" customHeight="1">
      <c r="A5" s="556" t="s">
        <v>2579</v>
      </c>
      <c r="B5" s="556" t="s">
        <v>2580</v>
      </c>
    </row>
    <row r="6" spans="1:4" ht="18" customHeight="1">
      <c r="A6" s="556" t="s">
        <v>2581</v>
      </c>
      <c r="B6" s="556" t="s">
        <v>2582</v>
      </c>
    </row>
    <row r="7" spans="1:4" ht="18" customHeight="1">
      <c r="A7" s="556" t="s">
        <v>2583</v>
      </c>
      <c r="B7" s="556" t="s">
        <v>2584</v>
      </c>
      <c r="D7" s="1" t="s">
        <v>2585</v>
      </c>
    </row>
    <row r="9" spans="1:4" ht="18" customHeight="1">
      <c r="B9" s="556" t="s">
        <v>2586</v>
      </c>
      <c r="D9" s="1" t="s">
        <v>2587</v>
      </c>
    </row>
    <row r="10" spans="1:4" ht="18" customHeight="1">
      <c r="B10" s="556">
        <v>40007</v>
      </c>
      <c r="D10" s="1" t="s">
        <v>2588</v>
      </c>
    </row>
    <row r="11" spans="1:4" ht="18" customHeight="1">
      <c r="B11" s="556">
        <v>40012</v>
      </c>
      <c r="D11" s="1" t="s">
        <v>2589</v>
      </c>
    </row>
    <row r="12" spans="1:4" ht="18" customHeight="1">
      <c r="D12" s="1" t="s">
        <v>2590</v>
      </c>
    </row>
    <row r="13" spans="1:4" ht="18" customHeight="1">
      <c r="B13" s="556">
        <v>40015</v>
      </c>
      <c r="D13" s="1" t="s">
        <v>2591</v>
      </c>
    </row>
    <row r="14" spans="1:4" ht="18" customHeight="1">
      <c r="B14" s="556">
        <v>40015</v>
      </c>
      <c r="D14" s="1" t="s">
        <v>2592</v>
      </c>
    </row>
    <row r="15" spans="1:4" ht="18" customHeight="1">
      <c r="B15" s="556">
        <v>40016</v>
      </c>
      <c r="D15" s="1" t="s">
        <v>2593</v>
      </c>
    </row>
    <row r="16" spans="1:4" ht="18" customHeight="1">
      <c r="B16" s="556">
        <v>40016</v>
      </c>
      <c r="D16" s="1" t="s">
        <v>2594</v>
      </c>
    </row>
    <row r="17" spans="2:4" ht="18" customHeight="1">
      <c r="B17" s="556">
        <v>40025</v>
      </c>
      <c r="D17" s="1" t="s">
        <v>2595</v>
      </c>
    </row>
    <row r="18" spans="2:4" ht="18" customHeight="1">
      <c r="B18" s="556">
        <v>40025</v>
      </c>
      <c r="D18" s="1" t="s">
        <v>2596</v>
      </c>
    </row>
    <row r="19" spans="2:4" ht="18" customHeight="1">
      <c r="B19" s="556">
        <v>40028</v>
      </c>
      <c r="D19" s="1" t="s">
        <v>2597</v>
      </c>
    </row>
    <row r="20" spans="2:4" ht="18" customHeight="1">
      <c r="B20" s="556">
        <v>40029</v>
      </c>
      <c r="D20" s="1" t="s">
        <v>2598</v>
      </c>
    </row>
    <row r="21" spans="2:4" ht="18" customHeight="1">
      <c r="B21" s="556">
        <v>40030</v>
      </c>
      <c r="D21" s="1" t="s">
        <v>2599</v>
      </c>
    </row>
    <row r="22" spans="2:4" ht="18" customHeight="1">
      <c r="B22" s="556">
        <v>40039</v>
      </c>
      <c r="D22" s="1" t="s">
        <v>2596</v>
      </c>
    </row>
    <row r="23" spans="2:4" ht="18" customHeight="1">
      <c r="B23" s="556">
        <v>40042</v>
      </c>
      <c r="D23" s="1" t="s">
        <v>2600</v>
      </c>
    </row>
    <row r="24" spans="2:4" ht="18" customHeight="1">
      <c r="B24" s="556">
        <v>40049</v>
      </c>
      <c r="D24" s="1" t="s">
        <v>2601</v>
      </c>
    </row>
    <row r="25" spans="2:4" ht="18" customHeight="1">
      <c r="B25" s="556">
        <v>40049</v>
      </c>
      <c r="D25" s="1" t="s">
        <v>2602</v>
      </c>
    </row>
    <row r="26" spans="2:4" ht="18" customHeight="1">
      <c r="B26" s="556">
        <v>40050</v>
      </c>
      <c r="D26" s="1" t="s">
        <v>2603</v>
      </c>
    </row>
    <row r="27" spans="2:4" ht="18" customHeight="1">
      <c r="B27" s="556">
        <v>40052</v>
      </c>
      <c r="D27" s="1" t="s">
        <v>2604</v>
      </c>
    </row>
    <row r="28" spans="2:4" ht="18" customHeight="1">
      <c r="B28" s="556">
        <v>40053</v>
      </c>
      <c r="D28" s="1" t="s">
        <v>2605</v>
      </c>
    </row>
    <row r="29" spans="2:4" ht="18" customHeight="1">
      <c r="B29" s="556">
        <v>40059</v>
      </c>
      <c r="D29" s="1" t="s">
        <v>2606</v>
      </c>
    </row>
    <row r="30" spans="2:4" ht="18" customHeight="1">
      <c r="B30" s="556">
        <v>40063</v>
      </c>
      <c r="D30" s="1" t="s">
        <v>2607</v>
      </c>
    </row>
    <row r="31" spans="2:4" ht="18" customHeight="1">
      <c r="B31" s="556">
        <v>40066</v>
      </c>
      <c r="D31" s="1" t="s">
        <v>2608</v>
      </c>
    </row>
    <row r="32" spans="2:4" ht="18" customHeight="1">
      <c r="B32" s="556">
        <v>40067</v>
      </c>
      <c r="D32" s="1" t="s">
        <v>2609</v>
      </c>
    </row>
    <row r="33" spans="2:4" ht="18" customHeight="1">
      <c r="B33" s="556">
        <v>40067</v>
      </c>
      <c r="D33" s="1" t="s">
        <v>2610</v>
      </c>
    </row>
    <row r="34" spans="2:4" ht="18" customHeight="1">
      <c r="B34" s="556">
        <v>40070</v>
      </c>
      <c r="D34" s="1" t="s">
        <v>2611</v>
      </c>
    </row>
    <row r="35" spans="2:4" ht="18" customHeight="1">
      <c r="B35" s="556">
        <v>40070</v>
      </c>
      <c r="D35" s="1" t="s">
        <v>2612</v>
      </c>
    </row>
    <row r="36" spans="2:4" ht="18" customHeight="1">
      <c r="B36" s="556">
        <v>40071</v>
      </c>
      <c r="D36" s="1" t="s">
        <v>2613</v>
      </c>
    </row>
    <row r="37" spans="2:4" ht="18" customHeight="1">
      <c r="B37" s="556">
        <v>40107</v>
      </c>
      <c r="D37" s="1" t="s">
        <v>2614</v>
      </c>
    </row>
    <row r="38" spans="2:4" ht="18" customHeight="1">
      <c r="B38" s="556">
        <v>40137</v>
      </c>
      <c r="D38" s="1" t="s">
        <v>2615</v>
      </c>
    </row>
    <row r="39" spans="2:4" ht="18" customHeight="1">
      <c r="B39" s="556">
        <v>40140</v>
      </c>
      <c r="D39" s="2" t="s">
        <v>2616</v>
      </c>
    </row>
    <row r="40" spans="2:4" ht="18" customHeight="1">
      <c r="B40" s="556">
        <v>40143</v>
      </c>
      <c r="D40" s="1" t="s">
        <v>2617</v>
      </c>
    </row>
    <row r="41" spans="2:4" ht="18" customHeight="1">
      <c r="B41" s="556">
        <v>40238</v>
      </c>
      <c r="D41" s="1" t="s">
        <v>2618</v>
      </c>
    </row>
    <row r="42" spans="2:4" ht="18" customHeight="1">
      <c r="B42" s="556">
        <v>40252</v>
      </c>
      <c r="D42" s="1" t="s">
        <v>2619</v>
      </c>
    </row>
    <row r="43" spans="2:4" ht="18" customHeight="1">
      <c r="B43" s="556">
        <v>40255</v>
      </c>
      <c r="D43" s="1" t="s">
        <v>2620</v>
      </c>
    </row>
    <row r="44" spans="2:4" ht="18" customHeight="1">
      <c r="B44" s="556">
        <v>40269</v>
      </c>
      <c r="C44" s="563"/>
      <c r="D44" s="1" t="s">
        <v>2621</v>
      </c>
    </row>
    <row r="45" spans="2:4" ht="18" customHeight="1">
      <c r="B45" s="556">
        <v>40280</v>
      </c>
      <c r="D45" s="1" t="s">
        <v>2622</v>
      </c>
    </row>
    <row r="46" spans="2:4" ht="18" customHeight="1">
      <c r="B46" s="556">
        <v>40308</v>
      </c>
      <c r="D46" s="1" t="s">
        <v>2623</v>
      </c>
    </row>
    <row r="47" spans="2:4" ht="18" customHeight="1">
      <c r="B47" s="556">
        <v>40326</v>
      </c>
      <c r="D47" s="1" t="s">
        <v>2624</v>
      </c>
    </row>
    <row r="48" spans="2:4" ht="18" customHeight="1">
      <c r="B48" s="556">
        <v>40328</v>
      </c>
      <c r="C48" s="563"/>
      <c r="D48" s="1" t="s">
        <v>2625</v>
      </c>
    </row>
    <row r="49" spans="2:4" ht="18" customHeight="1">
      <c r="B49" s="556">
        <v>40353</v>
      </c>
      <c r="D49" s="1" t="s">
        <v>2626</v>
      </c>
    </row>
    <row r="50" spans="2:4" ht="18" customHeight="1">
      <c r="B50" s="556">
        <v>40357</v>
      </c>
      <c r="C50" s="563"/>
      <c r="D50" s="1" t="s">
        <v>2627</v>
      </c>
    </row>
    <row r="51" spans="2:4" ht="18" customHeight="1">
      <c r="C51" s="563"/>
    </row>
    <row r="52" spans="2:4" ht="18" customHeight="1">
      <c r="B52" s="556">
        <v>40466</v>
      </c>
      <c r="C52" s="563"/>
      <c r="D52" s="1" t="s">
        <v>2628</v>
      </c>
    </row>
    <row r="53" spans="2:4" ht="18" customHeight="1">
      <c r="C53" s="563"/>
      <c r="D53" s="1" t="s">
        <v>2629</v>
      </c>
    </row>
    <row r="54" spans="2:4" ht="18" customHeight="1">
      <c r="D54" s="1" t="s">
        <v>2630</v>
      </c>
    </row>
    <row r="55" spans="2:4" ht="18" customHeight="1">
      <c r="B55" s="556">
        <v>40869</v>
      </c>
      <c r="D55" s="1" t="s">
        <v>2631</v>
      </c>
    </row>
    <row r="56" spans="2:4" ht="18" customHeight="1">
      <c r="B56" s="556">
        <v>40869</v>
      </c>
      <c r="D56" s="1" t="s">
        <v>2632</v>
      </c>
    </row>
    <row r="57" spans="2:4" ht="18" customHeight="1">
      <c r="D57" s="1" t="s">
        <v>2633</v>
      </c>
    </row>
    <row r="58" spans="2:4" ht="18" customHeight="1">
      <c r="B58" s="556">
        <v>40877</v>
      </c>
      <c r="D58" s="1" t="s">
        <v>2634</v>
      </c>
    </row>
    <row r="59" spans="2:4" ht="18" customHeight="1">
      <c r="D59" s="1" t="s">
        <v>2635</v>
      </c>
    </row>
    <row r="61" spans="2:4" ht="18" customHeight="1">
      <c r="B61" s="556">
        <v>40885</v>
      </c>
      <c r="C61" s="564"/>
      <c r="D61" s="1" t="s">
        <v>2636</v>
      </c>
    </row>
    <row r="62" spans="2:4" ht="18" customHeight="1">
      <c r="B62" s="556">
        <v>40903</v>
      </c>
      <c r="D62" s="1" t="s">
        <v>2637</v>
      </c>
    </row>
    <row r="63" spans="2:4" ht="18" customHeight="1">
      <c r="B63" s="556">
        <v>40924</v>
      </c>
      <c r="D63" s="1" t="s">
        <v>2638</v>
      </c>
    </row>
    <row r="64" spans="2:4" ht="18" customHeight="1">
      <c r="D64" s="1" t="s">
        <v>2639</v>
      </c>
    </row>
    <row r="65" spans="2:4" ht="18" customHeight="1">
      <c r="D65" s="1" t="s">
        <v>2640</v>
      </c>
    </row>
    <row r="66" spans="2:4" ht="18" customHeight="1">
      <c r="B66" s="556">
        <v>40935</v>
      </c>
      <c r="D66" s="1" t="s">
        <v>2641</v>
      </c>
    </row>
    <row r="67" spans="2:4" ht="18" customHeight="1">
      <c r="D67" s="1" t="s">
        <v>2642</v>
      </c>
    </row>
    <row r="68" spans="2:4" ht="18" customHeight="1">
      <c r="D68" s="1" t="s">
        <v>2643</v>
      </c>
    </row>
    <row r="69" spans="2:4" ht="18" customHeight="1">
      <c r="D69" s="1" t="s">
        <v>2644</v>
      </c>
    </row>
    <row r="70" spans="2:4" ht="18" customHeight="1">
      <c r="D70" s="1" t="s">
        <v>2645</v>
      </c>
    </row>
    <row r="71" spans="2:4" ht="18" customHeight="1">
      <c r="D71" s="1" t="s">
        <v>2646</v>
      </c>
    </row>
    <row r="72" spans="2:4" ht="18" customHeight="1">
      <c r="D72" s="1" t="s">
        <v>2647</v>
      </c>
    </row>
    <row r="73" spans="2:4" ht="18" customHeight="1">
      <c r="B73" s="556">
        <v>40938</v>
      </c>
      <c r="D73" s="1" t="s">
        <v>2648</v>
      </c>
    </row>
    <row r="74" spans="2:4" ht="18" customHeight="1">
      <c r="D74" s="1" t="s">
        <v>2649</v>
      </c>
    </row>
    <row r="75" spans="2:4" ht="18" customHeight="1">
      <c r="D75" s="1" t="s">
        <v>2650</v>
      </c>
    </row>
    <row r="76" spans="2:4" ht="18" customHeight="1">
      <c r="D76" s="1" t="s">
        <v>2651</v>
      </c>
    </row>
    <row r="77" spans="2:4" ht="18" customHeight="1">
      <c r="D77" s="1" t="s">
        <v>2652</v>
      </c>
    </row>
    <row r="78" spans="2:4" ht="18" customHeight="1">
      <c r="D78" s="1" t="s">
        <v>2653</v>
      </c>
    </row>
    <row r="79" spans="2:4" ht="18" customHeight="1">
      <c r="B79" s="556">
        <v>40939</v>
      </c>
      <c r="D79" s="1" t="s">
        <v>2654</v>
      </c>
    </row>
    <row r="80" spans="2:4" ht="18" customHeight="1">
      <c r="D80" s="1" t="s">
        <v>2655</v>
      </c>
    </row>
    <row r="81" spans="2:4" ht="18" customHeight="1">
      <c r="D81" s="1" t="s">
        <v>2656</v>
      </c>
    </row>
    <row r="82" spans="2:4" ht="18" customHeight="1">
      <c r="B82" s="556">
        <v>40940</v>
      </c>
      <c r="D82" s="1" t="s">
        <v>2657</v>
      </c>
    </row>
    <row r="83" spans="2:4" ht="18" customHeight="1">
      <c r="B83" s="556">
        <v>40941</v>
      </c>
      <c r="D83" s="1" t="s">
        <v>2658</v>
      </c>
    </row>
    <row r="84" spans="2:4" ht="18" customHeight="1">
      <c r="B84" s="556">
        <v>40942</v>
      </c>
      <c r="D84" s="1" t="s">
        <v>2659</v>
      </c>
    </row>
    <row r="85" spans="2:4" ht="18" customHeight="1">
      <c r="D85" s="1" t="s">
        <v>2660</v>
      </c>
    </row>
    <row r="86" spans="2:4" ht="18" customHeight="1">
      <c r="D86" s="1" t="s">
        <v>2661</v>
      </c>
    </row>
    <row r="87" spans="2:4" ht="18" customHeight="1">
      <c r="D87" s="1" t="s">
        <v>2662</v>
      </c>
    </row>
    <row r="88" spans="2:4" ht="18" customHeight="1">
      <c r="D88" s="1" t="s">
        <v>2663</v>
      </c>
    </row>
    <row r="89" spans="2:4" ht="18" customHeight="1">
      <c r="D89" s="1" t="s">
        <v>2664</v>
      </c>
    </row>
    <row r="90" spans="2:4" ht="18" customHeight="1">
      <c r="D90" s="1" t="s">
        <v>2665</v>
      </c>
    </row>
    <row r="91" spans="2:4" ht="18" customHeight="1">
      <c r="B91" s="556">
        <v>40948</v>
      </c>
      <c r="D91" s="3" t="s">
        <v>2666</v>
      </c>
    </row>
    <row r="92" spans="2:4" ht="18" customHeight="1">
      <c r="D92" s="1" t="s">
        <v>2667</v>
      </c>
    </row>
    <row r="93" spans="2:4" ht="18" customHeight="1">
      <c r="D93" s="1" t="s">
        <v>2668</v>
      </c>
    </row>
    <row r="94" spans="2:4" ht="18" customHeight="1">
      <c r="B94" s="556">
        <v>40949</v>
      </c>
      <c r="D94" s="1" t="s">
        <v>2669</v>
      </c>
    </row>
    <row r="95" spans="2:4" ht="18" customHeight="1">
      <c r="B95" s="556">
        <v>40953</v>
      </c>
      <c r="D95" s="1" t="s">
        <v>2670</v>
      </c>
    </row>
    <row r="96" spans="2:4" ht="18" customHeight="1">
      <c r="B96" s="556">
        <v>40953</v>
      </c>
      <c r="D96" s="1" t="s">
        <v>2671</v>
      </c>
    </row>
    <row r="97" spans="2:4" ht="18" customHeight="1">
      <c r="B97" s="556">
        <v>40954</v>
      </c>
      <c r="D97" s="1" t="s">
        <v>2672</v>
      </c>
    </row>
    <row r="98" spans="2:4" ht="18" customHeight="1">
      <c r="D98" s="1" t="s">
        <v>2673</v>
      </c>
    </row>
    <row r="99" spans="2:4" ht="18" customHeight="1">
      <c r="B99" s="556">
        <v>40955</v>
      </c>
      <c r="D99" s="1" t="s">
        <v>2674</v>
      </c>
    </row>
    <row r="100" spans="2:4" ht="18" customHeight="1">
      <c r="B100" s="556">
        <v>40956</v>
      </c>
      <c r="D100" s="1" t="s">
        <v>2675</v>
      </c>
    </row>
    <row r="101" spans="2:4" ht="18" customHeight="1">
      <c r="D101" s="1" t="s">
        <v>2676</v>
      </c>
    </row>
    <row r="102" spans="2:4" ht="18" customHeight="1">
      <c r="D102" s="1" t="s">
        <v>2677</v>
      </c>
    </row>
    <row r="103" spans="2:4" ht="18" customHeight="1">
      <c r="B103" s="556">
        <v>40959</v>
      </c>
      <c r="D103" s="1" t="s">
        <v>2678</v>
      </c>
    </row>
    <row r="104" spans="2:4" ht="18" customHeight="1">
      <c r="B104" s="556">
        <v>40961</v>
      </c>
      <c r="D104" s="1" t="s">
        <v>2679</v>
      </c>
    </row>
    <row r="105" spans="2:4" ht="18" customHeight="1">
      <c r="B105" s="556">
        <v>40961</v>
      </c>
      <c r="D105" s="1" t="s">
        <v>2680</v>
      </c>
    </row>
    <row r="106" spans="2:4" ht="18" customHeight="1">
      <c r="B106" s="556">
        <v>40966</v>
      </c>
      <c r="D106" s="1" t="s">
        <v>2681</v>
      </c>
    </row>
    <row r="107" spans="2:4" ht="18" customHeight="1">
      <c r="B107" s="556">
        <v>40973</v>
      </c>
      <c r="D107" s="1" t="s">
        <v>2682</v>
      </c>
    </row>
    <row r="108" spans="2:4" ht="18" customHeight="1">
      <c r="D108" s="1" t="s">
        <v>2683</v>
      </c>
    </row>
    <row r="109" spans="2:4" ht="18" customHeight="1">
      <c r="B109" s="556">
        <v>40974</v>
      </c>
      <c r="D109" s="1" t="s">
        <v>2684</v>
      </c>
    </row>
    <row r="110" spans="2:4" ht="18" customHeight="1">
      <c r="B110" s="556">
        <v>40976</v>
      </c>
      <c r="D110" s="1" t="s">
        <v>2685</v>
      </c>
    </row>
    <row r="111" spans="2:4" ht="18" customHeight="1">
      <c r="D111" s="1" t="s">
        <v>2686</v>
      </c>
    </row>
    <row r="112" spans="2:4" ht="18" customHeight="1">
      <c r="B112" s="556">
        <v>40980</v>
      </c>
      <c r="D112" s="1" t="s">
        <v>2687</v>
      </c>
    </row>
    <row r="113" spans="2:4" ht="18" customHeight="1">
      <c r="D113" s="1" t="s">
        <v>2688</v>
      </c>
    </row>
    <row r="114" spans="2:4" ht="18" customHeight="1">
      <c r="D114" s="1" t="s">
        <v>2689</v>
      </c>
    </row>
    <row r="115" spans="2:4" ht="18" customHeight="1">
      <c r="B115" s="556">
        <v>40981</v>
      </c>
      <c r="D115" s="1" t="s">
        <v>2690</v>
      </c>
    </row>
    <row r="116" spans="2:4" ht="18" customHeight="1">
      <c r="B116" s="556">
        <v>40982</v>
      </c>
      <c r="D116" s="1" t="s">
        <v>2691</v>
      </c>
    </row>
    <row r="117" spans="2:4" ht="18" customHeight="1">
      <c r="B117" s="556">
        <v>40987</v>
      </c>
      <c r="D117" s="1" t="s">
        <v>2692</v>
      </c>
    </row>
    <row r="118" spans="2:4" ht="18" customHeight="1">
      <c r="D118" s="1" t="s">
        <v>2689</v>
      </c>
    </row>
    <row r="119" spans="2:4" ht="18" customHeight="1">
      <c r="D119" s="1" t="s">
        <v>2693</v>
      </c>
    </row>
    <row r="120" spans="2:4" ht="18" customHeight="1">
      <c r="B120" s="556">
        <v>40994</v>
      </c>
      <c r="D120" s="1" t="s">
        <v>2694</v>
      </c>
    </row>
    <row r="121" spans="2:4" ht="18" customHeight="1">
      <c r="D121" s="1" t="s">
        <v>2695</v>
      </c>
    </row>
    <row r="122" spans="2:4" ht="18" customHeight="1">
      <c r="B122" s="556">
        <v>40996</v>
      </c>
      <c r="D122" s="1" t="s">
        <v>2696</v>
      </c>
    </row>
    <row r="123" spans="2:4" ht="18" customHeight="1">
      <c r="B123" s="556">
        <v>40998</v>
      </c>
      <c r="D123" s="1" t="s">
        <v>2697</v>
      </c>
    </row>
    <row r="124" spans="2:4" ht="18" customHeight="1">
      <c r="D124" s="1" t="s">
        <v>2698</v>
      </c>
    </row>
    <row r="125" spans="2:4" ht="18" customHeight="1">
      <c r="B125" s="556">
        <v>41001</v>
      </c>
      <c r="D125" s="1" t="s">
        <v>2699</v>
      </c>
    </row>
    <row r="126" spans="2:4" ht="18" customHeight="1">
      <c r="D126" s="1" t="s">
        <v>2700</v>
      </c>
    </row>
    <row r="127" spans="2:4" ht="18" customHeight="1">
      <c r="B127" s="556">
        <v>41003</v>
      </c>
      <c r="D127" s="1" t="s">
        <v>2701</v>
      </c>
    </row>
    <row r="128" spans="2:4" ht="18" customHeight="1">
      <c r="B128" s="556">
        <v>41004</v>
      </c>
      <c r="D128" s="1" t="s">
        <v>2702</v>
      </c>
    </row>
    <row r="129" spans="2:4" ht="18" customHeight="1">
      <c r="D129" s="1" t="s">
        <v>2703</v>
      </c>
    </row>
    <row r="130" spans="2:4" ht="18" customHeight="1">
      <c r="D130" s="1" t="s">
        <v>2704</v>
      </c>
    </row>
    <row r="131" spans="2:4" ht="18" customHeight="1">
      <c r="B131" s="556">
        <v>41005</v>
      </c>
      <c r="D131" s="1" t="s">
        <v>2705</v>
      </c>
    </row>
    <row r="132" spans="2:4" ht="18" customHeight="1">
      <c r="D132" s="1" t="s">
        <v>2706</v>
      </c>
    </row>
    <row r="133" spans="2:4" ht="18" customHeight="1">
      <c r="B133" s="556">
        <v>41008</v>
      </c>
      <c r="D133" s="1" t="s">
        <v>2707</v>
      </c>
    </row>
    <row r="135" spans="2:4" ht="18" customHeight="1">
      <c r="B135" s="556">
        <v>41010</v>
      </c>
      <c r="D135" s="1" t="s">
        <v>2708</v>
      </c>
    </row>
    <row r="136" spans="2:4" ht="18" customHeight="1">
      <c r="D136" s="1" t="s">
        <v>2709</v>
      </c>
    </row>
    <row r="137" spans="2:4" ht="18" customHeight="1">
      <c r="B137" s="556">
        <v>41011</v>
      </c>
      <c r="D137" s="1" t="s">
        <v>2710</v>
      </c>
    </row>
    <row r="138" spans="2:4" ht="18" customHeight="1">
      <c r="D138" s="1" t="s">
        <v>2711</v>
      </c>
    </row>
    <row r="139" spans="2:4" ht="18" customHeight="1">
      <c r="B139" s="556">
        <v>41012</v>
      </c>
      <c r="D139" s="1" t="s">
        <v>2712</v>
      </c>
    </row>
    <row r="140" spans="2:4" ht="18" customHeight="1">
      <c r="B140" s="556">
        <v>41015</v>
      </c>
      <c r="D140" s="1" t="s">
        <v>2713</v>
      </c>
    </row>
    <row r="141" spans="2:4" ht="18" customHeight="1">
      <c r="B141" s="556">
        <v>41044</v>
      </c>
      <c r="D141" s="1" t="s">
        <v>2714</v>
      </c>
    </row>
    <row r="142" spans="2:4" ht="18" customHeight="1">
      <c r="B142" s="556">
        <v>41068</v>
      </c>
      <c r="D142" s="1" t="s">
        <v>2715</v>
      </c>
    </row>
    <row r="143" spans="2:4" ht="18" customHeight="1">
      <c r="B143" s="556">
        <v>41071</v>
      </c>
      <c r="D143" s="1" t="s">
        <v>2716</v>
      </c>
    </row>
    <row r="144" spans="2:4" ht="18" customHeight="1">
      <c r="B144" s="556">
        <v>41072</v>
      </c>
      <c r="D144" s="1" t="s">
        <v>2717</v>
      </c>
    </row>
    <row r="145" spans="2:4" ht="18" customHeight="1">
      <c r="B145" s="556">
        <v>41088</v>
      </c>
      <c r="D145" s="1" t="s">
        <v>2718</v>
      </c>
    </row>
    <row r="146" spans="2:4" ht="18" customHeight="1">
      <c r="B146" s="556">
        <v>41115</v>
      </c>
      <c r="D146" s="1" t="s">
        <v>2719</v>
      </c>
    </row>
    <row r="147" spans="2:4" ht="18" customHeight="1">
      <c r="B147" s="556">
        <v>41121</v>
      </c>
      <c r="D147" s="1" t="s">
        <v>2720</v>
      </c>
    </row>
    <row r="148" spans="2:4" ht="18" customHeight="1">
      <c r="B148" s="556">
        <v>41130</v>
      </c>
      <c r="D148" s="1" t="s">
        <v>2721</v>
      </c>
    </row>
    <row r="149" spans="2:4" ht="18" customHeight="1">
      <c r="D149" s="1" t="s">
        <v>2721</v>
      </c>
    </row>
    <row r="150" spans="2:4" ht="18" customHeight="1">
      <c r="B150" s="556">
        <v>41137</v>
      </c>
      <c r="D150" s="1" t="s">
        <v>2722</v>
      </c>
    </row>
    <row r="151" spans="2:4" ht="18" customHeight="1">
      <c r="B151" s="556">
        <v>41184</v>
      </c>
      <c r="D151" s="1" t="s">
        <v>2723</v>
      </c>
    </row>
    <row r="152" spans="2:4" ht="18" customHeight="1">
      <c r="B152" s="556">
        <v>41197</v>
      </c>
      <c r="D152" s="1" t="s">
        <v>2724</v>
      </c>
    </row>
    <row r="153" spans="2:4" ht="18" customHeight="1">
      <c r="B153" s="556">
        <v>41201</v>
      </c>
      <c r="D153" s="1" t="s">
        <v>2725</v>
      </c>
    </row>
    <row r="154" spans="2:4" ht="18" customHeight="1">
      <c r="B154" s="556">
        <v>41201</v>
      </c>
      <c r="D154" s="1" t="s">
        <v>2726</v>
      </c>
    </row>
    <row r="155" spans="2:4" ht="18" customHeight="1">
      <c r="B155" s="556">
        <v>41206</v>
      </c>
      <c r="D155" s="1" t="s">
        <v>2727</v>
      </c>
    </row>
    <row r="156" spans="2:4" ht="18" customHeight="1">
      <c r="B156" s="556">
        <v>41218</v>
      </c>
      <c r="D156" s="1" t="s">
        <v>2728</v>
      </c>
    </row>
    <row r="157" spans="2:4" ht="18" customHeight="1">
      <c r="B157" s="556">
        <v>41222</v>
      </c>
      <c r="D157" s="1" t="s">
        <v>2729</v>
      </c>
    </row>
    <row r="158" spans="2:4" ht="18" customHeight="1">
      <c r="B158" s="556">
        <v>41222</v>
      </c>
      <c r="D158" s="1" t="s">
        <v>2730</v>
      </c>
    </row>
    <row r="159" spans="2:4" ht="18" customHeight="1">
      <c r="B159" s="556">
        <v>41225</v>
      </c>
      <c r="D159" s="1" t="s">
        <v>2731</v>
      </c>
    </row>
    <row r="160" spans="2:4" ht="18" customHeight="1">
      <c r="B160" s="556">
        <v>41243</v>
      </c>
      <c r="D160" s="1" t="s">
        <v>2732</v>
      </c>
    </row>
    <row r="161" spans="2:4" ht="18" customHeight="1">
      <c r="B161" s="556">
        <v>41253</v>
      </c>
      <c r="D161" s="1" t="s">
        <v>2733</v>
      </c>
    </row>
    <row r="162" spans="2:4" ht="18" customHeight="1">
      <c r="B162" s="556">
        <v>41306</v>
      </c>
      <c r="D162" s="1" t="s">
        <v>2734</v>
      </c>
    </row>
    <row r="163" spans="2:4" ht="18" customHeight="1">
      <c r="B163" s="556">
        <v>41779</v>
      </c>
      <c r="C163" s="565"/>
      <c r="D163" s="4" t="s">
        <v>2735</v>
      </c>
    </row>
    <row r="164" spans="2:4" ht="18" customHeight="1">
      <c r="B164" s="556">
        <v>41781</v>
      </c>
      <c r="D164" s="1" t="s">
        <v>2736</v>
      </c>
    </row>
    <row r="165" spans="2:4" ht="18" customHeight="1">
      <c r="B165" s="556">
        <v>41817</v>
      </c>
      <c r="D165" s="1" t="s">
        <v>2737</v>
      </c>
    </row>
    <row r="166" spans="2:4" ht="18" customHeight="1">
      <c r="B166" s="556">
        <v>41836</v>
      </c>
      <c r="D166" s="1" t="s">
        <v>2738</v>
      </c>
    </row>
    <row r="167" spans="2:4" ht="18" customHeight="1">
      <c r="B167" s="556">
        <v>41858</v>
      </c>
      <c r="D167" s="1" t="s">
        <v>2739</v>
      </c>
    </row>
    <row r="168" spans="2:4" ht="18" customHeight="1">
      <c r="B168" s="556">
        <v>41876</v>
      </c>
      <c r="D168" s="1" t="s">
        <v>2740</v>
      </c>
    </row>
    <row r="169" spans="2:4" ht="18" customHeight="1">
      <c r="B169" s="556">
        <v>41899</v>
      </c>
      <c r="D169" s="1" t="s">
        <v>2741</v>
      </c>
    </row>
    <row r="170" spans="2:4" ht="18" customHeight="1">
      <c r="B170" s="556">
        <v>41914</v>
      </c>
      <c r="D170" s="1" t="s">
        <v>2742</v>
      </c>
    </row>
    <row r="171" spans="2:4" ht="18" customHeight="1">
      <c r="D171" s="1" t="s">
        <v>2743</v>
      </c>
    </row>
    <row r="172" spans="2:4" ht="18" customHeight="1">
      <c r="B172" s="556">
        <v>41919</v>
      </c>
      <c r="D172" s="1" t="s">
        <v>2744</v>
      </c>
    </row>
    <row r="174" spans="2:4" ht="18" customHeight="1">
      <c r="B174" s="556">
        <v>41920</v>
      </c>
      <c r="D174" s="1" t="s">
        <v>2745</v>
      </c>
    </row>
    <row r="176" spans="2:4" ht="18" customHeight="1">
      <c r="B176" s="556">
        <v>41950</v>
      </c>
      <c r="D176" s="1" t="s">
        <v>2746</v>
      </c>
    </row>
    <row r="177" spans="2:4" ht="18" customHeight="1">
      <c r="D177" s="1" t="s">
        <v>2747</v>
      </c>
    </row>
    <row r="179" spans="2:4" ht="18" customHeight="1">
      <c r="B179" s="556">
        <v>41954</v>
      </c>
      <c r="D179" s="1" t="s">
        <v>2748</v>
      </c>
    </row>
    <row r="181" spans="2:4" ht="18" customHeight="1">
      <c r="B181" s="556">
        <v>41963</v>
      </c>
      <c r="D181" s="1" t="s">
        <v>2749</v>
      </c>
    </row>
    <row r="182" spans="2:4" ht="18" customHeight="1">
      <c r="D182" s="1" t="s">
        <v>2750</v>
      </c>
    </row>
    <row r="184" spans="2:4" ht="18" customHeight="1">
      <c r="B184" s="556">
        <v>41969</v>
      </c>
      <c r="D184" s="1" t="s">
        <v>2751</v>
      </c>
    </row>
    <row r="185" spans="2:4" ht="18" customHeight="1">
      <c r="D185" s="1" t="s">
        <v>2752</v>
      </c>
    </row>
    <row r="187" spans="2:4" ht="18" customHeight="1">
      <c r="B187" s="556">
        <v>41970</v>
      </c>
      <c r="D187" s="1" t="s">
        <v>2753</v>
      </c>
    </row>
    <row r="189" spans="2:4" ht="18" customHeight="1">
      <c r="B189" s="556">
        <v>41983</v>
      </c>
      <c r="D189" s="1" t="s">
        <v>9528</v>
      </c>
    </row>
    <row r="191" spans="2:4" ht="18" customHeight="1">
      <c r="B191" s="556">
        <v>41984</v>
      </c>
      <c r="D191" s="1" t="s">
        <v>9539</v>
      </c>
    </row>
    <row r="193" spans="2:4" ht="18" customHeight="1">
      <c r="B193" s="556">
        <v>41989</v>
      </c>
      <c r="D193" s="1" t="s">
        <v>10095</v>
      </c>
    </row>
    <row r="194" spans="2:4" ht="18" customHeight="1">
      <c r="D194" s="1" t="s">
        <v>10096</v>
      </c>
    </row>
    <row r="195" spans="2:4" ht="18" customHeight="1">
      <c r="D195" s="1" t="s">
        <v>10097</v>
      </c>
    </row>
    <row r="196" spans="2:4" ht="18" customHeight="1">
      <c r="D196" s="1" t="s">
        <v>10098</v>
      </c>
    </row>
    <row r="198" spans="2:4" ht="18" customHeight="1">
      <c r="B198" s="556">
        <v>41990</v>
      </c>
      <c r="D198" s="1" t="s">
        <v>10108</v>
      </c>
    </row>
    <row r="199" spans="2:4" ht="18" customHeight="1">
      <c r="D199" s="1" t="s">
        <v>10109</v>
      </c>
    </row>
    <row r="201" spans="2:4" ht="18" customHeight="1">
      <c r="B201" s="556">
        <v>41992</v>
      </c>
      <c r="D201" s="322" t="s">
        <v>10127</v>
      </c>
    </row>
    <row r="202" spans="2:4" ht="18" customHeight="1">
      <c r="D202" s="322" t="s">
        <v>10128</v>
      </c>
    </row>
    <row r="203" spans="2:4" ht="18" customHeight="1">
      <c r="D203" s="322" t="s">
        <v>10129</v>
      </c>
    </row>
    <row r="204" spans="2:4" ht="18" customHeight="1">
      <c r="D204" s="322" t="s">
        <v>10130</v>
      </c>
    </row>
    <row r="205" spans="2:4" ht="18" customHeight="1">
      <c r="D205" s="322" t="s">
        <v>10126</v>
      </c>
    </row>
    <row r="206" spans="2:4" ht="18" customHeight="1">
      <c r="D206" s="322"/>
    </row>
    <row r="207" spans="2:4" ht="18" customHeight="1">
      <c r="D207" s="322" t="s">
        <v>10131</v>
      </c>
    </row>
    <row r="208" spans="2:4" ht="18" customHeight="1">
      <c r="D208" s="322" t="s">
        <v>10132</v>
      </c>
    </row>
    <row r="209" spans="2:4" ht="18" customHeight="1">
      <c r="D209" s="322" t="s">
        <v>10133</v>
      </c>
    </row>
    <row r="210" spans="2:4" ht="18" customHeight="1">
      <c r="D210" s="322" t="s">
        <v>10134</v>
      </c>
    </row>
    <row r="211" spans="2:4" ht="18" customHeight="1">
      <c r="D211" s="4" t="s">
        <v>10135</v>
      </c>
    </row>
    <row r="212" spans="2:4" ht="18" customHeight="1">
      <c r="D212" s="4" t="s">
        <v>10136</v>
      </c>
    </row>
    <row r="213" spans="2:4" ht="18" customHeight="1">
      <c r="D213" s="322" t="s">
        <v>10125</v>
      </c>
    </row>
    <row r="214" spans="2:4" ht="18" customHeight="1">
      <c r="D214" s="322"/>
    </row>
    <row r="215" spans="2:4" ht="18" customHeight="1">
      <c r="D215" s="322" t="s">
        <v>10137</v>
      </c>
    </row>
    <row r="216" spans="2:4" ht="18" customHeight="1">
      <c r="D216" s="322" t="s">
        <v>10138</v>
      </c>
    </row>
    <row r="217" spans="2:4" ht="18" customHeight="1">
      <c r="D217" s="322" t="s">
        <v>10139</v>
      </c>
    </row>
    <row r="218" spans="2:4" ht="18" customHeight="1">
      <c r="D218" s="322" t="s">
        <v>10140</v>
      </c>
    </row>
    <row r="219" spans="2:4" ht="18" customHeight="1">
      <c r="D219" s="322" t="s">
        <v>10141</v>
      </c>
    </row>
    <row r="221" spans="2:4" ht="18" customHeight="1">
      <c r="B221" s="556">
        <v>41993</v>
      </c>
      <c r="D221" s="1" t="s">
        <v>10143</v>
      </c>
    </row>
    <row r="222" spans="2:4" ht="18" customHeight="1">
      <c r="D222" s="1" t="s">
        <v>10145</v>
      </c>
    </row>
    <row r="223" spans="2:4" ht="18" customHeight="1">
      <c r="D223" s="1" t="s">
        <v>10676</v>
      </c>
    </row>
    <row r="225" spans="2:4" ht="18" customHeight="1">
      <c r="B225" s="556">
        <v>41994</v>
      </c>
      <c r="D225" s="1" t="s">
        <v>10693</v>
      </c>
    </row>
    <row r="226" spans="2:4" ht="18" customHeight="1">
      <c r="D226" s="1" t="s">
        <v>10694</v>
      </c>
    </row>
    <row r="227" spans="2:4" ht="18" customHeight="1">
      <c r="D227" s="1" t="s">
        <v>10807</v>
      </c>
    </row>
    <row r="228" spans="2:4" ht="18" customHeight="1">
      <c r="D228" s="1" t="s">
        <v>10810</v>
      </c>
    </row>
    <row r="229" spans="2:4" ht="18" customHeight="1">
      <c r="D229" s="1" t="s">
        <v>10815</v>
      </c>
    </row>
    <row r="230" spans="2:4" ht="18" customHeight="1">
      <c r="D230" s="1" t="s">
        <v>10816</v>
      </c>
    </row>
    <row r="231" spans="2:4" ht="18" customHeight="1">
      <c r="D231" s="1" t="s">
        <v>10818</v>
      </c>
    </row>
    <row r="232" spans="2:4" ht="18" customHeight="1">
      <c r="D232" s="1" t="s">
        <v>10882</v>
      </c>
    </row>
    <row r="234" spans="2:4" ht="18" customHeight="1">
      <c r="B234" s="556">
        <v>41995</v>
      </c>
      <c r="D234" s="1" t="s">
        <v>10842</v>
      </c>
    </row>
    <row r="235" spans="2:4" ht="18" customHeight="1">
      <c r="D235" s="495" t="s">
        <v>10853</v>
      </c>
    </row>
    <row r="236" spans="2:4" ht="18" customHeight="1">
      <c r="D236" s="495" t="s">
        <v>10854</v>
      </c>
    </row>
    <row r="237" spans="2:4" ht="18" customHeight="1">
      <c r="D237" s="495" t="s">
        <v>10855</v>
      </c>
    </row>
    <row r="239" spans="2:4" ht="18" customHeight="1">
      <c r="B239" s="556">
        <v>41995</v>
      </c>
      <c r="D239" s="1" t="s">
        <v>10849</v>
      </c>
    </row>
    <row r="240" spans="2:4" ht="18" customHeight="1">
      <c r="D240" s="495" t="s">
        <v>10843</v>
      </c>
    </row>
    <row r="241" spans="2:4" ht="18" customHeight="1">
      <c r="D241" s="495" t="s">
        <v>10846</v>
      </c>
    </row>
    <row r="242" spans="2:4" ht="18" customHeight="1">
      <c r="D242" s="495" t="s">
        <v>10844</v>
      </c>
    </row>
    <row r="243" spans="2:4" ht="18" customHeight="1">
      <c r="D243" s="495" t="s">
        <v>10845</v>
      </c>
    </row>
    <row r="244" spans="2:4" ht="18" customHeight="1">
      <c r="D244" s="495"/>
    </row>
    <row r="245" spans="2:4" ht="18" customHeight="1">
      <c r="B245" s="556">
        <v>41995</v>
      </c>
      <c r="D245" s="1" t="s">
        <v>10850</v>
      </c>
    </row>
    <row r="246" spans="2:4" ht="18" customHeight="1">
      <c r="D246" s="495" t="s">
        <v>10846</v>
      </c>
    </row>
    <row r="247" spans="2:4" ht="18" customHeight="1">
      <c r="D247" s="495" t="s">
        <v>10844</v>
      </c>
    </row>
    <row r="248" spans="2:4" ht="18" customHeight="1">
      <c r="D248" s="495" t="s">
        <v>10845</v>
      </c>
    </row>
    <row r="250" spans="2:4" ht="18" customHeight="1">
      <c r="B250" s="556" t="s">
        <v>10847</v>
      </c>
      <c r="D250" s="1" t="s">
        <v>10856</v>
      </c>
    </row>
    <row r="251" spans="2:4" ht="18" customHeight="1">
      <c r="D251" s="495" t="s">
        <v>10857</v>
      </c>
    </row>
    <row r="252" spans="2:4" ht="18" customHeight="1">
      <c r="D252" s="495" t="s">
        <v>10858</v>
      </c>
    </row>
    <row r="253" spans="2:4" ht="18" customHeight="1">
      <c r="D253" s="495" t="s">
        <v>10859</v>
      </c>
    </row>
    <row r="254" spans="2:4" ht="18" customHeight="1">
      <c r="D254" s="495" t="s">
        <v>10860</v>
      </c>
    </row>
    <row r="255" spans="2:4" ht="18" customHeight="1">
      <c r="D255" s="495" t="s">
        <v>10861</v>
      </c>
    </row>
    <row r="256" spans="2:4" ht="18" customHeight="1">
      <c r="D256" s="495" t="s">
        <v>10862</v>
      </c>
    </row>
    <row r="257" spans="2:4" ht="18" customHeight="1">
      <c r="D257" s="495" t="s">
        <v>10863</v>
      </c>
    </row>
    <row r="258" spans="2:4" ht="18" customHeight="1">
      <c r="D258" s="495" t="s">
        <v>10873</v>
      </c>
    </row>
    <row r="260" spans="2:4" ht="18" customHeight="1">
      <c r="B260" s="556" t="s">
        <v>10847</v>
      </c>
      <c r="D260" s="1" t="s">
        <v>10848</v>
      </c>
    </row>
    <row r="261" spans="2:4" ht="18" customHeight="1">
      <c r="D261" s="495" t="s">
        <v>10851</v>
      </c>
    </row>
    <row r="262" spans="2:4" ht="18" customHeight="1">
      <c r="D262" s="495" t="s">
        <v>10852</v>
      </c>
    </row>
    <row r="264" spans="2:4" ht="18" customHeight="1">
      <c r="B264" s="556" t="s">
        <v>10847</v>
      </c>
      <c r="D264" s="1" t="s">
        <v>10864</v>
      </c>
    </row>
    <row r="266" spans="2:4" ht="18" customHeight="1">
      <c r="B266" s="556" t="s">
        <v>10847</v>
      </c>
      <c r="D266" s="1" t="s">
        <v>10874</v>
      </c>
    </row>
    <row r="267" spans="2:4" ht="18" customHeight="1">
      <c r="B267" s="556" t="s">
        <v>10085</v>
      </c>
      <c r="C267" s="566"/>
      <c r="D267" s="495" t="s">
        <v>10875</v>
      </c>
    </row>
    <row r="268" spans="2:4" ht="18" customHeight="1">
      <c r="D268" s="495" t="s">
        <v>10876</v>
      </c>
    </row>
    <row r="269" spans="2:4" ht="18" customHeight="1">
      <c r="B269" s="556" t="s">
        <v>10881</v>
      </c>
      <c r="D269" s="495" t="s">
        <v>10877</v>
      </c>
    </row>
    <row r="270" spans="2:4" ht="18" customHeight="1">
      <c r="B270" s="556" t="s">
        <v>10085</v>
      </c>
      <c r="C270" s="566"/>
      <c r="D270" s="495" t="s">
        <v>10879</v>
      </c>
    </row>
    <row r="271" spans="2:4" ht="18" customHeight="1">
      <c r="D271" s="495" t="s">
        <v>10880</v>
      </c>
    </row>
    <row r="273" spans="2:4" ht="18" customHeight="1">
      <c r="B273" s="556">
        <v>41995</v>
      </c>
      <c r="D273" s="1" t="s">
        <v>10878</v>
      </c>
    </row>
    <row r="274" spans="2:4" ht="18" customHeight="1">
      <c r="D274" s="1" t="s">
        <v>10884</v>
      </c>
    </row>
    <row r="275" spans="2:4" ht="18" customHeight="1">
      <c r="D275" s="1" t="s">
        <v>10885</v>
      </c>
    </row>
    <row r="277" spans="2:4" ht="18" customHeight="1">
      <c r="B277" s="556">
        <v>41996</v>
      </c>
      <c r="D277" s="1" t="s">
        <v>10921</v>
      </c>
    </row>
    <row r="278" spans="2:4" ht="18" customHeight="1">
      <c r="B278" s="556">
        <v>41996</v>
      </c>
      <c r="D278" s="1" t="s">
        <v>10922</v>
      </c>
    </row>
    <row r="280" spans="2:4" ht="18" customHeight="1">
      <c r="B280" s="556">
        <v>41997</v>
      </c>
      <c r="D280" s="1" t="s">
        <v>10928</v>
      </c>
    </row>
    <row r="281" spans="2:4" ht="18" customHeight="1">
      <c r="D281" s="1" t="s">
        <v>10929</v>
      </c>
    </row>
    <row r="282" spans="2:4" ht="18" customHeight="1">
      <c r="D282" s="1" t="s">
        <v>10939</v>
      </c>
    </row>
    <row r="283" spans="2:4" ht="18" customHeight="1">
      <c r="D283" s="1" t="s">
        <v>10940</v>
      </c>
    </row>
    <row r="285" spans="2:4" ht="18" customHeight="1">
      <c r="B285" s="556">
        <v>41997</v>
      </c>
      <c r="D285" s="1" t="s">
        <v>10941</v>
      </c>
    </row>
    <row r="286" spans="2:4" ht="18" customHeight="1">
      <c r="D286" s="1" t="s">
        <v>10942</v>
      </c>
    </row>
    <row r="287" spans="2:4" ht="18" customHeight="1">
      <c r="D287" s="1" t="s">
        <v>10943</v>
      </c>
    </row>
    <row r="288" spans="2:4" ht="18" customHeight="1">
      <c r="D288" s="1" t="s">
        <v>10944</v>
      </c>
    </row>
    <row r="289" spans="2:4" ht="18" customHeight="1">
      <c r="D289" s="1" t="s">
        <v>10946</v>
      </c>
    </row>
    <row r="290" spans="2:4" ht="18" customHeight="1">
      <c r="D290" s="1" t="s">
        <v>10949</v>
      </c>
    </row>
    <row r="292" spans="2:4" ht="18" customHeight="1">
      <c r="B292" s="556">
        <v>41998</v>
      </c>
      <c r="D292" s="1" t="s">
        <v>10950</v>
      </c>
    </row>
    <row r="293" spans="2:4" ht="18" customHeight="1">
      <c r="D293" s="1" t="s">
        <v>10951</v>
      </c>
    </row>
    <row r="295" spans="2:4" ht="18" customHeight="1">
      <c r="B295" s="556">
        <v>41999</v>
      </c>
      <c r="D295" s="1" t="s">
        <v>10965</v>
      </c>
    </row>
    <row r="297" spans="2:4" ht="18" customHeight="1">
      <c r="B297" s="556">
        <v>41999</v>
      </c>
      <c r="D297" s="1" t="s">
        <v>10970</v>
      </c>
    </row>
    <row r="299" spans="2:4" ht="18" customHeight="1">
      <c r="B299" s="556">
        <v>42001</v>
      </c>
      <c r="D299" s="1" t="s">
        <v>10976</v>
      </c>
    </row>
    <row r="301" spans="2:4" ht="18" customHeight="1">
      <c r="B301" s="556">
        <v>42002</v>
      </c>
      <c r="D301" s="1" t="s">
        <v>10977</v>
      </c>
    </row>
    <row r="303" spans="2:4" ht="18" customHeight="1">
      <c r="B303" s="556">
        <v>42009</v>
      </c>
      <c r="D303" s="1" t="s">
        <v>10978</v>
      </c>
    </row>
    <row r="304" spans="2:4" ht="18" customHeight="1">
      <c r="D304" s="1" t="s">
        <v>10980</v>
      </c>
    </row>
    <row r="305" spans="2:4" ht="18" customHeight="1">
      <c r="D305" s="1" t="s">
        <v>10981</v>
      </c>
    </row>
    <row r="306" spans="2:4" ht="18" customHeight="1">
      <c r="D306" s="1" t="s">
        <v>10982</v>
      </c>
    </row>
    <row r="307" spans="2:4" ht="18" customHeight="1">
      <c r="D307" s="1" t="s">
        <v>10983</v>
      </c>
    </row>
    <row r="308" spans="2:4" ht="18" customHeight="1">
      <c r="D308" s="1" t="s">
        <v>10986</v>
      </c>
    </row>
    <row r="309" spans="2:4" ht="18" customHeight="1">
      <c r="D309" s="1" t="s">
        <v>10984</v>
      </c>
    </row>
    <row r="310" spans="2:4" ht="18" customHeight="1">
      <c r="D310" s="1" t="s">
        <v>10985</v>
      </c>
    </row>
    <row r="311" spans="2:4" ht="18" customHeight="1">
      <c r="D311" s="1" t="s">
        <v>10988</v>
      </c>
    </row>
    <row r="312" spans="2:4" ht="18" customHeight="1">
      <c r="D312" s="1" t="s">
        <v>10987</v>
      </c>
    </row>
    <row r="314" spans="2:4" ht="18" customHeight="1">
      <c r="B314" s="556">
        <v>42010</v>
      </c>
      <c r="D314" s="1" t="s">
        <v>10989</v>
      </c>
    </row>
    <row r="315" spans="2:4" ht="18" customHeight="1">
      <c r="D315" s="1" t="s">
        <v>10990</v>
      </c>
    </row>
    <row r="316" spans="2:4" ht="18" customHeight="1">
      <c r="D316" s="1" t="s">
        <v>10991</v>
      </c>
    </row>
    <row r="317" spans="2:4" ht="18" customHeight="1">
      <c r="D317" s="1" t="s">
        <v>10992</v>
      </c>
    </row>
    <row r="318" spans="2:4" ht="18" customHeight="1">
      <c r="D318" s="1" t="s">
        <v>10993</v>
      </c>
    </row>
    <row r="319" spans="2:4" ht="18" customHeight="1">
      <c r="D319" s="1" t="s">
        <v>10994</v>
      </c>
    </row>
    <row r="320" spans="2:4" ht="18" customHeight="1">
      <c r="D320" s="1" t="s">
        <v>10995</v>
      </c>
    </row>
    <row r="321" spans="2:4" ht="18" customHeight="1">
      <c r="B321" s="556">
        <v>42010</v>
      </c>
      <c r="D321" s="1" t="s">
        <v>10997</v>
      </c>
    </row>
    <row r="322" spans="2:4" ht="18" customHeight="1">
      <c r="D322" s="1" t="s">
        <v>11014</v>
      </c>
    </row>
    <row r="323" spans="2:4" ht="18" customHeight="1">
      <c r="D323" s="1" t="s">
        <v>11013</v>
      </c>
    </row>
    <row r="324" spans="2:4" ht="18" customHeight="1">
      <c r="D324" s="1" t="s">
        <v>11012</v>
      </c>
    </row>
    <row r="325" spans="2:4" ht="18" customHeight="1">
      <c r="D325" s="1" t="s">
        <v>10996</v>
      </c>
    </row>
    <row r="326" spans="2:4" ht="18" customHeight="1">
      <c r="D326" s="1" t="s">
        <v>11010</v>
      </c>
    </row>
    <row r="327" spans="2:4" ht="18" customHeight="1">
      <c r="D327" s="1" t="s">
        <v>11011</v>
      </c>
    </row>
    <row r="329" spans="2:4" ht="18" customHeight="1">
      <c r="B329" s="556">
        <v>42011</v>
      </c>
      <c r="D329" s="1" t="s">
        <v>11018</v>
      </c>
    </row>
    <row r="330" spans="2:4" ht="18" customHeight="1">
      <c r="D330" s="1" t="s">
        <v>11019</v>
      </c>
    </row>
    <row r="331" spans="2:4" ht="18" customHeight="1">
      <c r="D331" s="1" t="s">
        <v>331</v>
      </c>
    </row>
    <row r="332" spans="2:4" ht="18" customHeight="1">
      <c r="D332" s="1" t="s">
        <v>11020</v>
      </c>
    </row>
    <row r="333" spans="2:4" ht="18" customHeight="1">
      <c r="D333" s="1" t="s">
        <v>11021</v>
      </c>
    </row>
    <row r="334" spans="2:4" ht="18" customHeight="1">
      <c r="D334" s="1" t="s">
        <v>11022</v>
      </c>
    </row>
    <row r="335" spans="2:4" ht="18" customHeight="1">
      <c r="D335" s="1" t="s">
        <v>11023</v>
      </c>
    </row>
    <row r="337" spans="2:4" ht="18" customHeight="1">
      <c r="B337" s="556">
        <v>42012</v>
      </c>
      <c r="D337" s="1" t="s">
        <v>11025</v>
      </c>
    </row>
    <row r="338" spans="2:4" ht="18" customHeight="1">
      <c r="D338" s="1" t="s">
        <v>11026</v>
      </c>
    </row>
    <row r="339" spans="2:4" ht="18" customHeight="1">
      <c r="D339" s="1" t="s">
        <v>318</v>
      </c>
    </row>
    <row r="340" spans="2:4" ht="18" customHeight="1">
      <c r="D340" s="1" t="s">
        <v>320</v>
      </c>
    </row>
    <row r="341" spans="2:4" ht="18" customHeight="1">
      <c r="D341" s="1" t="s">
        <v>330</v>
      </c>
    </row>
    <row r="342" spans="2:4" ht="18" customHeight="1">
      <c r="D342" s="1" t="s">
        <v>332</v>
      </c>
    </row>
    <row r="344" spans="2:4" ht="18" customHeight="1">
      <c r="B344" s="556">
        <v>42013</v>
      </c>
      <c r="D344" s="1" t="s">
        <v>335</v>
      </c>
    </row>
    <row r="345" spans="2:4" ht="18" customHeight="1">
      <c r="D345" s="322" t="s">
        <v>11015</v>
      </c>
    </row>
    <row r="346" spans="2:4" ht="18" customHeight="1">
      <c r="D346" s="1" t="s">
        <v>337</v>
      </c>
    </row>
    <row r="348" spans="2:4" ht="18" customHeight="1">
      <c r="B348" s="556">
        <v>42017</v>
      </c>
      <c r="D348" s="1" t="s">
        <v>342</v>
      </c>
    </row>
    <row r="349" spans="2:4" ht="18" customHeight="1">
      <c r="D349" s="1" t="s">
        <v>341</v>
      </c>
    </row>
    <row r="350" spans="2:4" ht="18" customHeight="1">
      <c r="D350" s="1" t="s">
        <v>343</v>
      </c>
    </row>
    <row r="352" spans="2:4" ht="18" customHeight="1">
      <c r="B352" s="556">
        <v>42017</v>
      </c>
      <c r="D352" s="1" t="s">
        <v>344</v>
      </c>
    </row>
    <row r="354" spans="2:4" ht="18" customHeight="1">
      <c r="B354" s="556">
        <v>42018</v>
      </c>
      <c r="D354" s="1" t="s">
        <v>364</v>
      </c>
    </row>
    <row r="356" spans="2:4" ht="18" customHeight="1">
      <c r="B356" s="556">
        <v>42020</v>
      </c>
      <c r="D356" s="1" t="s">
        <v>365</v>
      </c>
    </row>
    <row r="358" spans="2:4" ht="18" customHeight="1">
      <c r="B358" s="556">
        <v>42022</v>
      </c>
      <c r="D358" s="322" t="s">
        <v>11024</v>
      </c>
    </row>
    <row r="359" spans="2:4" ht="18" customHeight="1">
      <c r="D359" s="1" t="s">
        <v>366</v>
      </c>
    </row>
    <row r="360" spans="2:4" ht="18" customHeight="1">
      <c r="D360" s="1" t="s">
        <v>368</v>
      </c>
    </row>
    <row r="362" spans="2:4" ht="18" customHeight="1">
      <c r="B362" s="556">
        <v>42024</v>
      </c>
      <c r="D362" s="1" t="s">
        <v>367</v>
      </c>
    </row>
    <row r="363" spans="2:4" ht="18" customHeight="1">
      <c r="D363" s="1" t="s">
        <v>369</v>
      </c>
    </row>
    <row r="364" spans="2:4" ht="18" customHeight="1">
      <c r="D364" s="1" t="s">
        <v>370</v>
      </c>
    </row>
    <row r="365" spans="2:4" ht="18" customHeight="1">
      <c r="D365" s="1" t="s">
        <v>371</v>
      </c>
    </row>
    <row r="366" spans="2:4" ht="18" customHeight="1">
      <c r="D366" s="1" t="s">
        <v>375</v>
      </c>
    </row>
    <row r="367" spans="2:4" ht="18" customHeight="1">
      <c r="D367" s="1" t="s">
        <v>376</v>
      </c>
    </row>
    <row r="368" spans="2:4" ht="18" customHeight="1">
      <c r="D368" s="1" t="s">
        <v>372</v>
      </c>
    </row>
    <row r="370" spans="2:4" ht="18" customHeight="1">
      <c r="B370" s="556">
        <v>42025</v>
      </c>
      <c r="D370" s="1" t="s">
        <v>373</v>
      </c>
    </row>
    <row r="371" spans="2:4" ht="18" customHeight="1">
      <c r="D371" s="1" t="s">
        <v>374</v>
      </c>
    </row>
    <row r="373" spans="2:4" ht="18" customHeight="1">
      <c r="B373" s="556">
        <v>42026</v>
      </c>
      <c r="D373" s="1" t="s">
        <v>377</v>
      </c>
    </row>
    <row r="374" spans="2:4" ht="18" customHeight="1">
      <c r="D374" s="1" t="s">
        <v>378</v>
      </c>
    </row>
    <row r="375" spans="2:4" ht="18" customHeight="1">
      <c r="D375" s="1" t="s">
        <v>379</v>
      </c>
    </row>
    <row r="376" spans="2:4" ht="18" customHeight="1">
      <c r="D376" s="1" t="s">
        <v>380</v>
      </c>
    </row>
    <row r="377" spans="2:4" ht="18" customHeight="1">
      <c r="D377" s="1" t="s">
        <v>381</v>
      </c>
    </row>
    <row r="379" spans="2:4" ht="18" customHeight="1">
      <c r="B379" s="556">
        <v>42027</v>
      </c>
      <c r="D379" s="1" t="s">
        <v>384</v>
      </c>
    </row>
    <row r="381" spans="2:4" ht="18" customHeight="1">
      <c r="B381" s="556">
        <v>42028</v>
      </c>
      <c r="D381" s="1" t="s">
        <v>19</v>
      </c>
    </row>
    <row r="382" spans="2:4" ht="18" customHeight="1">
      <c r="D382" s="1" t="s">
        <v>20</v>
      </c>
    </row>
    <row r="384" spans="2:4" ht="18" customHeight="1">
      <c r="B384" s="556">
        <v>42030</v>
      </c>
      <c r="D384" s="1" t="s">
        <v>385</v>
      </c>
    </row>
    <row r="385" spans="2:4" ht="18" customHeight="1">
      <c r="D385" s="1" t="s">
        <v>386</v>
      </c>
    </row>
    <row r="387" spans="2:4" ht="18" customHeight="1">
      <c r="B387" s="556">
        <v>42032</v>
      </c>
      <c r="D387" s="1" t="s">
        <v>387</v>
      </c>
    </row>
    <row r="388" spans="2:4" ht="18" customHeight="1">
      <c r="D388" s="1" t="s">
        <v>388</v>
      </c>
    </row>
    <row r="389" spans="2:4" ht="18" customHeight="1">
      <c r="D389" s="1" t="s">
        <v>389</v>
      </c>
    </row>
    <row r="390" spans="2:4" ht="18" customHeight="1">
      <c r="D390" s="1" t="s">
        <v>391</v>
      </c>
    </row>
    <row r="391" spans="2:4" ht="18" customHeight="1">
      <c r="D391" s="1" t="s">
        <v>403</v>
      </c>
    </row>
    <row r="392" spans="2:4" ht="18" customHeight="1">
      <c r="D392" s="1" t="s">
        <v>404</v>
      </c>
    </row>
    <row r="393" spans="2:4" ht="18" customHeight="1">
      <c r="D393" s="1" t="s">
        <v>405</v>
      </c>
    </row>
    <row r="394" spans="2:4" ht="18" customHeight="1">
      <c r="D394" s="1" t="s">
        <v>406</v>
      </c>
    </row>
    <row r="395" spans="2:4" ht="18" customHeight="1">
      <c r="D395" s="1" t="s">
        <v>407</v>
      </c>
    </row>
    <row r="396" spans="2:4" ht="18" customHeight="1">
      <c r="D396" s="1" t="s">
        <v>408</v>
      </c>
    </row>
    <row r="397" spans="2:4" ht="18" customHeight="1">
      <c r="D397" s="1" t="s">
        <v>409</v>
      </c>
    </row>
    <row r="398" spans="2:4" ht="18" customHeight="1">
      <c r="D398" s="1" t="s">
        <v>410</v>
      </c>
    </row>
    <row r="400" spans="2:4" ht="18" customHeight="1">
      <c r="B400" s="556">
        <v>42033</v>
      </c>
      <c r="D400" s="1" t="s">
        <v>631</v>
      </c>
    </row>
    <row r="401" spans="2:4" ht="18" customHeight="1">
      <c r="D401" s="1" t="s">
        <v>0</v>
      </c>
    </row>
    <row r="402" spans="2:4" ht="18" customHeight="1">
      <c r="D402" s="1" t="s">
        <v>1</v>
      </c>
    </row>
    <row r="403" spans="2:4" ht="18" customHeight="1">
      <c r="D403" s="1" t="s">
        <v>5</v>
      </c>
    </row>
    <row r="404" spans="2:4" ht="18" customHeight="1">
      <c r="D404" s="1" t="s">
        <v>6</v>
      </c>
    </row>
    <row r="405" spans="2:4" ht="18" customHeight="1">
      <c r="D405" s="1" t="s">
        <v>7</v>
      </c>
    </row>
    <row r="406" spans="2:4" ht="18" customHeight="1">
      <c r="D406" s="1" t="s">
        <v>8</v>
      </c>
    </row>
    <row r="407" spans="2:4" ht="18" customHeight="1">
      <c r="D407" s="1" t="s">
        <v>9</v>
      </c>
    </row>
    <row r="409" spans="2:4" ht="18" customHeight="1">
      <c r="B409" s="556">
        <v>42039</v>
      </c>
      <c r="D409" s="322" t="s">
        <v>10</v>
      </c>
    </row>
    <row r="410" spans="2:4" ht="18" customHeight="1">
      <c r="D410" s="322" t="s">
        <v>11</v>
      </c>
    </row>
    <row r="411" spans="2:4" ht="18" customHeight="1">
      <c r="D411" s="322" t="s">
        <v>12</v>
      </c>
    </row>
    <row r="412" spans="2:4" ht="18" customHeight="1">
      <c r="D412" s="322" t="s">
        <v>13</v>
      </c>
    </row>
    <row r="413" spans="2:4" ht="18" customHeight="1">
      <c r="D413" s="1" t="s">
        <v>14</v>
      </c>
    </row>
    <row r="415" spans="2:4" ht="18" customHeight="1">
      <c r="B415" s="556">
        <v>42040</v>
      </c>
      <c r="D415" s="322" t="s">
        <v>15</v>
      </c>
    </row>
    <row r="416" spans="2:4" ht="18" customHeight="1">
      <c r="D416" s="322" t="s">
        <v>16</v>
      </c>
    </row>
    <row r="417" spans="2:4" ht="18" customHeight="1">
      <c r="D417" s="322" t="s">
        <v>17</v>
      </c>
    </row>
    <row r="418" spans="2:4" ht="18" customHeight="1">
      <c r="D418" s="322" t="s">
        <v>18</v>
      </c>
    </row>
    <row r="419" spans="2:4" ht="18" customHeight="1">
      <c r="D419" s="322"/>
    </row>
    <row r="420" spans="2:4" ht="18" customHeight="1">
      <c r="B420" s="556">
        <v>42041</v>
      </c>
      <c r="D420" s="322" t="s">
        <v>21</v>
      </c>
    </row>
    <row r="421" spans="2:4" ht="18" customHeight="1">
      <c r="D421" s="322" t="s">
        <v>22</v>
      </c>
    </row>
    <row r="422" spans="2:4" ht="18" customHeight="1">
      <c r="D422" s="322" t="s">
        <v>23</v>
      </c>
    </row>
    <row r="423" spans="2:4" ht="18" customHeight="1">
      <c r="D423" s="322"/>
    </row>
    <row r="424" spans="2:4" ht="18" customHeight="1">
      <c r="B424" s="556">
        <v>42046</v>
      </c>
      <c r="D424" s="322" t="s">
        <v>24</v>
      </c>
    </row>
    <row r="426" spans="2:4" ht="18" customHeight="1">
      <c r="B426" s="556">
        <v>42048</v>
      </c>
      <c r="D426" s="1" t="s">
        <v>25</v>
      </c>
    </row>
    <row r="427" spans="2:4" ht="18" customHeight="1">
      <c r="D427" s="1" t="s">
        <v>28</v>
      </c>
    </row>
    <row r="428" spans="2:4" ht="18" customHeight="1">
      <c r="D428" s="1" t="s">
        <v>29</v>
      </c>
    </row>
    <row r="429" spans="2:4" ht="18" customHeight="1">
      <c r="D429" s="1" t="s">
        <v>30</v>
      </c>
    </row>
    <row r="430" spans="2:4" ht="18" customHeight="1">
      <c r="D430" s="1" t="s">
        <v>31</v>
      </c>
    </row>
    <row r="431" spans="2:4" ht="18" customHeight="1">
      <c r="D431" s="1" t="s">
        <v>32</v>
      </c>
    </row>
    <row r="432" spans="2:4" ht="18" customHeight="1">
      <c r="D432" s="1" t="s">
        <v>33</v>
      </c>
    </row>
    <row r="433" spans="2:4" ht="18" customHeight="1">
      <c r="D433" s="1" t="s">
        <v>34</v>
      </c>
    </row>
    <row r="435" spans="2:4" ht="18" customHeight="1">
      <c r="B435" s="556">
        <v>42052</v>
      </c>
      <c r="D435" s="1" t="s">
        <v>35</v>
      </c>
    </row>
    <row r="436" spans="2:4" ht="18" customHeight="1">
      <c r="D436" s="1" t="s">
        <v>36</v>
      </c>
    </row>
    <row r="437" spans="2:4" ht="18" customHeight="1">
      <c r="D437" s="1" t="s">
        <v>37</v>
      </c>
    </row>
    <row r="438" spans="2:4" ht="18" customHeight="1">
      <c r="D438" s="1" t="s">
        <v>40</v>
      </c>
    </row>
    <row r="439" spans="2:4" ht="18" customHeight="1">
      <c r="D439" s="322"/>
    </row>
    <row r="440" spans="2:4" ht="18" customHeight="1">
      <c r="B440" s="556">
        <v>42055</v>
      </c>
      <c r="D440" s="322" t="s">
        <v>41</v>
      </c>
    </row>
    <row r="441" spans="2:4" ht="18" customHeight="1">
      <c r="D441" s="322" t="s">
        <v>45</v>
      </c>
    </row>
    <row r="442" spans="2:4" ht="18" customHeight="1">
      <c r="D442" s="322" t="s">
        <v>42</v>
      </c>
    </row>
    <row r="443" spans="2:4" ht="18" customHeight="1">
      <c r="D443" s="322" t="s">
        <v>43</v>
      </c>
    </row>
    <row r="444" spans="2:4" ht="18" customHeight="1">
      <c r="D444" s="322" t="s">
        <v>44</v>
      </c>
    </row>
    <row r="445" spans="2:4" ht="18" customHeight="1">
      <c r="D445" s="322"/>
    </row>
    <row r="446" spans="2:4" ht="18" customHeight="1">
      <c r="B446" s="556">
        <v>42059</v>
      </c>
      <c r="D446" s="322" t="s">
        <v>41</v>
      </c>
    </row>
    <row r="447" spans="2:4" ht="18" customHeight="1">
      <c r="D447" s="322" t="s">
        <v>46</v>
      </c>
    </row>
    <row r="448" spans="2:4" ht="18" customHeight="1">
      <c r="D448" s="322" t="s">
        <v>47</v>
      </c>
    </row>
    <row r="449" spans="2:4" ht="18" customHeight="1">
      <c r="D449" s="322" t="s">
        <v>48</v>
      </c>
    </row>
    <row r="450" spans="2:4" ht="18" customHeight="1">
      <c r="D450" s="322"/>
    </row>
    <row r="451" spans="2:4" ht="18" customHeight="1">
      <c r="B451" s="556">
        <v>42063</v>
      </c>
      <c r="D451" s="322" t="s">
        <v>49</v>
      </c>
    </row>
    <row r="452" spans="2:4" ht="18" customHeight="1">
      <c r="D452" s="322"/>
    </row>
    <row r="453" spans="2:4" ht="18" customHeight="1">
      <c r="B453" s="556">
        <v>42067</v>
      </c>
      <c r="D453" s="322" t="s">
        <v>53</v>
      </c>
    </row>
    <row r="454" spans="2:4" ht="18" customHeight="1">
      <c r="D454" s="322" t="s">
        <v>50</v>
      </c>
    </row>
    <row r="455" spans="2:4" ht="18" customHeight="1">
      <c r="D455" s="322" t="s">
        <v>51</v>
      </c>
    </row>
    <row r="456" spans="2:4" ht="18" customHeight="1">
      <c r="D456" s="322" t="s">
        <v>52</v>
      </c>
    </row>
    <row r="457" spans="2:4" ht="18" customHeight="1">
      <c r="D457" s="322" t="s">
        <v>58</v>
      </c>
    </row>
    <row r="458" spans="2:4" ht="18" customHeight="1">
      <c r="D458" s="322" t="s">
        <v>59</v>
      </c>
    </row>
    <row r="459" spans="2:4" ht="18" customHeight="1">
      <c r="D459" s="322"/>
    </row>
    <row r="460" spans="2:4" ht="18" customHeight="1">
      <c r="B460" s="556">
        <v>42069</v>
      </c>
      <c r="D460" s="322" t="s">
        <v>60</v>
      </c>
    </row>
    <row r="461" spans="2:4" ht="18" customHeight="1">
      <c r="D461" s="322"/>
    </row>
    <row r="462" spans="2:4" ht="18" customHeight="1">
      <c r="B462" s="556">
        <v>42075</v>
      </c>
      <c r="D462" s="322" t="s">
        <v>61</v>
      </c>
    </row>
    <row r="463" spans="2:4" ht="18" customHeight="1">
      <c r="D463" s="322" t="s">
        <v>62</v>
      </c>
    </row>
    <row r="464" spans="2:4" ht="18" customHeight="1">
      <c r="D464" s="322"/>
    </row>
    <row r="465" spans="2:4" ht="18" customHeight="1">
      <c r="B465" s="556">
        <v>42079</v>
      </c>
      <c r="C465" s="563"/>
      <c r="D465" s="1" t="s">
        <v>65</v>
      </c>
    </row>
    <row r="466" spans="2:4" ht="18" customHeight="1">
      <c r="C466" s="563"/>
    </row>
    <row r="467" spans="2:4" ht="18" customHeight="1">
      <c r="B467" s="556">
        <v>42082</v>
      </c>
      <c r="C467" s="563"/>
      <c r="D467" s="1" t="s">
        <v>66</v>
      </c>
    </row>
    <row r="468" spans="2:4" ht="18" customHeight="1">
      <c r="C468" s="563"/>
    </row>
    <row r="469" spans="2:4" ht="18" customHeight="1">
      <c r="C469" s="563"/>
    </row>
    <row r="470" spans="2:4" ht="18" customHeight="1">
      <c r="D470" s="4" t="s">
        <v>333</v>
      </c>
    </row>
    <row r="471" spans="2:4" ht="18" customHeight="1">
      <c r="D471" s="1" t="s">
        <v>390</v>
      </c>
    </row>
    <row r="472" spans="2:4" ht="18" customHeight="1">
      <c r="D472" s="1" t="s">
        <v>39</v>
      </c>
    </row>
    <row r="473" spans="2:4" ht="18" customHeight="1">
      <c r="D473" s="1" t="s">
        <v>38</v>
      </c>
    </row>
    <row r="474" spans="2:4" ht="18" customHeight="1">
      <c r="C474" s="563"/>
    </row>
    <row r="475" spans="2:4" ht="18" customHeight="1">
      <c r="C475" s="563"/>
    </row>
    <row r="476" spans="2:4" ht="18" customHeight="1">
      <c r="B476" s="556">
        <v>42094</v>
      </c>
      <c r="D476" s="1" t="s">
        <v>68</v>
      </c>
    </row>
    <row r="478" spans="2:4" ht="18" customHeight="1">
      <c r="B478" s="556">
        <v>42100</v>
      </c>
      <c r="D478" s="1" t="s">
        <v>70</v>
      </c>
    </row>
    <row r="480" spans="2:4" ht="18" customHeight="1">
      <c r="B480" s="556">
        <v>42110</v>
      </c>
      <c r="D480" s="1" t="s">
        <v>71</v>
      </c>
    </row>
    <row r="481" spans="2:4" ht="18" customHeight="1">
      <c r="D481" s="1" t="s">
        <v>72</v>
      </c>
    </row>
    <row r="483" spans="2:4" ht="18" customHeight="1">
      <c r="B483" s="556">
        <v>42119</v>
      </c>
      <c r="D483" s="1" t="s">
        <v>11060</v>
      </c>
    </row>
    <row r="484" spans="2:4" ht="18" customHeight="1">
      <c r="D484" s="1" t="s">
        <v>11061</v>
      </c>
    </row>
    <row r="486" spans="2:4" ht="18" customHeight="1">
      <c r="B486" s="556">
        <v>42122</v>
      </c>
      <c r="D486" s="1" t="s">
        <v>11065</v>
      </c>
    </row>
    <row r="487" spans="2:4" ht="18" customHeight="1">
      <c r="D487" s="1" t="s">
        <v>11066</v>
      </c>
    </row>
    <row r="488" spans="2:4" ht="18" customHeight="1">
      <c r="D488" s="1" t="s">
        <v>11073</v>
      </c>
    </row>
    <row r="489" spans="2:4" ht="18" customHeight="1">
      <c r="D489" s="1" t="s">
        <v>11075</v>
      </c>
    </row>
    <row r="492" spans="2:4" ht="18" customHeight="1">
      <c r="D492" s="1" t="s">
        <v>11076</v>
      </c>
    </row>
    <row r="493" spans="2:4" ht="18" customHeight="1">
      <c r="D493" s="1" t="s">
        <v>11080</v>
      </c>
    </row>
    <row r="494" spans="2:4" ht="18" customHeight="1">
      <c r="D494" s="1" t="s">
        <v>11081</v>
      </c>
    </row>
    <row r="495" spans="2:4" ht="18" customHeight="1">
      <c r="D495" s="1" t="s">
        <v>11082</v>
      </c>
    </row>
    <row r="496" spans="2:4" ht="18" customHeight="1">
      <c r="D496" s="1" t="s">
        <v>11083</v>
      </c>
    </row>
    <row r="497" spans="2:4" ht="18" customHeight="1">
      <c r="D497" s="1" t="s">
        <v>11077</v>
      </c>
    </row>
    <row r="498" spans="2:4" ht="18" customHeight="1">
      <c r="D498" s="1" t="s">
        <v>11084</v>
      </c>
    </row>
    <row r="499" spans="2:4" ht="18" customHeight="1">
      <c r="D499" s="1" t="s">
        <v>11078</v>
      </c>
    </row>
    <row r="500" spans="2:4" ht="18" customHeight="1">
      <c r="D500" s="1" t="s">
        <v>11079</v>
      </c>
    </row>
    <row r="501" spans="2:4" ht="18" customHeight="1">
      <c r="D501" s="1" t="s">
        <v>11089</v>
      </c>
    </row>
    <row r="502" spans="2:4" ht="18" customHeight="1">
      <c r="D502" s="1" t="s">
        <v>11090</v>
      </c>
    </row>
    <row r="504" spans="2:4" ht="18" customHeight="1">
      <c r="B504" s="556">
        <v>42125</v>
      </c>
      <c r="D504" s="1" t="s">
        <v>11076</v>
      </c>
    </row>
    <row r="505" spans="2:4" ht="18" customHeight="1">
      <c r="D505" s="1" t="s">
        <v>11091</v>
      </c>
    </row>
    <row r="506" spans="2:4" ht="18" customHeight="1">
      <c r="D506" s="1" t="s">
        <v>11085</v>
      </c>
    </row>
    <row r="508" spans="2:4" ht="18" customHeight="1">
      <c r="B508" s="556">
        <v>42131</v>
      </c>
      <c r="D508" s="1" t="s">
        <v>11092</v>
      </c>
    </row>
    <row r="510" spans="2:4" ht="18" customHeight="1">
      <c r="B510" s="556">
        <v>42135</v>
      </c>
      <c r="D510" s="1" t="s">
        <v>11093</v>
      </c>
    </row>
    <row r="511" spans="2:4" ht="18" customHeight="1">
      <c r="D511" t="s">
        <v>35</v>
      </c>
    </row>
    <row r="512" spans="2:4" ht="18" customHeight="1">
      <c r="D512" t="s">
        <v>11094</v>
      </c>
    </row>
    <row r="513" spans="2:4" ht="18" customHeight="1">
      <c r="D513"/>
    </row>
    <row r="514" spans="2:4" ht="18" customHeight="1">
      <c r="B514" s="556">
        <v>42135</v>
      </c>
      <c r="D514" s="1" t="s">
        <v>11099</v>
      </c>
    </row>
    <row r="516" spans="2:4" ht="18" customHeight="1">
      <c r="B516" s="556">
        <v>42136</v>
      </c>
      <c r="D516" s="1" t="s">
        <v>11101</v>
      </c>
    </row>
    <row r="518" spans="2:4" ht="18" customHeight="1">
      <c r="B518" s="556">
        <v>42143</v>
      </c>
      <c r="D518" s="1" t="s">
        <v>11102</v>
      </c>
    </row>
    <row r="519" spans="2:4" ht="18" customHeight="1">
      <c r="B519" s="556">
        <v>42143</v>
      </c>
      <c r="D519" s="1" t="s">
        <v>11114</v>
      </c>
    </row>
    <row r="521" spans="2:4" ht="18" customHeight="1">
      <c r="B521" s="556">
        <v>42144</v>
      </c>
      <c r="D521" s="1" t="s">
        <v>11115</v>
      </c>
    </row>
    <row r="523" spans="2:4" ht="18" customHeight="1">
      <c r="B523" s="556">
        <v>42145</v>
      </c>
      <c r="D523" s="1" t="s">
        <v>11120</v>
      </c>
    </row>
    <row r="525" spans="2:4" ht="18" customHeight="1">
      <c r="B525" s="556">
        <v>42151</v>
      </c>
      <c r="D525" s="1" t="s">
        <v>11128</v>
      </c>
    </row>
    <row r="526" spans="2:4" ht="18" customHeight="1">
      <c r="D526" s="2" t="s">
        <v>11138</v>
      </c>
    </row>
    <row r="527" spans="2:4" ht="18" customHeight="1">
      <c r="D527" s="2" t="s">
        <v>11139</v>
      </c>
    </row>
    <row r="528" spans="2:4" ht="18" customHeight="1">
      <c r="D528" s="2" t="s">
        <v>11140</v>
      </c>
    </row>
    <row r="530" spans="2:4" ht="18" customHeight="1">
      <c r="B530" s="556">
        <v>42152</v>
      </c>
      <c r="D530" s="1" t="s">
        <v>11141</v>
      </c>
    </row>
    <row r="531" spans="2:4" ht="18" customHeight="1">
      <c r="D531" s="1" t="s">
        <v>11142</v>
      </c>
    </row>
    <row r="532" spans="2:4" ht="18" customHeight="1">
      <c r="B532" s="556">
        <v>42153</v>
      </c>
      <c r="D532" s="1" t="s">
        <v>11147</v>
      </c>
    </row>
    <row r="533" spans="2:4" ht="18" customHeight="1">
      <c r="D533" s="1" t="s">
        <v>11148</v>
      </c>
    </row>
    <row r="534" spans="2:4" ht="18" customHeight="1">
      <c r="D534" s="1" t="s">
        <v>11150</v>
      </c>
    </row>
    <row r="536" spans="2:4" ht="18" customHeight="1">
      <c r="B536" s="556">
        <v>42153</v>
      </c>
      <c r="D536" s="1" t="s">
        <v>11151</v>
      </c>
    </row>
    <row r="538" spans="2:4" ht="18" customHeight="1">
      <c r="B538" s="556">
        <v>42156</v>
      </c>
      <c r="D538" s="1" t="s">
        <v>11158</v>
      </c>
    </row>
    <row r="540" spans="2:4" ht="18" customHeight="1">
      <c r="B540" s="556">
        <v>42157</v>
      </c>
      <c r="D540" s="1" t="s">
        <v>11162</v>
      </c>
    </row>
    <row r="541" spans="2:4" ht="18" customHeight="1">
      <c r="D541" s="1" t="s">
        <v>11163</v>
      </c>
    </row>
    <row r="543" spans="2:4" ht="18" customHeight="1">
      <c r="B543" s="556">
        <v>42158</v>
      </c>
      <c r="D543" s="1" t="s">
        <v>11164</v>
      </c>
    </row>
    <row r="545" spans="2:4" ht="18" customHeight="1">
      <c r="B545" s="556">
        <v>42165</v>
      </c>
      <c r="D545" s="1" t="s">
        <v>11165</v>
      </c>
    </row>
    <row r="546" spans="2:4" ht="18" customHeight="1">
      <c r="B546" s="556">
        <v>42173</v>
      </c>
      <c r="D546" s="1" t="s">
        <v>11166</v>
      </c>
    </row>
    <row r="548" spans="2:4" ht="18" customHeight="1">
      <c r="B548" s="556">
        <v>42174</v>
      </c>
      <c r="D548" s="1" t="s">
        <v>11167</v>
      </c>
    </row>
    <row r="550" spans="2:4" ht="18" customHeight="1">
      <c r="B550" s="556">
        <v>42177</v>
      </c>
      <c r="D550" s="1" t="s">
        <v>11177</v>
      </c>
    </row>
    <row r="552" spans="2:4" ht="18" customHeight="1">
      <c r="B552" s="556">
        <v>42182</v>
      </c>
      <c r="D552" s="1" t="s">
        <v>11181</v>
      </c>
    </row>
    <row r="554" spans="2:4" ht="18" customHeight="1">
      <c r="B554" s="556">
        <v>42184</v>
      </c>
      <c r="D554" s="1" t="s">
        <v>11182</v>
      </c>
    </row>
    <row r="555" spans="2:4" ht="18" customHeight="1">
      <c r="D555" s="1" t="s">
        <v>11183</v>
      </c>
    </row>
    <row r="557" spans="2:4" ht="18" customHeight="1">
      <c r="B557" s="556">
        <v>42192</v>
      </c>
      <c r="D557" s="1" t="s">
        <v>11184</v>
      </c>
    </row>
    <row r="559" spans="2:4" ht="18" customHeight="1">
      <c r="B559" s="556">
        <v>42194</v>
      </c>
      <c r="D559" s="1" t="s">
        <v>11188</v>
      </c>
    </row>
    <row r="561" spans="2:4" ht="18" customHeight="1">
      <c r="B561" s="556">
        <v>42195</v>
      </c>
      <c r="D561" s="1" t="s">
        <v>11193</v>
      </c>
    </row>
    <row r="563" spans="2:4" ht="18" customHeight="1">
      <c r="B563" s="556">
        <v>42213</v>
      </c>
      <c r="D563" s="1" t="s">
        <v>11197</v>
      </c>
    </row>
    <row r="565" spans="2:4" ht="18" customHeight="1">
      <c r="B565" s="556">
        <v>42255</v>
      </c>
      <c r="D565" s="1" t="s">
        <v>11198</v>
      </c>
    </row>
    <row r="566" spans="2:4" ht="18" customHeight="1">
      <c r="D566" s="1" t="s">
        <v>11199</v>
      </c>
    </row>
    <row r="568" spans="2:4" ht="18" customHeight="1">
      <c r="B568" s="556">
        <v>42256</v>
      </c>
      <c r="D568" s="1" t="s">
        <v>11200</v>
      </c>
    </row>
    <row r="570" spans="2:4" ht="18" customHeight="1">
      <c r="B570" s="556">
        <v>42264</v>
      </c>
      <c r="D570" s="1" t="s">
        <v>11209</v>
      </c>
    </row>
    <row r="572" spans="2:4" ht="18" customHeight="1">
      <c r="B572" s="556">
        <v>42265</v>
      </c>
      <c r="D572" s="1" t="s">
        <v>11210</v>
      </c>
    </row>
    <row r="573" spans="2:4" ht="18" customHeight="1">
      <c r="D573" s="523" t="s">
        <v>11211</v>
      </c>
    </row>
    <row r="574" spans="2:4" ht="18" customHeight="1">
      <c r="D574" s="523" t="s">
        <v>11212</v>
      </c>
    </row>
    <row r="575" spans="2:4" ht="18" customHeight="1">
      <c r="B575" s="556">
        <v>42275</v>
      </c>
      <c r="D575" s="1" t="s">
        <v>11214</v>
      </c>
    </row>
    <row r="577" spans="2:4" ht="18" customHeight="1">
      <c r="B577" s="556">
        <v>42320</v>
      </c>
      <c r="D577" s="1" t="s">
        <v>11215</v>
      </c>
    </row>
    <row r="579" spans="2:4" ht="18" customHeight="1">
      <c r="B579" s="556">
        <v>42324</v>
      </c>
      <c r="D579" s="1" t="s">
        <v>11217</v>
      </c>
    </row>
    <row r="580" spans="2:4" ht="18" customHeight="1">
      <c r="D580" s="1" t="s">
        <v>11216</v>
      </c>
    </row>
    <row r="582" spans="2:4" ht="18" customHeight="1">
      <c r="B582" s="556">
        <v>42348</v>
      </c>
      <c r="D582" s="1" t="s">
        <v>11218</v>
      </c>
    </row>
    <row r="583" spans="2:4" ht="18" customHeight="1">
      <c r="B583" s="556">
        <v>42355</v>
      </c>
      <c r="D583" s="1" t="s">
        <v>11220</v>
      </c>
    </row>
    <row r="584" spans="2:4" ht="18" customHeight="1">
      <c r="B584" s="556">
        <v>42375</v>
      </c>
      <c r="D584" s="1" t="s">
        <v>11221</v>
      </c>
    </row>
    <row r="585" spans="2:4" ht="18" customHeight="1">
      <c r="D585" s="1" t="s">
        <v>11222</v>
      </c>
    </row>
    <row r="586" spans="2:4" ht="18" customHeight="1">
      <c r="B586" s="556">
        <v>42394</v>
      </c>
      <c r="D586" s="1" t="s">
        <v>11223</v>
      </c>
    </row>
    <row r="587" spans="2:4" ht="18" customHeight="1">
      <c r="B587" s="556">
        <v>42404</v>
      </c>
      <c r="D587" s="1" t="s">
        <v>11225</v>
      </c>
    </row>
    <row r="588" spans="2:4" ht="18" customHeight="1">
      <c r="B588" s="556">
        <v>42416</v>
      </c>
      <c r="D588" s="1" t="s">
        <v>11227</v>
      </c>
    </row>
    <row r="589" spans="2:4" ht="18" customHeight="1">
      <c r="D589" s="1" t="s">
        <v>11228</v>
      </c>
    </row>
    <row r="590" spans="2:4" ht="18" customHeight="1">
      <c r="B590" s="556">
        <v>42475</v>
      </c>
      <c r="D590" s="3" t="s">
        <v>11262</v>
      </c>
    </row>
    <row r="591" spans="2:4" ht="18" customHeight="1">
      <c r="D591" s="1" t="s">
        <v>11261</v>
      </c>
    </row>
    <row r="592" spans="2:4" ht="18" customHeight="1">
      <c r="B592" s="556">
        <v>42487</v>
      </c>
      <c r="D592" s="1" t="s">
        <v>11265</v>
      </c>
    </row>
    <row r="593" spans="2:4" ht="18" customHeight="1">
      <c r="B593" s="556">
        <v>42516</v>
      </c>
      <c r="D593" s="1" t="s">
        <v>11266</v>
      </c>
    </row>
    <row r="594" spans="2:4" ht="18" customHeight="1">
      <c r="D594" s="1" t="s">
        <v>11268</v>
      </c>
    </row>
    <row r="596" spans="2:4" ht="18" customHeight="1">
      <c r="B596" s="556">
        <v>42542</v>
      </c>
      <c r="D596" s="1" t="s">
        <v>11289</v>
      </c>
    </row>
    <row r="597" spans="2:4" ht="18" customHeight="1">
      <c r="B597" s="556">
        <v>42544</v>
      </c>
      <c r="D597" s="1" t="s">
        <v>11290</v>
      </c>
    </row>
    <row r="599" spans="2:4" ht="18" customHeight="1">
      <c r="B599" s="556">
        <v>42549</v>
      </c>
      <c r="D599" s="1" t="s">
        <v>11343</v>
      </c>
    </row>
    <row r="601" spans="2:4" ht="18" customHeight="1">
      <c r="B601" s="556">
        <v>42549</v>
      </c>
      <c r="D601" s="1" t="s">
        <v>11346</v>
      </c>
    </row>
    <row r="603" spans="2:4" ht="18" customHeight="1">
      <c r="B603" s="556">
        <v>42551</v>
      </c>
      <c r="D603" s="1" t="s">
        <v>11349</v>
      </c>
    </row>
    <row r="605" spans="2:4" ht="18" customHeight="1">
      <c r="B605" s="556">
        <v>42552</v>
      </c>
      <c r="D605" s="1" t="s">
        <v>11350</v>
      </c>
    </row>
    <row r="607" spans="2:4" ht="18" customHeight="1">
      <c r="B607" s="556">
        <v>42555</v>
      </c>
      <c r="D607" s="1" t="s">
        <v>11351</v>
      </c>
    </row>
    <row r="609" spans="2:4" ht="18" customHeight="1">
      <c r="B609" s="556">
        <v>42557</v>
      </c>
      <c r="D609" s="1" t="s">
        <v>11353</v>
      </c>
    </row>
    <row r="610" spans="2:4" ht="18" customHeight="1">
      <c r="D610" s="1" t="s">
        <v>11355</v>
      </c>
    </row>
    <row r="612" spans="2:4" ht="18" customHeight="1">
      <c r="B612" s="556">
        <v>42571</v>
      </c>
      <c r="D612" s="1" t="s">
        <v>11358</v>
      </c>
    </row>
    <row r="614" spans="2:4" ht="18" customHeight="1">
      <c r="B614" s="556">
        <v>42599</v>
      </c>
      <c r="D614" s="1" t="s">
        <v>11360</v>
      </c>
    </row>
    <row r="615" spans="2:4" ht="18" customHeight="1">
      <c r="D615" s="1" t="s">
        <v>11361</v>
      </c>
    </row>
    <row r="617" spans="2:4" ht="18" customHeight="1">
      <c r="B617" s="556">
        <v>42600</v>
      </c>
      <c r="D617" s="1" t="s">
        <v>11363</v>
      </c>
    </row>
    <row r="619" spans="2:4" ht="18" customHeight="1">
      <c r="B619" s="556">
        <v>42600</v>
      </c>
      <c r="D619" s="1" t="s">
        <v>11364</v>
      </c>
    </row>
    <row r="621" spans="2:4" ht="18" customHeight="1">
      <c r="B621" s="556">
        <v>42618</v>
      </c>
      <c r="D621" s="1" t="s">
        <v>11367</v>
      </c>
    </row>
    <row r="623" spans="2:4" ht="18" customHeight="1">
      <c r="B623" s="556">
        <v>42654</v>
      </c>
      <c r="D623" s="1" t="s">
        <v>11368</v>
      </c>
    </row>
    <row r="625" spans="2:4" ht="18" customHeight="1">
      <c r="B625" s="556">
        <v>42692</v>
      </c>
      <c r="D625" s="1" t="s">
        <v>11369</v>
      </c>
    </row>
    <row r="627" spans="2:4" ht="18" customHeight="1">
      <c r="B627" s="556">
        <v>42762</v>
      </c>
      <c r="D627" s="1" t="s">
        <v>11374</v>
      </c>
    </row>
    <row r="629" spans="2:4" ht="18" customHeight="1">
      <c r="B629" s="556">
        <v>42763</v>
      </c>
      <c r="D629" s="1" t="s">
        <v>11376</v>
      </c>
    </row>
    <row r="631" spans="2:4" ht="18" customHeight="1">
      <c r="B631" s="556">
        <v>42764</v>
      </c>
      <c r="D631" s="1" t="s">
        <v>11377</v>
      </c>
    </row>
    <row r="632" spans="2:4" ht="18" customHeight="1">
      <c r="D632" s="1" t="s">
        <v>11378</v>
      </c>
    </row>
    <row r="633" spans="2:4" ht="18" customHeight="1">
      <c r="D633" s="1" t="s">
        <v>11379</v>
      </c>
    </row>
    <row r="634" spans="2:4" ht="18" customHeight="1">
      <c r="D634" s="1" t="s">
        <v>11380</v>
      </c>
    </row>
    <row r="635" spans="2:4" ht="18" customHeight="1">
      <c r="D635" s="1" t="s">
        <v>11381</v>
      </c>
    </row>
    <row r="636" spans="2:4" ht="18" customHeight="1">
      <c r="D636" s="1" t="s">
        <v>11383</v>
      </c>
    </row>
    <row r="637" spans="2:4" ht="18" customHeight="1">
      <c r="D637" s="1" t="s">
        <v>11384</v>
      </c>
    </row>
    <row r="638" spans="2:4" ht="18" customHeight="1">
      <c r="D638" s="1" t="s">
        <v>11386</v>
      </c>
    </row>
    <row r="640" spans="2:4" ht="18" customHeight="1">
      <c r="B640" s="556">
        <v>42795</v>
      </c>
      <c r="D640" s="1" t="s">
        <v>11388</v>
      </c>
    </row>
    <row r="642" spans="2:4" ht="18" customHeight="1">
      <c r="B642" s="556">
        <v>42797</v>
      </c>
      <c r="D642" s="1" t="s">
        <v>11390</v>
      </c>
    </row>
    <row r="644" spans="2:4" ht="18" customHeight="1">
      <c r="B644" s="556">
        <v>42816</v>
      </c>
      <c r="C644" s="563"/>
      <c r="D644" s="1" t="s">
        <v>11394</v>
      </c>
    </row>
    <row r="646" spans="2:4" ht="18" customHeight="1">
      <c r="B646" s="556">
        <v>42837</v>
      </c>
      <c r="D646" s="1" t="s">
        <v>11397</v>
      </c>
    </row>
    <row r="648" spans="2:4" ht="18" customHeight="1">
      <c r="B648" s="556">
        <v>42845</v>
      </c>
      <c r="D648" s="1" t="s">
        <v>11399</v>
      </c>
    </row>
    <row r="650" spans="2:4" ht="18" customHeight="1">
      <c r="B650" s="556">
        <v>42867</v>
      </c>
      <c r="D650" s="1" t="s">
        <v>11401</v>
      </c>
    </row>
    <row r="651" spans="2:4" ht="18" customHeight="1">
      <c r="B651" s="556">
        <v>42896</v>
      </c>
      <c r="D651" s="1" t="s">
        <v>11403</v>
      </c>
    </row>
    <row r="652" spans="2:4" ht="18" customHeight="1">
      <c r="B652" s="556">
        <v>42906</v>
      </c>
      <c r="D652" s="1" t="s">
        <v>11404</v>
      </c>
    </row>
    <row r="653" spans="2:4" ht="18" customHeight="1">
      <c r="B653" s="556">
        <v>42912</v>
      </c>
      <c r="D653" s="1" t="s">
        <v>11406</v>
      </c>
    </row>
    <row r="655" spans="2:4" ht="18" customHeight="1">
      <c r="B655" s="556">
        <v>42912</v>
      </c>
      <c r="D655" s="1" t="s">
        <v>11410</v>
      </c>
    </row>
    <row r="656" spans="2:4" ht="18" customHeight="1">
      <c r="B656" s="556">
        <v>42914</v>
      </c>
      <c r="D656" s="1" t="s">
        <v>11411</v>
      </c>
    </row>
    <row r="657" spans="2:4" ht="18" customHeight="1">
      <c r="B657" s="556">
        <v>42916</v>
      </c>
      <c r="D657" s="1" t="s">
        <v>11413</v>
      </c>
    </row>
    <row r="658" spans="2:4" ht="18" customHeight="1">
      <c r="B658" s="556">
        <v>42927</v>
      </c>
      <c r="D658" s="1" t="s">
        <v>11415</v>
      </c>
    </row>
    <row r="659" spans="2:4" ht="18" customHeight="1">
      <c r="B659" s="556">
        <v>42928</v>
      </c>
      <c r="D659" s="1" t="s">
        <v>11416</v>
      </c>
    </row>
    <row r="661" spans="2:4" ht="18" customHeight="1">
      <c r="B661" s="556">
        <v>43000</v>
      </c>
      <c r="D661" s="1" t="s">
        <v>11417</v>
      </c>
    </row>
    <row r="662" spans="2:4" ht="18" customHeight="1">
      <c r="D662" s="1" t="s">
        <v>11425</v>
      </c>
    </row>
    <row r="663" spans="2:4" ht="18" customHeight="1">
      <c r="B663" s="556">
        <v>43020</v>
      </c>
      <c r="D663" s="1" t="s">
        <v>11427</v>
      </c>
    </row>
    <row r="664" spans="2:4" ht="18" customHeight="1">
      <c r="B664" s="556">
        <v>43026</v>
      </c>
      <c r="D664" s="1" t="s">
        <v>11429</v>
      </c>
    </row>
    <row r="666" spans="2:4" ht="18" customHeight="1">
      <c r="B666" s="556">
        <v>43033</v>
      </c>
      <c r="D666" s="1" t="s">
        <v>11433</v>
      </c>
    </row>
    <row r="668" spans="2:4" ht="18" customHeight="1">
      <c r="B668" s="556">
        <v>43047</v>
      </c>
      <c r="D668" s="1" t="s">
        <v>11435</v>
      </c>
    </row>
    <row r="670" spans="2:4" ht="18" customHeight="1">
      <c r="B670" s="556">
        <v>43063</v>
      </c>
      <c r="D670" s="1" t="s">
        <v>11436</v>
      </c>
    </row>
    <row r="672" spans="2:4" ht="18" customHeight="1">
      <c r="B672" s="556">
        <v>43074</v>
      </c>
      <c r="D672" s="1" t="s">
        <v>11446</v>
      </c>
    </row>
    <row r="674" spans="2:4" ht="18" customHeight="1">
      <c r="B674" s="556">
        <v>43123</v>
      </c>
      <c r="D674" s="1" t="s">
        <v>11447</v>
      </c>
    </row>
    <row r="676" spans="2:4" ht="18" customHeight="1">
      <c r="B676" s="556">
        <v>43139</v>
      </c>
      <c r="D676" s="1" t="s">
        <v>11448</v>
      </c>
    </row>
    <row r="678" spans="2:4" ht="18" customHeight="1">
      <c r="B678" s="556">
        <v>43160</v>
      </c>
      <c r="D678" s="1" t="s">
        <v>11449</v>
      </c>
    </row>
    <row r="680" spans="2:4" ht="18" customHeight="1">
      <c r="B680" s="556">
        <v>43173</v>
      </c>
      <c r="D680" s="1" t="s">
        <v>11450</v>
      </c>
    </row>
    <row r="682" spans="2:4" ht="18" customHeight="1">
      <c r="B682" s="556">
        <v>43181</v>
      </c>
      <c r="D682" s="1" t="s">
        <v>11452</v>
      </c>
    </row>
    <row r="684" spans="2:4" ht="18" customHeight="1">
      <c r="B684" s="556">
        <v>43200</v>
      </c>
      <c r="D684" s="1" t="s">
        <v>11454</v>
      </c>
    </row>
    <row r="686" spans="2:4" ht="18" customHeight="1">
      <c r="B686" s="556">
        <v>43207</v>
      </c>
      <c r="D686" s="52" t="s">
        <v>11455</v>
      </c>
    </row>
    <row r="688" spans="2:4" ht="18" customHeight="1">
      <c r="B688" s="556">
        <v>43215</v>
      </c>
      <c r="D688" s="1" t="s">
        <v>11456</v>
      </c>
    </row>
    <row r="690" spans="2:4" ht="18" customHeight="1">
      <c r="B690" s="556">
        <v>43228</v>
      </c>
      <c r="D690" s="1" t="s">
        <v>11458</v>
      </c>
    </row>
    <row r="692" spans="2:4" ht="18" customHeight="1">
      <c r="B692" s="556">
        <v>43231</v>
      </c>
      <c r="D692" s="1" t="s">
        <v>11459</v>
      </c>
    </row>
    <row r="694" spans="2:4" ht="18" customHeight="1">
      <c r="B694" s="556">
        <v>43242</v>
      </c>
      <c r="D694" s="1" t="s">
        <v>11461</v>
      </c>
    </row>
    <row r="696" spans="2:4" ht="18" customHeight="1">
      <c r="B696" s="556">
        <v>43259</v>
      </c>
      <c r="D696" s="1" t="s">
        <v>11465</v>
      </c>
    </row>
    <row r="698" spans="2:4" ht="18" customHeight="1">
      <c r="B698" s="556">
        <v>43266</v>
      </c>
      <c r="D698" s="1" t="s">
        <v>11466</v>
      </c>
    </row>
    <row r="700" spans="2:4" ht="18" customHeight="1">
      <c r="B700" s="556">
        <v>43280</v>
      </c>
      <c r="D700" s="1" t="s">
        <v>11468</v>
      </c>
    </row>
    <row r="702" spans="2:4" ht="18" customHeight="1">
      <c r="B702" s="556">
        <v>43292</v>
      </c>
      <c r="D702" s="1" t="s">
        <v>11470</v>
      </c>
    </row>
    <row r="704" spans="2:4" ht="18" customHeight="1">
      <c r="B704" s="556">
        <v>43340</v>
      </c>
      <c r="D704" s="1" t="s">
        <v>11477</v>
      </c>
    </row>
    <row r="706" spans="2:4" ht="18" customHeight="1">
      <c r="B706" s="556">
        <v>43341</v>
      </c>
      <c r="D706" s="1" t="s">
        <v>11477</v>
      </c>
    </row>
    <row r="708" spans="2:4" ht="18" customHeight="1">
      <c r="B708" s="556">
        <v>43343</v>
      </c>
      <c r="D708" s="1" t="s">
        <v>11506</v>
      </c>
    </row>
    <row r="710" spans="2:4" ht="18" customHeight="1">
      <c r="B710" s="556">
        <v>43348</v>
      </c>
      <c r="D710" s="1" t="s">
        <v>11507</v>
      </c>
    </row>
    <row r="712" spans="2:4" ht="18" customHeight="1">
      <c r="B712" s="556">
        <v>43356</v>
      </c>
      <c r="D712" s="1" t="s">
        <v>11509</v>
      </c>
    </row>
    <row r="714" spans="2:4" ht="18" customHeight="1">
      <c r="B714" s="556">
        <v>43423</v>
      </c>
      <c r="C714" s="562" t="s">
        <v>11512</v>
      </c>
      <c r="D714" s="1" t="s">
        <v>11511</v>
      </c>
    </row>
    <row r="715" spans="2:4" ht="18" customHeight="1">
      <c r="B715" s="556">
        <v>43424</v>
      </c>
      <c r="C715" s="562" t="s">
        <v>11512</v>
      </c>
      <c r="D715" s="1" t="s">
        <v>11513</v>
      </c>
    </row>
    <row r="716" spans="2:4" ht="18" customHeight="1">
      <c r="B716" s="556">
        <v>43461</v>
      </c>
      <c r="C716" s="562" t="s">
        <v>11512</v>
      </c>
      <c r="D716" s="1" t="s">
        <v>11514</v>
      </c>
    </row>
    <row r="718" spans="2:4" ht="18" customHeight="1">
      <c r="B718" s="556">
        <v>43473</v>
      </c>
      <c r="C718" s="562" t="s">
        <v>11515</v>
      </c>
      <c r="D718" s="1" t="s">
        <v>11516</v>
      </c>
    </row>
    <row r="720" spans="2:4" ht="18" customHeight="1">
      <c r="B720" s="556">
        <v>43474</v>
      </c>
      <c r="C720" s="562" t="s">
        <v>11515</v>
      </c>
      <c r="D720" s="1" t="s">
        <v>11517</v>
      </c>
    </row>
    <row r="721" spans="2:4" ht="18" customHeight="1">
      <c r="D721" s="1" t="s">
        <v>11518</v>
      </c>
    </row>
    <row r="722" spans="2:4" ht="18" customHeight="1">
      <c r="D722" s="1" t="s">
        <v>11519</v>
      </c>
    </row>
    <row r="723" spans="2:4" ht="18" customHeight="1">
      <c r="B723" s="556">
        <v>43480</v>
      </c>
      <c r="C723" s="562" t="s">
        <v>11512</v>
      </c>
      <c r="D723" s="1" t="s">
        <v>11520</v>
      </c>
    </row>
    <row r="725" spans="2:4" ht="18" customHeight="1">
      <c r="B725" s="556">
        <v>43482</v>
      </c>
      <c r="C725" s="562" t="s">
        <v>11515</v>
      </c>
      <c r="D725" s="1" t="s">
        <v>11521</v>
      </c>
    </row>
    <row r="727" spans="2:4" ht="18" customHeight="1">
      <c r="B727" s="556">
        <v>43501</v>
      </c>
      <c r="C727" s="562" t="s">
        <v>11515</v>
      </c>
      <c r="D727" s="1" t="s">
        <v>11522</v>
      </c>
    </row>
    <row r="729" spans="2:4" ht="18" customHeight="1">
      <c r="B729" s="556">
        <v>43508</v>
      </c>
      <c r="C729" s="562" t="s">
        <v>11515</v>
      </c>
      <c r="D729" s="1" t="s">
        <v>11523</v>
      </c>
    </row>
    <row r="731" spans="2:4" ht="18" customHeight="1">
      <c r="B731" s="556">
        <v>43510</v>
      </c>
      <c r="C731" s="562" t="s">
        <v>11512</v>
      </c>
      <c r="D731" s="1" t="s">
        <v>11524</v>
      </c>
    </row>
    <row r="733" spans="2:4" ht="18" customHeight="1">
      <c r="B733" s="556">
        <v>43543</v>
      </c>
      <c r="C733" s="562" t="s">
        <v>11515</v>
      </c>
      <c r="D733" s="1" t="s">
        <v>11526</v>
      </c>
    </row>
    <row r="735" spans="2:4" ht="18" customHeight="1">
      <c r="B735" s="556">
        <v>43557</v>
      </c>
      <c r="C735" s="562" t="s">
        <v>11538</v>
      </c>
      <c r="D735" s="1" t="s">
        <v>11537</v>
      </c>
    </row>
    <row r="736" spans="2:4" ht="18" customHeight="1">
      <c r="D736" s="1" t="s">
        <v>11549</v>
      </c>
    </row>
    <row r="738" spans="2:4" ht="18" customHeight="1">
      <c r="B738" s="556">
        <v>43564</v>
      </c>
      <c r="C738" s="562" t="s">
        <v>11538</v>
      </c>
      <c r="D738" s="1" t="s">
        <v>11580</v>
      </c>
    </row>
    <row r="739" spans="2:4" ht="18" customHeight="1">
      <c r="D739" s="1" t="s">
        <v>11581</v>
      </c>
    </row>
    <row r="741" spans="2:4" ht="18" customHeight="1">
      <c r="B741" s="556">
        <v>43566</v>
      </c>
      <c r="C741" s="562" t="s">
        <v>11538</v>
      </c>
      <c r="D741" s="1" t="s">
        <v>11584</v>
      </c>
    </row>
    <row r="742" spans="2:4" ht="18" customHeight="1">
      <c r="D742" s="1" t="s">
        <v>11585</v>
      </c>
    </row>
    <row r="743" spans="2:4" ht="18" customHeight="1">
      <c r="D743" s="1" t="s">
        <v>11586</v>
      </c>
    </row>
    <row r="745" spans="2:4" ht="18" customHeight="1">
      <c r="B745" s="556">
        <v>43578</v>
      </c>
      <c r="C745" s="562" t="s">
        <v>11538</v>
      </c>
      <c r="D745" s="1" t="s">
        <v>11592</v>
      </c>
    </row>
    <row r="747" spans="2:4" ht="18" customHeight="1">
      <c r="B747" s="556">
        <v>43579</v>
      </c>
      <c r="C747" s="562" t="s">
        <v>11538</v>
      </c>
      <c r="D747" s="1" t="s">
        <v>11593</v>
      </c>
    </row>
    <row r="749" spans="2:4" ht="18" customHeight="1">
      <c r="B749" s="556">
        <v>43580</v>
      </c>
      <c r="C749" s="562" t="s">
        <v>11538</v>
      </c>
      <c r="D749" s="1" t="s">
        <v>11602</v>
      </c>
    </row>
    <row r="750" spans="2:4" ht="18" customHeight="1">
      <c r="D750" s="1" t="s">
        <v>11603</v>
      </c>
    </row>
    <row r="752" spans="2:4" ht="18" customHeight="1">
      <c r="B752" s="556">
        <v>43595</v>
      </c>
      <c r="C752" s="562" t="s">
        <v>11538</v>
      </c>
      <c r="D752" s="1" t="s">
        <v>11604</v>
      </c>
    </row>
    <row r="754" spans="2:4" ht="18" customHeight="1">
      <c r="B754" s="556">
        <v>43598</v>
      </c>
      <c r="C754" s="562" t="s">
        <v>11538</v>
      </c>
      <c r="D754" s="1" t="s">
        <v>11605</v>
      </c>
    </row>
    <row r="756" spans="2:4" ht="18" customHeight="1">
      <c r="B756" s="556">
        <v>43613</v>
      </c>
      <c r="C756" s="562" t="s">
        <v>11515</v>
      </c>
      <c r="D756" s="1" t="s">
        <v>11607</v>
      </c>
    </row>
    <row r="758" spans="2:4" ht="18" customHeight="1">
      <c r="B758" s="556">
        <v>43622</v>
      </c>
      <c r="C758" s="562" t="s">
        <v>11515</v>
      </c>
      <c r="D758" s="1" t="s">
        <v>11609</v>
      </c>
    </row>
    <row r="760" spans="2:4" ht="18" customHeight="1">
      <c r="B760" s="556">
        <v>43637</v>
      </c>
      <c r="C760" s="562" t="s">
        <v>11515</v>
      </c>
      <c r="D760" s="1" t="s">
        <v>11612</v>
      </c>
    </row>
    <row r="762" spans="2:4" ht="18" customHeight="1">
      <c r="B762" s="556">
        <v>43651</v>
      </c>
      <c r="C762" s="562" t="s">
        <v>11512</v>
      </c>
      <c r="D762" s="1" t="s">
        <v>11614</v>
      </c>
    </row>
    <row r="764" spans="2:4" ht="18" customHeight="1">
      <c r="B764" s="556">
        <v>43697</v>
      </c>
      <c r="C764" s="562" t="s">
        <v>11538</v>
      </c>
      <c r="D764" s="1" t="s">
        <v>11629</v>
      </c>
    </row>
    <row r="766" spans="2:4" ht="18" customHeight="1">
      <c r="B766" s="556">
        <v>43698</v>
      </c>
      <c r="C766" s="562" t="s">
        <v>11538</v>
      </c>
      <c r="D766" s="1" t="s">
        <v>11630</v>
      </c>
    </row>
    <row r="768" spans="2:4" ht="18" customHeight="1">
      <c r="B768" s="556">
        <v>43700</v>
      </c>
      <c r="C768" s="562" t="s">
        <v>11515</v>
      </c>
      <c r="D768" s="1" t="s">
        <v>11632</v>
      </c>
    </row>
    <row r="770" spans="2:4" ht="18" customHeight="1">
      <c r="B770" s="556">
        <v>43719</v>
      </c>
      <c r="C770" s="562" t="s">
        <v>11515</v>
      </c>
      <c r="D770" s="1" t="s">
        <v>11636</v>
      </c>
    </row>
    <row r="772" spans="2:4" ht="18" customHeight="1">
      <c r="B772" s="556">
        <v>43734</v>
      </c>
      <c r="C772" s="562" t="s">
        <v>11538</v>
      </c>
      <c r="D772" s="1" t="s">
        <v>11640</v>
      </c>
    </row>
    <row r="774" spans="2:4" ht="18" customHeight="1">
      <c r="B774" s="556">
        <v>43748</v>
      </c>
      <c r="C774" s="562" t="s">
        <v>11515</v>
      </c>
      <c r="D774" s="1" t="s">
        <v>11641</v>
      </c>
    </row>
    <row r="776" spans="2:4" ht="18" customHeight="1">
      <c r="B776" s="556">
        <v>43759</v>
      </c>
      <c r="C776" s="562" t="s">
        <v>11538</v>
      </c>
      <c r="D776" s="1" t="s">
        <v>11642</v>
      </c>
    </row>
    <row r="778" spans="2:4" ht="18" customHeight="1">
      <c r="B778" s="556">
        <v>43766</v>
      </c>
      <c r="C778" s="562" t="s">
        <v>11538</v>
      </c>
      <c r="D778" s="1" t="s">
        <v>11643</v>
      </c>
    </row>
    <row r="780" spans="2:4" ht="18" customHeight="1">
      <c r="B780" s="556">
        <v>43783</v>
      </c>
      <c r="C780" s="562" t="s">
        <v>11651</v>
      </c>
      <c r="D780" s="1" t="s">
        <v>11652</v>
      </c>
    </row>
    <row r="782" spans="2:4" ht="18" customHeight="1">
      <c r="B782" s="556">
        <v>43784</v>
      </c>
      <c r="C782" s="562" t="s">
        <v>11538</v>
      </c>
      <c r="D782" s="1" t="s">
        <v>11654</v>
      </c>
    </row>
    <row r="784" spans="2:4" ht="18" customHeight="1">
      <c r="B784" s="556">
        <v>43791</v>
      </c>
      <c r="C784" s="562" t="s">
        <v>11538</v>
      </c>
      <c r="D784" s="1" t="s">
        <v>11655</v>
      </c>
    </row>
    <row r="786" spans="2:4" ht="18" customHeight="1">
      <c r="B786" s="556">
        <v>43854</v>
      </c>
      <c r="C786" s="562" t="s">
        <v>11538</v>
      </c>
      <c r="D786" s="1" t="s">
        <v>11656</v>
      </c>
    </row>
    <row r="788" spans="2:4" ht="18" customHeight="1">
      <c r="B788" s="556">
        <v>43861</v>
      </c>
      <c r="C788" s="562" t="s">
        <v>11657</v>
      </c>
      <c r="D788" s="1" t="s">
        <v>11658</v>
      </c>
    </row>
    <row r="790" spans="2:4" ht="18" customHeight="1">
      <c r="B790" s="556">
        <v>43868</v>
      </c>
      <c r="C790" s="562" t="s">
        <v>11662</v>
      </c>
      <c r="D790" s="1" t="s">
        <v>11661</v>
      </c>
    </row>
    <row r="792" spans="2:4" ht="18" customHeight="1">
      <c r="B792" s="556">
        <v>43873</v>
      </c>
      <c r="C792" s="562" t="s">
        <v>11538</v>
      </c>
      <c r="D792" s="1" t="s">
        <v>11667</v>
      </c>
    </row>
    <row r="794" spans="2:4" ht="18" customHeight="1">
      <c r="B794" s="556">
        <v>43930</v>
      </c>
      <c r="C794" s="562" t="s">
        <v>11674</v>
      </c>
      <c r="D794" s="1" t="s">
        <v>11675</v>
      </c>
    </row>
    <row r="796" spans="2:4" ht="18" customHeight="1">
      <c r="B796" s="556">
        <v>43966</v>
      </c>
      <c r="C796" s="562" t="s">
        <v>11677</v>
      </c>
      <c r="D796" s="561" t="s">
        <v>11678</v>
      </c>
    </row>
    <row r="798" spans="2:4" ht="18" customHeight="1">
      <c r="B798" s="556">
        <v>43972</v>
      </c>
      <c r="C798" s="562" t="s">
        <v>11681</v>
      </c>
      <c r="D798" s="1" t="s">
        <v>11682</v>
      </c>
    </row>
    <row r="800" spans="2:4" ht="18" customHeight="1">
      <c r="B800" s="556">
        <v>43976</v>
      </c>
      <c r="C800" s="562" t="s">
        <v>11683</v>
      </c>
      <c r="D800" s="1" t="s">
        <v>11684</v>
      </c>
    </row>
    <row r="802" spans="2:4" ht="18" customHeight="1">
      <c r="B802" s="556">
        <v>43992</v>
      </c>
      <c r="C802" s="562" t="s">
        <v>11685</v>
      </c>
      <c r="D802" s="1" t="s">
        <v>11687</v>
      </c>
    </row>
    <row r="803" spans="2:4" ht="18" customHeight="1">
      <c r="D803" s="1" t="s">
        <v>11686</v>
      </c>
    </row>
    <row r="804" spans="2:4" ht="18" customHeight="1">
      <c r="D804" s="1" t="s">
        <v>11688</v>
      </c>
    </row>
    <row r="805" spans="2:4" ht="18" customHeight="1">
      <c r="D805" s="1" t="s">
        <v>11689</v>
      </c>
    </row>
    <row r="807" spans="2:4" ht="18" customHeight="1">
      <c r="B807" s="556">
        <v>44001</v>
      </c>
      <c r="C807" s="562" t="s">
        <v>11691</v>
      </c>
      <c r="D807" s="1" t="s">
        <v>11692</v>
      </c>
    </row>
    <row r="809" spans="2:4" ht="18" customHeight="1">
      <c r="B809" s="556">
        <v>44011</v>
      </c>
      <c r="C809" s="562" t="s">
        <v>11694</v>
      </c>
      <c r="D809" s="1" t="s">
        <v>11695</v>
      </c>
    </row>
    <row r="811" spans="2:4" ht="18" customHeight="1">
      <c r="B811" s="556">
        <v>44028</v>
      </c>
      <c r="C811" s="562" t="s">
        <v>11696</v>
      </c>
      <c r="D811" s="1" t="s">
        <v>11697</v>
      </c>
    </row>
    <row r="813" spans="2:4" ht="18" customHeight="1">
      <c r="B813" s="556">
        <v>44061</v>
      </c>
      <c r="C813" s="562" t="s">
        <v>11538</v>
      </c>
      <c r="D813" s="1" t="s">
        <v>11698</v>
      </c>
    </row>
    <row r="815" spans="2:4" ht="18" customHeight="1">
      <c r="B815" s="646">
        <v>44063</v>
      </c>
      <c r="C815" s="562" t="s">
        <v>11699</v>
      </c>
      <c r="D815" s="1" t="s">
        <v>11700</v>
      </c>
    </row>
    <row r="817" spans="2:4" ht="18" customHeight="1">
      <c r="B817" s="556">
        <v>44105</v>
      </c>
      <c r="C817" s="562" t="s">
        <v>11703</v>
      </c>
      <c r="D817" s="1" t="s">
        <v>11704</v>
      </c>
    </row>
    <row r="819" spans="2:4" ht="18" customHeight="1">
      <c r="B819" s="556">
        <v>44106</v>
      </c>
      <c r="C819" s="562" t="s">
        <v>11705</v>
      </c>
      <c r="D819" s="1" t="s">
        <v>11706</v>
      </c>
    </row>
    <row r="821" spans="2:4" ht="18" customHeight="1">
      <c r="B821" s="556">
        <v>44111</v>
      </c>
      <c r="C821" s="562" t="s">
        <v>11721</v>
      </c>
      <c r="D821" s="1" t="s">
        <v>11722</v>
      </c>
    </row>
    <row r="823" spans="2:4" ht="18" customHeight="1">
      <c r="B823" s="556">
        <v>44112</v>
      </c>
      <c r="C823" s="562" t="s">
        <v>11724</v>
      </c>
      <c r="D823" s="1" t="s">
        <v>11725</v>
      </c>
    </row>
    <row r="825" spans="2:4" ht="18" customHeight="1">
      <c r="B825" s="556">
        <v>44119</v>
      </c>
      <c r="C825" s="562" t="s">
        <v>11730</v>
      </c>
      <c r="D825" s="1" t="s">
        <v>11731</v>
      </c>
    </row>
    <row r="827" spans="2:4" ht="18" customHeight="1">
      <c r="B827" s="556">
        <v>44120</v>
      </c>
      <c r="C827" s="562" t="s">
        <v>11732</v>
      </c>
      <c r="D827" s="1" t="s">
        <v>11733</v>
      </c>
    </row>
    <row r="829" spans="2:4" ht="18" customHeight="1">
      <c r="B829" s="556">
        <v>44131</v>
      </c>
      <c r="C829" s="562" t="s">
        <v>11734</v>
      </c>
      <c r="D829" s="1" t="s">
        <v>11735</v>
      </c>
    </row>
    <row r="831" spans="2:4" ht="18" customHeight="1">
      <c r="B831" s="556">
        <v>44160</v>
      </c>
      <c r="C831" s="562" t="s">
        <v>11754</v>
      </c>
      <c r="D831" s="1" t="s">
        <v>11755</v>
      </c>
    </row>
    <row r="833" spans="2:4" ht="18" customHeight="1">
      <c r="B833" s="556">
        <v>44169</v>
      </c>
      <c r="C833" s="562" t="s">
        <v>11759</v>
      </c>
      <c r="D833" s="1" t="s">
        <v>11761</v>
      </c>
    </row>
    <row r="835" spans="2:4" ht="18" customHeight="1">
      <c r="B835" s="556">
        <v>44172</v>
      </c>
      <c r="C835" s="562" t="s">
        <v>11762</v>
      </c>
      <c r="D835" s="1" t="s">
        <v>11763</v>
      </c>
    </row>
    <row r="837" spans="2:4" ht="18" customHeight="1">
      <c r="B837" s="556">
        <v>44190</v>
      </c>
      <c r="C837" s="562" t="s">
        <v>11762</v>
      </c>
      <c r="D837" s="1" t="s">
        <v>11764</v>
      </c>
    </row>
    <row r="839" spans="2:4" ht="18" customHeight="1">
      <c r="B839" s="556">
        <v>44211</v>
      </c>
      <c r="C839" s="562" t="s">
        <v>11734</v>
      </c>
      <c r="D839" s="1" t="s">
        <v>11766</v>
      </c>
    </row>
    <row r="841" spans="2:4" ht="18" customHeight="1">
      <c r="B841" s="556">
        <v>44215</v>
      </c>
      <c r="C841" s="562" t="s">
        <v>11767</v>
      </c>
      <c r="D841" s="1" t="s">
        <v>11768</v>
      </c>
    </row>
    <row r="843" spans="2:4" ht="18" customHeight="1">
      <c r="B843" s="556">
        <v>44216</v>
      </c>
      <c r="C843" s="562" t="s">
        <v>11769</v>
      </c>
      <c r="D843" s="1" t="s">
        <v>11770</v>
      </c>
    </row>
    <row r="845" spans="2:4" ht="18" customHeight="1">
      <c r="B845" s="556">
        <v>44221</v>
      </c>
      <c r="C845" s="562" t="s">
        <v>11772</v>
      </c>
      <c r="D845" s="1" t="s">
        <v>11773</v>
      </c>
    </row>
    <row r="847" spans="2:4" ht="18" customHeight="1">
      <c r="B847" s="556">
        <v>44231</v>
      </c>
      <c r="C847" s="562" t="s">
        <v>11774</v>
      </c>
      <c r="D847" s="1" t="s">
        <v>11775</v>
      </c>
    </row>
    <row r="849" spans="2:4" ht="18" customHeight="1">
      <c r="B849" s="556">
        <v>44242</v>
      </c>
      <c r="C849" s="562" t="s">
        <v>11778</v>
      </c>
      <c r="D849" s="1" t="s">
        <v>11776</v>
      </c>
    </row>
    <row r="850" spans="2:4" ht="18" customHeight="1">
      <c r="D850" s="1" t="s">
        <v>11777</v>
      </c>
    </row>
    <row r="851" spans="2:4" ht="18" customHeight="1">
      <c r="D851" s="1" t="s">
        <v>11779</v>
      </c>
    </row>
    <row r="853" spans="2:4" ht="18" customHeight="1">
      <c r="B853" s="556">
        <v>44243</v>
      </c>
      <c r="C853" s="562" t="s">
        <v>11780</v>
      </c>
      <c r="D853" s="1" t="s">
        <v>11782</v>
      </c>
    </row>
    <row r="854" spans="2:4" ht="18" customHeight="1">
      <c r="D854" s="1" t="s">
        <v>11781</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rgb="FFFF99CC"/>
  </sheetPr>
  <dimension ref="A1:L69"/>
  <sheetViews>
    <sheetView zoomScale="80" zoomScaleNormal="80" workbookViewId="0">
      <selection activeCell="J11" sqref="J11"/>
    </sheetView>
  </sheetViews>
  <sheetFormatPr defaultRowHeight="18" customHeight="1"/>
  <cols>
    <col min="1" max="5" width="3.625" style="146" customWidth="1"/>
    <col min="6" max="6" width="9.125" style="146" customWidth="1"/>
    <col min="7" max="8" width="35.625" style="146" customWidth="1"/>
    <col min="9" max="9" width="3.625" style="146" customWidth="1"/>
    <col min="10" max="10" width="9.125" style="146" customWidth="1"/>
    <col min="11" max="12" width="35.625" style="146" customWidth="1"/>
    <col min="13" max="16384" width="9" style="146"/>
  </cols>
  <sheetData>
    <row r="1" spans="1:12" ht="18" customHeight="1">
      <c r="A1" s="146" t="s">
        <v>10087</v>
      </c>
    </row>
    <row r="3" spans="1:12" ht="18" customHeight="1">
      <c r="A3" s="146" t="s">
        <v>10088</v>
      </c>
      <c r="H3" s="469" t="str">
        <f ca="1">IF(cst_DATA_COUNT&gt;COUNTA(F:F),"データ数より下記の処理が少ないです","")</f>
        <v>データ数より下記の処理が少ないです</v>
      </c>
    </row>
    <row r="5" spans="1:12" ht="18" customHeight="1">
      <c r="G5" s="146" t="s">
        <v>10090</v>
      </c>
      <c r="H5" s="474" t="str">
        <f ca="1">IF(COUNT(F:F)=0,"",OFFSET(base_point_INPUT_VALUE,COUNT(F:F),0))</f>
        <v>確認予定日が未入力です</v>
      </c>
    </row>
    <row r="6" spans="1:12" ht="18" customHeight="1">
      <c r="G6" s="146" t="s">
        <v>10092</v>
      </c>
      <c r="H6" s="474" t="str">
        <f ca="1">IF(COUNT(J:J)=0,"",OFFSET(base_point_ERROR_VALUE,COUNT(J:J),0))</f>
        <v>取引区分が入力されていません</v>
      </c>
    </row>
    <row r="8" spans="1:12" ht="18" customHeight="1">
      <c r="H8" s="146" t="s">
        <v>10089</v>
      </c>
      <c r="L8" s="146" t="s">
        <v>10091</v>
      </c>
    </row>
    <row r="9" spans="1:12" ht="18" customHeight="1">
      <c r="A9" s="146" t="s">
        <v>1307</v>
      </c>
      <c r="F9" s="470"/>
      <c r="G9" s="396"/>
      <c r="H9" s="473"/>
      <c r="J9" s="470"/>
      <c r="K9" s="396"/>
      <c r="L9" s="473"/>
    </row>
    <row r="10" spans="1:12" ht="18" customHeight="1">
      <c r="F10" s="471">
        <f t="shared" ref="F10:F41" ca="1" si="0">IF(ISERROR(MATCH("入力",OFFSET(base_point_KIND,F9,check_KIND__movement,cst_DATA_COUNT-(F9-1),1),0)+F9),"",MATCH("入力",OFFSET(base_point_KIND,F9,check_KIND__movement,cst_DATA_COUNT-(F9-1),1),0)+F9)</f>
        <v>37</v>
      </c>
      <c r="G10" s="396" t="str">
        <f t="shared" ref="G10:G41" ca="1" si="1">IF(ISERROR(OFFSET(cst_DATE_base_point,F10-1,0)),"",OFFSET(cst_DATE_base_point,F10-1,0))</f>
        <v>確認予定日が未入力です</v>
      </c>
      <c r="H10" s="472" t="str">
        <f ca="1">IF(G10="","",IF(H9="",G10,H9&amp;CHAR(10)&amp;G10))</f>
        <v>確認予定日が未入力です</v>
      </c>
      <c r="J10" s="471">
        <f t="shared" ref="J10:J41" ca="1" si="2">IF(ISERROR(MATCH("エラー",OFFSET(base_point_KIND,J9,check_KIND__movement,cst_DATA_COUNT-(J9-1),1),0)+J9),"",MATCH("エラー",OFFSET(base_point_KIND,J9,check_KIND__movement,cst_DATA_COUNT-(J9-1),1),0)+J9)</f>
        <v>13</v>
      </c>
      <c r="K10" s="396" t="str">
        <f t="shared" ref="K10:K41" ca="1" si="3">IF(ISERROR(OFFSET(cst_DATE_base_point,J10-1,0)),"",OFFSET(cst_DATE_base_point,J10-1,0))</f>
        <v>取引区分が入力されていません</v>
      </c>
      <c r="L10" s="472" t="str">
        <f ca="1">IF(K10="","",IF(L9="",K10,L9&amp;CHAR(10)&amp;K10))</f>
        <v>取引区分が入力されていません</v>
      </c>
    </row>
    <row r="11" spans="1:12" ht="18" customHeight="1">
      <c r="F11" s="471" t="str">
        <f t="shared" ca="1" si="0"/>
        <v/>
      </c>
      <c r="G11" s="396" t="str">
        <f t="shared" ca="1" si="1"/>
        <v/>
      </c>
      <c r="H11" s="472" t="str">
        <f t="shared" ref="H11:H25" ca="1" si="4">IF(G11="","",IF(H10="",G11,H10&amp;CHAR(10)&amp;G11))</f>
        <v/>
      </c>
      <c r="J11" s="471" t="str">
        <f t="shared" ca="1" si="2"/>
        <v/>
      </c>
      <c r="K11" s="396" t="str">
        <f t="shared" ca="1" si="3"/>
        <v/>
      </c>
      <c r="L11" s="472" t="str">
        <f ca="1">IF(K11="","",IF(L10="",K11,L10&amp;CHAR(10)&amp;K11))</f>
        <v/>
      </c>
    </row>
    <row r="12" spans="1:12" ht="18" customHeight="1">
      <c r="F12" s="471" t="str">
        <f t="shared" ca="1" si="0"/>
        <v/>
      </c>
      <c r="G12" s="396" t="str">
        <f t="shared" ca="1" si="1"/>
        <v/>
      </c>
      <c r="H12" s="472" t="str">
        <f t="shared" ca="1" si="4"/>
        <v/>
      </c>
      <c r="J12" s="471" t="str">
        <f t="shared" ca="1" si="2"/>
        <v/>
      </c>
      <c r="K12" s="396" t="str">
        <f t="shared" ca="1" si="3"/>
        <v/>
      </c>
      <c r="L12" s="472" t="str">
        <f ca="1">IF(K12="","",IF(L11="",K12,L11&amp;CHAR(10)&amp;K12))</f>
        <v/>
      </c>
    </row>
    <row r="13" spans="1:12" ht="18" customHeight="1">
      <c r="F13" s="471" t="str">
        <f t="shared" ca="1" si="0"/>
        <v/>
      </c>
      <c r="G13" s="396" t="str">
        <f t="shared" ca="1" si="1"/>
        <v/>
      </c>
      <c r="H13" s="472" t="str">
        <f ca="1">IF(G13="","",IF(H12="",G13,H12&amp;CHAR(10)&amp;G13))</f>
        <v/>
      </c>
      <c r="J13" s="471" t="str">
        <f t="shared" ca="1" si="2"/>
        <v/>
      </c>
      <c r="K13" s="396" t="str">
        <f t="shared" ca="1" si="3"/>
        <v/>
      </c>
      <c r="L13" s="472" t="str">
        <f ca="1">IF(K13="","",IF(L12="",K13,L12&amp;CHAR(10)&amp;K13))</f>
        <v/>
      </c>
    </row>
    <row r="14" spans="1:12" ht="18" customHeight="1">
      <c r="F14" s="471" t="str">
        <f t="shared" ca="1" si="0"/>
        <v/>
      </c>
      <c r="G14" s="396" t="str">
        <f t="shared" ca="1" si="1"/>
        <v/>
      </c>
      <c r="H14" s="472" t="str">
        <f t="shared" ca="1" si="4"/>
        <v/>
      </c>
      <c r="J14" s="471" t="str">
        <f t="shared" ca="1" si="2"/>
        <v/>
      </c>
      <c r="K14" s="396" t="str">
        <f t="shared" ca="1" si="3"/>
        <v/>
      </c>
      <c r="L14" s="472" t="str">
        <f t="shared" ref="L14:L25" ca="1" si="5">IF(K14="","",IF(L13="",K14,L13&amp;CHAR(10)&amp;K14))</f>
        <v/>
      </c>
    </row>
    <row r="15" spans="1:12" ht="18" customHeight="1">
      <c r="F15" s="471" t="str">
        <f t="shared" ca="1" si="0"/>
        <v/>
      </c>
      <c r="G15" s="396" t="str">
        <f t="shared" ca="1" si="1"/>
        <v/>
      </c>
      <c r="H15" s="472" t="str">
        <f t="shared" ca="1" si="4"/>
        <v/>
      </c>
      <c r="J15" s="471" t="str">
        <f t="shared" ca="1" si="2"/>
        <v/>
      </c>
      <c r="K15" s="396" t="str">
        <f t="shared" ca="1" si="3"/>
        <v/>
      </c>
      <c r="L15" s="472" t="str">
        <f t="shared" ca="1" si="5"/>
        <v/>
      </c>
    </row>
    <row r="16" spans="1:12" ht="18" customHeight="1">
      <c r="F16" s="471" t="str">
        <f t="shared" ca="1" si="0"/>
        <v/>
      </c>
      <c r="G16" s="396" t="str">
        <f t="shared" ca="1" si="1"/>
        <v/>
      </c>
      <c r="H16" s="472" t="str">
        <f t="shared" ca="1" si="4"/>
        <v/>
      </c>
      <c r="J16" s="471" t="str">
        <f t="shared" ca="1" si="2"/>
        <v/>
      </c>
      <c r="K16" s="396" t="str">
        <f t="shared" ca="1" si="3"/>
        <v/>
      </c>
      <c r="L16" s="472" t="str">
        <f t="shared" ca="1" si="5"/>
        <v/>
      </c>
    </row>
    <row r="17" spans="6:12" ht="18" customHeight="1">
      <c r="F17" s="471" t="str">
        <f t="shared" ca="1" si="0"/>
        <v/>
      </c>
      <c r="G17" s="396" t="str">
        <f t="shared" ca="1" si="1"/>
        <v/>
      </c>
      <c r="H17" s="472" t="str">
        <f t="shared" ca="1" si="4"/>
        <v/>
      </c>
      <c r="J17" s="471" t="str">
        <f t="shared" ca="1" si="2"/>
        <v/>
      </c>
      <c r="K17" s="396" t="str">
        <f t="shared" ca="1" si="3"/>
        <v/>
      </c>
      <c r="L17" s="472" t="str">
        <f t="shared" ca="1" si="5"/>
        <v/>
      </c>
    </row>
    <row r="18" spans="6:12" ht="18" customHeight="1">
      <c r="F18" s="471" t="str">
        <f t="shared" ca="1" si="0"/>
        <v/>
      </c>
      <c r="G18" s="396" t="str">
        <f t="shared" ca="1" si="1"/>
        <v/>
      </c>
      <c r="H18" s="472" t="str">
        <f t="shared" ca="1" si="4"/>
        <v/>
      </c>
      <c r="J18" s="471" t="str">
        <f t="shared" ca="1" si="2"/>
        <v/>
      </c>
      <c r="K18" s="396" t="str">
        <f t="shared" ca="1" si="3"/>
        <v/>
      </c>
      <c r="L18" s="472" t="str">
        <f t="shared" ca="1" si="5"/>
        <v/>
      </c>
    </row>
    <row r="19" spans="6:12" ht="18" customHeight="1">
      <c r="F19" s="471" t="str">
        <f t="shared" ca="1" si="0"/>
        <v/>
      </c>
      <c r="G19" s="396" t="str">
        <f t="shared" ca="1" si="1"/>
        <v/>
      </c>
      <c r="H19" s="472" t="str">
        <f t="shared" ca="1" si="4"/>
        <v/>
      </c>
      <c r="J19" s="471" t="str">
        <f t="shared" ca="1" si="2"/>
        <v/>
      </c>
      <c r="K19" s="396" t="str">
        <f t="shared" ca="1" si="3"/>
        <v/>
      </c>
      <c r="L19" s="472" t="str">
        <f t="shared" ca="1" si="5"/>
        <v/>
      </c>
    </row>
    <row r="20" spans="6:12" ht="18" customHeight="1">
      <c r="F20" s="471" t="str">
        <f t="shared" ca="1" si="0"/>
        <v/>
      </c>
      <c r="G20" s="396" t="str">
        <f t="shared" ca="1" si="1"/>
        <v/>
      </c>
      <c r="H20" s="472" t="str">
        <f t="shared" ca="1" si="4"/>
        <v/>
      </c>
      <c r="J20" s="471" t="str">
        <f t="shared" ca="1" si="2"/>
        <v/>
      </c>
      <c r="K20" s="396" t="str">
        <f t="shared" ca="1" si="3"/>
        <v/>
      </c>
      <c r="L20" s="472" t="str">
        <f t="shared" ca="1" si="5"/>
        <v/>
      </c>
    </row>
    <row r="21" spans="6:12" ht="18" customHeight="1">
      <c r="F21" s="471" t="str">
        <f t="shared" ca="1" si="0"/>
        <v/>
      </c>
      <c r="G21" s="396" t="str">
        <f t="shared" ca="1" si="1"/>
        <v/>
      </c>
      <c r="H21" s="472" t="str">
        <f t="shared" ca="1" si="4"/>
        <v/>
      </c>
      <c r="J21" s="471" t="str">
        <f t="shared" ca="1" si="2"/>
        <v/>
      </c>
      <c r="K21" s="396" t="str">
        <f t="shared" ca="1" si="3"/>
        <v/>
      </c>
      <c r="L21" s="472" t="str">
        <f t="shared" ca="1" si="5"/>
        <v/>
      </c>
    </row>
    <row r="22" spans="6:12" ht="18" customHeight="1">
      <c r="F22" s="471" t="str">
        <f t="shared" ca="1" si="0"/>
        <v/>
      </c>
      <c r="G22" s="396" t="str">
        <f t="shared" ca="1" si="1"/>
        <v/>
      </c>
      <c r="H22" s="472" t="str">
        <f t="shared" ca="1" si="4"/>
        <v/>
      </c>
      <c r="J22" s="471" t="str">
        <f t="shared" ca="1" si="2"/>
        <v/>
      </c>
      <c r="K22" s="396" t="str">
        <f t="shared" ca="1" si="3"/>
        <v/>
      </c>
      <c r="L22" s="472" t="str">
        <f t="shared" ca="1" si="5"/>
        <v/>
      </c>
    </row>
    <row r="23" spans="6:12" ht="18" customHeight="1">
      <c r="F23" s="471" t="str">
        <f t="shared" ca="1" si="0"/>
        <v/>
      </c>
      <c r="G23" s="396" t="str">
        <f t="shared" ca="1" si="1"/>
        <v/>
      </c>
      <c r="H23" s="472" t="str">
        <f t="shared" ca="1" si="4"/>
        <v/>
      </c>
      <c r="J23" s="471" t="str">
        <f t="shared" ca="1" si="2"/>
        <v/>
      </c>
      <c r="K23" s="396" t="str">
        <f t="shared" ca="1" si="3"/>
        <v/>
      </c>
      <c r="L23" s="472" t="str">
        <f t="shared" ca="1" si="5"/>
        <v/>
      </c>
    </row>
    <row r="24" spans="6:12" ht="18" customHeight="1">
      <c r="F24" s="471" t="str">
        <f t="shared" ca="1" si="0"/>
        <v/>
      </c>
      <c r="G24" s="396" t="str">
        <f t="shared" ca="1" si="1"/>
        <v/>
      </c>
      <c r="H24" s="472" t="str">
        <f t="shared" ca="1" si="4"/>
        <v/>
      </c>
      <c r="J24" s="471" t="str">
        <f t="shared" ca="1" si="2"/>
        <v/>
      </c>
      <c r="K24" s="396" t="str">
        <f t="shared" ca="1" si="3"/>
        <v/>
      </c>
      <c r="L24" s="472" t="str">
        <f t="shared" ca="1" si="5"/>
        <v/>
      </c>
    </row>
    <row r="25" spans="6:12" ht="18" customHeight="1">
      <c r="F25" s="471" t="str">
        <f t="shared" ca="1" si="0"/>
        <v/>
      </c>
      <c r="G25" s="396" t="str">
        <f t="shared" ca="1" si="1"/>
        <v/>
      </c>
      <c r="H25" s="472" t="str">
        <f t="shared" ca="1" si="4"/>
        <v/>
      </c>
      <c r="J25" s="471" t="str">
        <f t="shared" ca="1" si="2"/>
        <v/>
      </c>
      <c r="K25" s="396" t="str">
        <f t="shared" ca="1" si="3"/>
        <v/>
      </c>
      <c r="L25" s="472" t="str">
        <f t="shared" ca="1" si="5"/>
        <v/>
      </c>
    </row>
    <row r="26" spans="6:12" ht="18" customHeight="1">
      <c r="F26" s="471" t="str">
        <f t="shared" ca="1" si="0"/>
        <v/>
      </c>
      <c r="G26" s="396" t="str">
        <f t="shared" ca="1" si="1"/>
        <v/>
      </c>
      <c r="H26" s="472"/>
      <c r="J26" s="471" t="str">
        <f t="shared" ca="1" si="2"/>
        <v/>
      </c>
      <c r="K26" s="396" t="str">
        <f t="shared" ca="1" si="3"/>
        <v/>
      </c>
      <c r="L26" s="472"/>
    </row>
    <row r="27" spans="6:12" ht="18" customHeight="1">
      <c r="F27" s="471" t="str">
        <f t="shared" ca="1" si="0"/>
        <v/>
      </c>
      <c r="G27" s="396" t="str">
        <f t="shared" ca="1" si="1"/>
        <v/>
      </c>
      <c r="H27" s="472"/>
      <c r="J27" s="471" t="str">
        <f t="shared" ca="1" si="2"/>
        <v/>
      </c>
      <c r="K27" s="396" t="str">
        <f t="shared" ca="1" si="3"/>
        <v/>
      </c>
      <c r="L27" s="472"/>
    </row>
    <row r="28" spans="6:12" ht="18" customHeight="1">
      <c r="F28" s="471" t="str">
        <f t="shared" ca="1" si="0"/>
        <v/>
      </c>
      <c r="G28" s="396" t="str">
        <f t="shared" ca="1" si="1"/>
        <v/>
      </c>
      <c r="H28" s="472"/>
      <c r="J28" s="471" t="str">
        <f t="shared" ca="1" si="2"/>
        <v/>
      </c>
      <c r="K28" s="396" t="str">
        <f t="shared" ca="1" si="3"/>
        <v/>
      </c>
      <c r="L28" s="472"/>
    </row>
    <row r="29" spans="6:12" ht="18" customHeight="1">
      <c r="F29" s="471" t="str">
        <f t="shared" ca="1" si="0"/>
        <v/>
      </c>
      <c r="G29" s="396" t="str">
        <f t="shared" ca="1" si="1"/>
        <v/>
      </c>
      <c r="H29" s="472"/>
      <c r="J29" s="471" t="str">
        <f t="shared" ca="1" si="2"/>
        <v/>
      </c>
      <c r="K29" s="396" t="str">
        <f t="shared" ca="1" si="3"/>
        <v/>
      </c>
      <c r="L29" s="472"/>
    </row>
    <row r="30" spans="6:12" ht="18" customHeight="1">
      <c r="F30" s="471" t="str">
        <f t="shared" ca="1" si="0"/>
        <v/>
      </c>
      <c r="G30" s="396" t="str">
        <f t="shared" ca="1" si="1"/>
        <v/>
      </c>
      <c r="H30" s="472"/>
      <c r="J30" s="471" t="str">
        <f t="shared" ca="1" si="2"/>
        <v/>
      </c>
      <c r="K30" s="396" t="str">
        <f t="shared" ca="1" si="3"/>
        <v/>
      </c>
      <c r="L30" s="472"/>
    </row>
    <row r="31" spans="6:12" ht="18" customHeight="1">
      <c r="F31" s="471" t="str">
        <f t="shared" ca="1" si="0"/>
        <v/>
      </c>
      <c r="G31" s="396" t="str">
        <f t="shared" ca="1" si="1"/>
        <v/>
      </c>
      <c r="H31" s="472"/>
      <c r="J31" s="471" t="str">
        <f t="shared" ca="1" si="2"/>
        <v/>
      </c>
      <c r="K31" s="396" t="str">
        <f t="shared" ca="1" si="3"/>
        <v/>
      </c>
      <c r="L31" s="472"/>
    </row>
    <row r="32" spans="6:12" ht="18" customHeight="1">
      <c r="F32" s="471" t="str">
        <f t="shared" ca="1" si="0"/>
        <v/>
      </c>
      <c r="G32" s="396" t="str">
        <f t="shared" ca="1" si="1"/>
        <v/>
      </c>
      <c r="H32" s="472"/>
      <c r="J32" s="471" t="str">
        <f t="shared" ca="1" si="2"/>
        <v/>
      </c>
      <c r="K32" s="396" t="str">
        <f t="shared" ca="1" si="3"/>
        <v/>
      </c>
      <c r="L32" s="472"/>
    </row>
    <row r="33" spans="6:12" ht="18" customHeight="1">
      <c r="F33" s="471" t="str">
        <f t="shared" ca="1" si="0"/>
        <v/>
      </c>
      <c r="G33" s="396" t="str">
        <f t="shared" ca="1" si="1"/>
        <v/>
      </c>
      <c r="H33" s="472"/>
      <c r="J33" s="471" t="str">
        <f t="shared" ca="1" si="2"/>
        <v/>
      </c>
      <c r="K33" s="396" t="str">
        <f t="shared" ca="1" si="3"/>
        <v/>
      </c>
      <c r="L33" s="472"/>
    </row>
    <row r="34" spans="6:12" ht="18" customHeight="1">
      <c r="F34" s="471" t="str">
        <f t="shared" ca="1" si="0"/>
        <v/>
      </c>
      <c r="G34" s="396" t="str">
        <f t="shared" ca="1" si="1"/>
        <v/>
      </c>
      <c r="H34" s="472"/>
      <c r="J34" s="471" t="str">
        <f t="shared" ca="1" si="2"/>
        <v/>
      </c>
      <c r="K34" s="396" t="str">
        <f t="shared" ca="1" si="3"/>
        <v/>
      </c>
      <c r="L34" s="472"/>
    </row>
    <row r="35" spans="6:12" ht="18" customHeight="1">
      <c r="F35" s="471" t="str">
        <f t="shared" ca="1" si="0"/>
        <v/>
      </c>
      <c r="G35" s="396" t="str">
        <f t="shared" ca="1" si="1"/>
        <v/>
      </c>
      <c r="H35" s="472"/>
      <c r="J35" s="471" t="str">
        <f t="shared" ca="1" si="2"/>
        <v/>
      </c>
      <c r="K35" s="396" t="str">
        <f t="shared" ca="1" si="3"/>
        <v/>
      </c>
      <c r="L35" s="472"/>
    </row>
    <row r="36" spans="6:12" ht="18" customHeight="1">
      <c r="F36" s="471" t="str">
        <f t="shared" ca="1" si="0"/>
        <v/>
      </c>
      <c r="G36" s="396" t="str">
        <f t="shared" ca="1" si="1"/>
        <v/>
      </c>
      <c r="H36" s="472"/>
      <c r="J36" s="471" t="str">
        <f t="shared" ca="1" si="2"/>
        <v/>
      </c>
      <c r="K36" s="396" t="str">
        <f t="shared" ca="1" si="3"/>
        <v/>
      </c>
      <c r="L36" s="472"/>
    </row>
    <row r="37" spans="6:12" ht="18" customHeight="1">
      <c r="F37" s="471" t="str">
        <f t="shared" ca="1" si="0"/>
        <v/>
      </c>
      <c r="G37" s="396" t="str">
        <f t="shared" ca="1" si="1"/>
        <v/>
      </c>
      <c r="H37" s="472"/>
      <c r="J37" s="471" t="str">
        <f t="shared" ca="1" si="2"/>
        <v/>
      </c>
      <c r="K37" s="396" t="str">
        <f t="shared" ca="1" si="3"/>
        <v/>
      </c>
      <c r="L37" s="472"/>
    </row>
    <row r="38" spans="6:12" ht="18" customHeight="1">
      <c r="F38" s="471" t="str">
        <f t="shared" ca="1" si="0"/>
        <v/>
      </c>
      <c r="G38" s="396" t="str">
        <f t="shared" ca="1" si="1"/>
        <v/>
      </c>
      <c r="H38" s="472"/>
      <c r="J38" s="471" t="str">
        <f t="shared" ca="1" si="2"/>
        <v/>
      </c>
      <c r="K38" s="396" t="str">
        <f t="shared" ca="1" si="3"/>
        <v/>
      </c>
      <c r="L38" s="472"/>
    </row>
    <row r="39" spans="6:12" ht="18" customHeight="1">
      <c r="F39" s="471" t="str">
        <f t="shared" ca="1" si="0"/>
        <v/>
      </c>
      <c r="G39" s="396" t="str">
        <f t="shared" ca="1" si="1"/>
        <v/>
      </c>
      <c r="H39" s="472"/>
      <c r="J39" s="471" t="str">
        <f t="shared" ca="1" si="2"/>
        <v/>
      </c>
      <c r="K39" s="396" t="str">
        <f t="shared" ca="1" si="3"/>
        <v/>
      </c>
      <c r="L39" s="472"/>
    </row>
    <row r="40" spans="6:12" ht="18" customHeight="1">
      <c r="F40" s="471" t="str">
        <f t="shared" ca="1" si="0"/>
        <v/>
      </c>
      <c r="G40" s="396" t="str">
        <f t="shared" ca="1" si="1"/>
        <v/>
      </c>
      <c r="H40" s="472"/>
      <c r="J40" s="471" t="str">
        <f t="shared" ca="1" si="2"/>
        <v/>
      </c>
      <c r="K40" s="396" t="str">
        <f t="shared" ca="1" si="3"/>
        <v/>
      </c>
      <c r="L40" s="472"/>
    </row>
    <row r="41" spans="6:12" ht="18" customHeight="1">
      <c r="F41" s="471" t="str">
        <f t="shared" ca="1" si="0"/>
        <v/>
      </c>
      <c r="G41" s="396" t="str">
        <f t="shared" ca="1" si="1"/>
        <v/>
      </c>
      <c r="H41" s="472"/>
      <c r="J41" s="471" t="str">
        <f t="shared" ca="1" si="2"/>
        <v/>
      </c>
      <c r="K41" s="396" t="str">
        <f t="shared" ca="1" si="3"/>
        <v/>
      </c>
      <c r="L41" s="472"/>
    </row>
    <row r="42" spans="6:12" ht="18" customHeight="1">
      <c r="F42" s="471" t="str">
        <f t="shared" ref="F42:F69" ca="1" si="6">IF(ISERROR(MATCH("入力",OFFSET(base_point_KIND,F41,check_KIND__movement,cst_DATA_COUNT-(F41-1),1),0)+F41),"",MATCH("入力",OFFSET(base_point_KIND,F41,check_KIND__movement,cst_DATA_COUNT-(F41-1),1),0)+F41)</f>
        <v/>
      </c>
      <c r="G42" s="396" t="str">
        <f t="shared" ref="G42:G59" ca="1" si="7">IF(ISERROR(OFFSET(cst_DATE_base_point,F42-1,0)),"",OFFSET(cst_DATE_base_point,F42-1,0))</f>
        <v/>
      </c>
      <c r="H42" s="472"/>
      <c r="J42" s="471" t="str">
        <f t="shared" ref="J42:J69" ca="1" si="8">IF(ISERROR(MATCH("エラー",OFFSET(base_point_KIND,J41,check_KIND__movement,cst_DATA_COUNT-(J41-1),1),0)+J41),"",MATCH("エラー",OFFSET(base_point_KIND,J41,check_KIND__movement,cst_DATA_COUNT-(J41-1),1),0)+J41)</f>
        <v/>
      </c>
      <c r="K42" s="396" t="str">
        <f t="shared" ref="K42:K59" ca="1" si="9">IF(ISERROR(OFFSET(cst_DATE_base_point,J42-1,0)),"",OFFSET(cst_DATE_base_point,J42-1,0))</f>
        <v/>
      </c>
      <c r="L42" s="472"/>
    </row>
    <row r="43" spans="6:12" ht="18" customHeight="1">
      <c r="F43" s="471" t="str">
        <f t="shared" ca="1" si="6"/>
        <v/>
      </c>
      <c r="G43" s="396" t="str">
        <f t="shared" ca="1" si="7"/>
        <v/>
      </c>
      <c r="H43" s="472"/>
      <c r="J43" s="471" t="str">
        <f t="shared" ca="1" si="8"/>
        <v/>
      </c>
      <c r="K43" s="396" t="str">
        <f t="shared" ca="1" si="9"/>
        <v/>
      </c>
      <c r="L43" s="472"/>
    </row>
    <row r="44" spans="6:12" ht="18" customHeight="1">
      <c r="F44" s="471" t="str">
        <f t="shared" ca="1" si="6"/>
        <v/>
      </c>
      <c r="G44" s="396" t="str">
        <f t="shared" ca="1" si="7"/>
        <v/>
      </c>
      <c r="H44" s="472"/>
      <c r="J44" s="471" t="str">
        <f t="shared" ca="1" si="8"/>
        <v/>
      </c>
      <c r="K44" s="396" t="str">
        <f t="shared" ca="1" si="9"/>
        <v/>
      </c>
      <c r="L44" s="472"/>
    </row>
    <row r="45" spans="6:12" ht="18" customHeight="1">
      <c r="F45" s="471" t="str">
        <f t="shared" ca="1" si="6"/>
        <v/>
      </c>
      <c r="G45" s="396" t="str">
        <f t="shared" ca="1" si="7"/>
        <v/>
      </c>
      <c r="H45" s="472"/>
      <c r="J45" s="471" t="str">
        <f t="shared" ca="1" si="8"/>
        <v/>
      </c>
      <c r="K45" s="396" t="str">
        <f t="shared" ca="1" si="9"/>
        <v/>
      </c>
      <c r="L45" s="472"/>
    </row>
    <row r="46" spans="6:12" ht="18" customHeight="1">
      <c r="F46" s="471" t="str">
        <f t="shared" ca="1" si="6"/>
        <v/>
      </c>
      <c r="G46" s="396" t="str">
        <f t="shared" ca="1" si="7"/>
        <v/>
      </c>
      <c r="H46" s="472"/>
      <c r="J46" s="471" t="str">
        <f t="shared" ca="1" si="8"/>
        <v/>
      </c>
      <c r="K46" s="396" t="str">
        <f t="shared" ca="1" si="9"/>
        <v/>
      </c>
      <c r="L46" s="472"/>
    </row>
    <row r="47" spans="6:12" ht="18" customHeight="1">
      <c r="F47" s="471" t="str">
        <f t="shared" ca="1" si="6"/>
        <v/>
      </c>
      <c r="G47" s="396" t="str">
        <f t="shared" ca="1" si="7"/>
        <v/>
      </c>
      <c r="H47" s="472"/>
      <c r="J47" s="471" t="str">
        <f t="shared" ca="1" si="8"/>
        <v/>
      </c>
      <c r="K47" s="396" t="str">
        <f t="shared" ca="1" si="9"/>
        <v/>
      </c>
      <c r="L47" s="472"/>
    </row>
    <row r="48" spans="6:12" ht="18" customHeight="1">
      <c r="F48" s="471" t="str">
        <f t="shared" ca="1" si="6"/>
        <v/>
      </c>
      <c r="G48" s="396" t="str">
        <f t="shared" ca="1" si="7"/>
        <v/>
      </c>
      <c r="H48" s="472"/>
      <c r="J48" s="471" t="str">
        <f t="shared" ca="1" si="8"/>
        <v/>
      </c>
      <c r="K48" s="396" t="str">
        <f t="shared" ca="1" si="9"/>
        <v/>
      </c>
      <c r="L48" s="472"/>
    </row>
    <row r="49" spans="6:12" ht="18" customHeight="1">
      <c r="F49" s="471" t="str">
        <f t="shared" ca="1" si="6"/>
        <v/>
      </c>
      <c r="G49" s="396" t="str">
        <f t="shared" ca="1" si="7"/>
        <v/>
      </c>
      <c r="H49" s="472"/>
      <c r="J49" s="471" t="str">
        <f t="shared" ca="1" si="8"/>
        <v/>
      </c>
      <c r="K49" s="396" t="str">
        <f t="shared" ca="1" si="9"/>
        <v/>
      </c>
      <c r="L49" s="472"/>
    </row>
    <row r="50" spans="6:12" ht="18" customHeight="1">
      <c r="F50" s="471" t="str">
        <f t="shared" ca="1" si="6"/>
        <v/>
      </c>
      <c r="G50" s="396" t="str">
        <f t="shared" ca="1" si="7"/>
        <v/>
      </c>
      <c r="H50" s="472"/>
      <c r="J50" s="471" t="str">
        <f t="shared" ca="1" si="8"/>
        <v/>
      </c>
      <c r="K50" s="396" t="str">
        <f t="shared" ca="1" si="9"/>
        <v/>
      </c>
      <c r="L50" s="472"/>
    </row>
    <row r="51" spans="6:12" ht="18" customHeight="1">
      <c r="F51" s="471" t="str">
        <f t="shared" ca="1" si="6"/>
        <v/>
      </c>
      <c r="G51" s="396" t="str">
        <f t="shared" ca="1" si="7"/>
        <v/>
      </c>
      <c r="H51" s="472"/>
      <c r="J51" s="471" t="str">
        <f t="shared" ca="1" si="8"/>
        <v/>
      </c>
      <c r="K51" s="396" t="str">
        <f t="shared" ca="1" si="9"/>
        <v/>
      </c>
      <c r="L51" s="472"/>
    </row>
    <row r="52" spans="6:12" ht="18" customHeight="1">
      <c r="F52" s="471" t="str">
        <f t="shared" ca="1" si="6"/>
        <v/>
      </c>
      <c r="G52" s="396" t="str">
        <f t="shared" ca="1" si="7"/>
        <v/>
      </c>
      <c r="H52" s="472"/>
      <c r="J52" s="471" t="str">
        <f t="shared" ca="1" si="8"/>
        <v/>
      </c>
      <c r="K52" s="396" t="str">
        <f t="shared" ca="1" si="9"/>
        <v/>
      </c>
      <c r="L52" s="472"/>
    </row>
    <row r="53" spans="6:12" ht="18" customHeight="1">
      <c r="F53" s="471" t="str">
        <f t="shared" ca="1" si="6"/>
        <v/>
      </c>
      <c r="G53" s="396" t="str">
        <f t="shared" ca="1" si="7"/>
        <v/>
      </c>
      <c r="H53" s="472"/>
      <c r="J53" s="471" t="str">
        <f t="shared" ca="1" si="8"/>
        <v/>
      </c>
      <c r="K53" s="396" t="str">
        <f t="shared" ca="1" si="9"/>
        <v/>
      </c>
      <c r="L53" s="472"/>
    </row>
    <row r="54" spans="6:12" ht="18" customHeight="1">
      <c r="F54" s="471" t="str">
        <f t="shared" ca="1" si="6"/>
        <v/>
      </c>
      <c r="G54" s="396" t="str">
        <f t="shared" ca="1" si="7"/>
        <v/>
      </c>
      <c r="H54" s="472"/>
      <c r="J54" s="471" t="str">
        <f t="shared" ca="1" si="8"/>
        <v/>
      </c>
      <c r="K54" s="396" t="str">
        <f t="shared" ca="1" si="9"/>
        <v/>
      </c>
      <c r="L54" s="472"/>
    </row>
    <row r="55" spans="6:12" ht="18" customHeight="1">
      <c r="F55" s="471" t="str">
        <f t="shared" ca="1" si="6"/>
        <v/>
      </c>
      <c r="G55" s="396" t="str">
        <f t="shared" ca="1" si="7"/>
        <v/>
      </c>
      <c r="H55" s="472"/>
      <c r="J55" s="471" t="str">
        <f t="shared" ca="1" si="8"/>
        <v/>
      </c>
      <c r="K55" s="396" t="str">
        <f t="shared" ca="1" si="9"/>
        <v/>
      </c>
      <c r="L55" s="472"/>
    </row>
    <row r="56" spans="6:12" ht="18" customHeight="1">
      <c r="F56" s="471" t="str">
        <f t="shared" ca="1" si="6"/>
        <v/>
      </c>
      <c r="G56" s="396" t="str">
        <f t="shared" ca="1" si="7"/>
        <v/>
      </c>
      <c r="H56" s="472"/>
      <c r="J56" s="471" t="str">
        <f t="shared" ca="1" si="8"/>
        <v/>
      </c>
      <c r="K56" s="396" t="str">
        <f t="shared" ca="1" si="9"/>
        <v/>
      </c>
      <c r="L56" s="472"/>
    </row>
    <row r="57" spans="6:12" ht="18" customHeight="1">
      <c r="F57" s="471" t="str">
        <f t="shared" ca="1" si="6"/>
        <v/>
      </c>
      <c r="G57" s="396" t="str">
        <f t="shared" ca="1" si="7"/>
        <v/>
      </c>
      <c r="H57" s="472"/>
      <c r="J57" s="471" t="str">
        <f t="shared" ca="1" si="8"/>
        <v/>
      </c>
      <c r="K57" s="396" t="str">
        <f t="shared" ca="1" si="9"/>
        <v/>
      </c>
      <c r="L57" s="472"/>
    </row>
    <row r="58" spans="6:12" ht="18" customHeight="1">
      <c r="F58" s="471" t="str">
        <f t="shared" ca="1" si="6"/>
        <v/>
      </c>
      <c r="G58" s="396" t="str">
        <f t="shared" ca="1" si="7"/>
        <v/>
      </c>
      <c r="H58" s="472"/>
      <c r="J58" s="471" t="str">
        <f t="shared" ca="1" si="8"/>
        <v/>
      </c>
      <c r="K58" s="396" t="str">
        <f t="shared" ca="1" si="9"/>
        <v/>
      </c>
      <c r="L58" s="472"/>
    </row>
    <row r="59" spans="6:12" ht="18" customHeight="1">
      <c r="F59" s="471" t="str">
        <f t="shared" ca="1" si="6"/>
        <v/>
      </c>
      <c r="G59" s="396" t="str">
        <f t="shared" ca="1" si="7"/>
        <v/>
      </c>
      <c r="H59" s="472"/>
      <c r="J59" s="471" t="str">
        <f t="shared" ca="1" si="8"/>
        <v/>
      </c>
      <c r="K59" s="396" t="str">
        <f t="shared" ca="1" si="9"/>
        <v/>
      </c>
      <c r="L59" s="472"/>
    </row>
    <row r="60" spans="6:12" ht="18" customHeight="1">
      <c r="F60" s="471" t="str">
        <f t="shared" ca="1" si="6"/>
        <v/>
      </c>
      <c r="G60" s="396" t="str">
        <f t="shared" ref="G60:G69" ca="1" si="10">IF(ISERROR(OFFSET(cst_DATE_base_point,F60-1,0)),"",OFFSET(cst_DATE_base_point,F60-1,0))</f>
        <v/>
      </c>
      <c r="H60" s="472"/>
      <c r="J60" s="471" t="str">
        <f t="shared" ca="1" si="8"/>
        <v/>
      </c>
      <c r="K60" s="396" t="str">
        <f t="shared" ref="K60:K69" ca="1" si="11">IF(ISERROR(OFFSET(cst_DATE_base_point,J60-1,0)),"",OFFSET(cst_DATE_base_point,J60-1,0))</f>
        <v/>
      </c>
      <c r="L60" s="472"/>
    </row>
    <row r="61" spans="6:12" ht="18" customHeight="1">
      <c r="F61" s="471" t="str">
        <f t="shared" ca="1" si="6"/>
        <v/>
      </c>
      <c r="G61" s="396" t="str">
        <f t="shared" ca="1" si="10"/>
        <v/>
      </c>
      <c r="H61" s="472"/>
      <c r="J61" s="471" t="str">
        <f t="shared" ca="1" si="8"/>
        <v/>
      </c>
      <c r="K61" s="396" t="str">
        <f t="shared" ca="1" si="11"/>
        <v/>
      </c>
      <c r="L61" s="472"/>
    </row>
    <row r="62" spans="6:12" ht="18" customHeight="1">
      <c r="F62" s="471" t="str">
        <f t="shared" ca="1" si="6"/>
        <v/>
      </c>
      <c r="G62" s="396" t="str">
        <f t="shared" ca="1" si="10"/>
        <v/>
      </c>
      <c r="H62" s="472"/>
      <c r="J62" s="471" t="str">
        <f t="shared" ca="1" si="8"/>
        <v/>
      </c>
      <c r="K62" s="396" t="str">
        <f t="shared" ca="1" si="11"/>
        <v/>
      </c>
      <c r="L62" s="472"/>
    </row>
    <row r="63" spans="6:12" ht="18" customHeight="1">
      <c r="F63" s="471" t="str">
        <f t="shared" ca="1" si="6"/>
        <v/>
      </c>
      <c r="G63" s="396" t="str">
        <f t="shared" ca="1" si="10"/>
        <v/>
      </c>
      <c r="H63" s="472"/>
      <c r="J63" s="471" t="str">
        <f t="shared" ca="1" si="8"/>
        <v/>
      </c>
      <c r="K63" s="396" t="str">
        <f t="shared" ca="1" si="11"/>
        <v/>
      </c>
      <c r="L63" s="472"/>
    </row>
    <row r="64" spans="6:12" ht="18" customHeight="1">
      <c r="F64" s="471" t="str">
        <f t="shared" ca="1" si="6"/>
        <v/>
      </c>
      <c r="G64" s="396" t="str">
        <f t="shared" ca="1" si="10"/>
        <v/>
      </c>
      <c r="H64" s="472"/>
      <c r="J64" s="471" t="str">
        <f t="shared" ca="1" si="8"/>
        <v/>
      </c>
      <c r="K64" s="396" t="str">
        <f t="shared" ca="1" si="11"/>
        <v/>
      </c>
      <c r="L64" s="472"/>
    </row>
    <row r="65" spans="6:12" ht="18" customHeight="1">
      <c r="F65" s="471" t="str">
        <f t="shared" ca="1" si="6"/>
        <v/>
      </c>
      <c r="G65" s="396" t="str">
        <f t="shared" ca="1" si="10"/>
        <v/>
      </c>
      <c r="H65" s="472"/>
      <c r="J65" s="471" t="str">
        <f t="shared" ca="1" si="8"/>
        <v/>
      </c>
      <c r="K65" s="396" t="str">
        <f t="shared" ca="1" si="11"/>
        <v/>
      </c>
      <c r="L65" s="472"/>
    </row>
    <row r="66" spans="6:12" ht="18" customHeight="1">
      <c r="F66" s="471" t="str">
        <f t="shared" ca="1" si="6"/>
        <v/>
      </c>
      <c r="G66" s="396" t="str">
        <f t="shared" ca="1" si="10"/>
        <v/>
      </c>
      <c r="H66" s="472"/>
      <c r="J66" s="471" t="str">
        <f t="shared" ca="1" si="8"/>
        <v/>
      </c>
      <c r="K66" s="396" t="str">
        <f t="shared" ca="1" si="11"/>
        <v/>
      </c>
      <c r="L66" s="472"/>
    </row>
    <row r="67" spans="6:12" ht="18" customHeight="1">
      <c r="F67" s="471" t="str">
        <f t="shared" ca="1" si="6"/>
        <v/>
      </c>
      <c r="G67" s="396" t="str">
        <f t="shared" ca="1" si="10"/>
        <v/>
      </c>
      <c r="H67" s="472"/>
      <c r="J67" s="471" t="str">
        <f t="shared" ca="1" si="8"/>
        <v/>
      </c>
      <c r="K67" s="396" t="str">
        <f t="shared" ca="1" si="11"/>
        <v/>
      </c>
      <c r="L67" s="472"/>
    </row>
    <row r="68" spans="6:12" ht="18" customHeight="1">
      <c r="F68" s="471" t="str">
        <f t="shared" ca="1" si="6"/>
        <v/>
      </c>
      <c r="G68" s="396" t="str">
        <f t="shared" ca="1" si="10"/>
        <v/>
      </c>
      <c r="H68" s="472"/>
      <c r="J68" s="471" t="str">
        <f t="shared" ca="1" si="8"/>
        <v/>
      </c>
      <c r="K68" s="396" t="str">
        <f t="shared" ca="1" si="11"/>
        <v/>
      </c>
      <c r="L68" s="472"/>
    </row>
    <row r="69" spans="6:12" ht="18" customHeight="1">
      <c r="F69" s="471" t="str">
        <f t="shared" ca="1" si="6"/>
        <v/>
      </c>
      <c r="G69" s="396" t="str">
        <f t="shared" ca="1" si="10"/>
        <v/>
      </c>
      <c r="H69" s="472"/>
      <c r="J69" s="471" t="str">
        <f t="shared" ca="1" si="8"/>
        <v/>
      </c>
      <c r="K69" s="396" t="str">
        <f t="shared" ca="1" si="11"/>
        <v/>
      </c>
      <c r="L69" s="472"/>
    </row>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9">
    <tabColor rgb="FFFF99CC"/>
  </sheetPr>
  <dimension ref="A1:AK81"/>
  <sheetViews>
    <sheetView zoomScale="80" zoomScaleNormal="80" workbookViewId="0">
      <pane ySplit="3" topLeftCell="A52" activePane="bottomLeft" state="frozen"/>
      <selection pane="bottomLeft" activeCell="M82" sqref="M82"/>
    </sheetView>
  </sheetViews>
  <sheetFormatPr defaultRowHeight="18" customHeight="1"/>
  <cols>
    <col min="1" max="1" width="4.625" style="1" customWidth="1"/>
    <col min="2" max="11" width="6.625" style="326" customWidth="1"/>
    <col min="12" max="12" width="7.75" style="326" customWidth="1"/>
    <col min="13" max="13" width="43" style="1" customWidth="1"/>
    <col min="14" max="14" width="13.125" style="1" customWidth="1"/>
    <col min="15" max="15" width="25.625" style="324" customWidth="1"/>
    <col min="16" max="32" width="8.625" style="326" customWidth="1"/>
    <col min="33" max="34" width="9" style="326"/>
    <col min="35" max="35" width="24.5" style="1" customWidth="1"/>
    <col min="36" max="36" width="4.5" style="1" customWidth="1"/>
    <col min="37" max="16384" width="9" style="1"/>
  </cols>
  <sheetData>
    <row r="1" spans="1:37" s="326" customFormat="1" ht="18" customHeight="1">
      <c r="A1" s="490"/>
      <c r="B1" s="490" t="s">
        <v>3830</v>
      </c>
      <c r="C1" s="490" t="s">
        <v>10069</v>
      </c>
      <c r="D1" s="482" t="s">
        <v>1382</v>
      </c>
      <c r="E1" s="463" t="s">
        <v>4352</v>
      </c>
      <c r="F1" s="484" t="s">
        <v>10055</v>
      </c>
      <c r="G1" s="482" t="s">
        <v>1387</v>
      </c>
      <c r="H1" s="463" t="s">
        <v>10056</v>
      </c>
      <c r="I1" s="484" t="s">
        <v>10057</v>
      </c>
      <c r="J1" s="482" t="s">
        <v>10272</v>
      </c>
      <c r="K1" s="484" t="s">
        <v>1401</v>
      </c>
      <c r="L1" s="661" t="s">
        <v>10079</v>
      </c>
      <c r="M1" s="662"/>
      <c r="N1" s="463" t="s">
        <v>10058</v>
      </c>
      <c r="O1" s="463" t="s">
        <v>10080</v>
      </c>
      <c r="P1" s="454" t="s">
        <v>1387</v>
      </c>
      <c r="Q1" s="454" t="s">
        <v>1387</v>
      </c>
      <c r="R1" s="454" t="s">
        <v>1387</v>
      </c>
      <c r="S1" s="454" t="s">
        <v>1387</v>
      </c>
      <c r="T1" s="454" t="s">
        <v>1387</v>
      </c>
      <c r="U1" s="454" t="s">
        <v>1387</v>
      </c>
      <c r="V1" s="455" t="s">
        <v>10056</v>
      </c>
      <c r="W1" s="455" t="s">
        <v>10056</v>
      </c>
      <c r="X1" s="455" t="s">
        <v>10056</v>
      </c>
      <c r="Y1" s="455" t="s">
        <v>10056</v>
      </c>
      <c r="Z1" s="455" t="s">
        <v>10056</v>
      </c>
      <c r="AA1" s="455" t="s">
        <v>10056</v>
      </c>
      <c r="AB1" s="455" t="s">
        <v>10057</v>
      </c>
      <c r="AC1" s="455" t="s">
        <v>10057</v>
      </c>
      <c r="AD1" s="455" t="s">
        <v>10057</v>
      </c>
      <c r="AE1" s="455" t="s">
        <v>10057</v>
      </c>
      <c r="AF1" s="455" t="s">
        <v>10057</v>
      </c>
      <c r="AG1" s="455" t="s">
        <v>10057</v>
      </c>
      <c r="AH1" s="453"/>
      <c r="AI1" s="1" t="s">
        <v>10063</v>
      </c>
      <c r="AJ1" s="453" t="b">
        <f>IF(AND(cst_shinsei_INSPECTION_TYPE__check_sheet&lt;&gt;"",shinsei_TARGET_KIND&lt;&gt;""),IF(OR(_button_kind="引受",_button_kind="交付"),MATCH(cst_shinsei_INSPECTION_TYPE__check_sheet,erea_check_INSPECTION_TYPE,0)-1+MATCH(_button_kind,erea_check_BUTTON_KIND,0)-1+MATCH(shinsei_TARGET_KIND,erea_check_TARGET_KIND,0)-1),"")</f>
        <v>0</v>
      </c>
      <c r="AK1" s="1" t="s">
        <v>10066</v>
      </c>
    </row>
    <row r="2" spans="1:37" s="326" customFormat="1" ht="18" customHeight="1">
      <c r="A2" s="491"/>
      <c r="B2" s="491"/>
      <c r="C2" s="491" t="s">
        <v>10071</v>
      </c>
      <c r="D2" s="485"/>
      <c r="E2" s="464"/>
      <c r="F2" s="486"/>
      <c r="G2" s="485"/>
      <c r="H2" s="464"/>
      <c r="I2" s="486"/>
      <c r="J2" s="485"/>
      <c r="K2" s="486"/>
      <c r="L2" s="476"/>
      <c r="M2" s="466"/>
      <c r="N2" s="464"/>
      <c r="O2" s="464"/>
      <c r="P2" s="454" t="s">
        <v>10272</v>
      </c>
      <c r="Q2" s="454" t="s">
        <v>10272</v>
      </c>
      <c r="R2" s="454" t="s">
        <v>10272</v>
      </c>
      <c r="S2" s="455" t="s">
        <v>1401</v>
      </c>
      <c r="T2" s="455" t="s">
        <v>1401</v>
      </c>
      <c r="U2" s="455" t="s">
        <v>1401</v>
      </c>
      <c r="V2" s="454" t="s">
        <v>10272</v>
      </c>
      <c r="W2" s="454" t="s">
        <v>10272</v>
      </c>
      <c r="X2" s="454" t="s">
        <v>10272</v>
      </c>
      <c r="Y2" s="455" t="s">
        <v>1401</v>
      </c>
      <c r="Z2" s="455" t="s">
        <v>1401</v>
      </c>
      <c r="AA2" s="455" t="s">
        <v>1401</v>
      </c>
      <c r="AB2" s="454" t="s">
        <v>10272</v>
      </c>
      <c r="AC2" s="454" t="s">
        <v>10272</v>
      </c>
      <c r="AD2" s="454" t="s">
        <v>10272</v>
      </c>
      <c r="AE2" s="455" t="s">
        <v>1401</v>
      </c>
      <c r="AF2" s="455" t="s">
        <v>1401</v>
      </c>
      <c r="AG2" s="455" t="s">
        <v>1401</v>
      </c>
      <c r="AH2" s="453"/>
      <c r="AI2" s="1" t="s">
        <v>10064</v>
      </c>
      <c r="AJ2" s="453">
        <f>COUNT(A:A)</f>
        <v>78</v>
      </c>
      <c r="AK2" s="324" t="s">
        <v>10086</v>
      </c>
    </row>
    <row r="3" spans="1:37" s="326" customFormat="1" ht="18" customHeight="1">
      <c r="A3" s="492"/>
      <c r="B3" s="492"/>
      <c r="C3" s="492" t="s">
        <v>10072</v>
      </c>
      <c r="D3" s="487"/>
      <c r="E3" s="465"/>
      <c r="F3" s="488"/>
      <c r="G3" s="487"/>
      <c r="H3" s="465"/>
      <c r="I3" s="488"/>
      <c r="J3" s="487"/>
      <c r="K3" s="488"/>
      <c r="L3" s="483"/>
      <c r="M3" s="467"/>
      <c r="N3" s="468"/>
      <c r="O3" s="465"/>
      <c r="P3" s="456" t="s">
        <v>1382</v>
      </c>
      <c r="Q3" s="454" t="s">
        <v>4352</v>
      </c>
      <c r="R3" s="454" t="s">
        <v>10055</v>
      </c>
      <c r="S3" s="454" t="s">
        <v>1382</v>
      </c>
      <c r="T3" s="454" t="s">
        <v>4352</v>
      </c>
      <c r="U3" s="454" t="s">
        <v>10055</v>
      </c>
      <c r="V3" s="454" t="s">
        <v>1382</v>
      </c>
      <c r="W3" s="454" t="s">
        <v>4352</v>
      </c>
      <c r="X3" s="454" t="s">
        <v>10055</v>
      </c>
      <c r="Y3" s="454" t="s">
        <v>1382</v>
      </c>
      <c r="Z3" s="454" t="s">
        <v>4352</v>
      </c>
      <c r="AA3" s="454" t="s">
        <v>10055</v>
      </c>
      <c r="AB3" s="454" t="s">
        <v>1382</v>
      </c>
      <c r="AC3" s="454" t="s">
        <v>4352</v>
      </c>
      <c r="AD3" s="454" t="s">
        <v>10055</v>
      </c>
      <c r="AE3" s="454" t="s">
        <v>1382</v>
      </c>
      <c r="AF3" s="454" t="s">
        <v>4352</v>
      </c>
      <c r="AG3" s="454" t="s">
        <v>10055</v>
      </c>
      <c r="AH3" s="452"/>
      <c r="AI3" s="1" t="s">
        <v>10065</v>
      </c>
    </row>
    <row r="4" spans="1:37" ht="18" customHeight="1">
      <c r="A4" s="493">
        <f>ROW()-3</f>
        <v>1</v>
      </c>
      <c r="B4" s="494" t="s">
        <v>10059</v>
      </c>
      <c r="C4" s="494" t="s">
        <v>10070</v>
      </c>
      <c r="D4" s="481" t="s">
        <v>10059</v>
      </c>
      <c r="E4" s="315" t="s">
        <v>10059</v>
      </c>
      <c r="F4" s="489" t="s">
        <v>10059</v>
      </c>
      <c r="G4" s="481" t="s">
        <v>10059</v>
      </c>
      <c r="H4" s="315" t="s">
        <v>10059</v>
      </c>
      <c r="I4" s="489" t="s">
        <v>10059</v>
      </c>
      <c r="J4" s="481" t="s">
        <v>10059</v>
      </c>
      <c r="K4" s="489" t="s">
        <v>10059</v>
      </c>
      <c r="L4" s="480" t="s">
        <v>10073</v>
      </c>
      <c r="M4" s="314" t="s">
        <v>10833</v>
      </c>
      <c r="N4" s="457" t="str">
        <f>IF(shinsei_HIKIUKE_DATE="","引受日が未入力です","")</f>
        <v/>
      </c>
      <c r="O4" s="458">
        <f>cst_shinsei_HIKIUKE_DATE</f>
        <v>44258</v>
      </c>
      <c r="P4" s="315" t="str">
        <f t="shared" ref="P4:P35" si="0">IF(B4="☓","未使用",IF(AND(B4="○",G4="○",J4="○",D4="○"),IF(C4="","ERROR",IF(N4&lt;&gt;"",C4,"")),"非対象"))</f>
        <v/>
      </c>
      <c r="Q4" s="315" t="str">
        <f t="shared" ref="Q4:Q35" si="1">IF(B4="☓","未使用",IF(AND(B4="○",G4="○",J4="○",E4="○"),IF(C4="","ERROR",IF(N4&lt;&gt;"",C4,"")),"非対象"))</f>
        <v/>
      </c>
      <c r="R4" s="315" t="str">
        <f t="shared" ref="R4:R35" si="2">IF(B4="☓","未使用",IF(AND(B4="○",G4="○",J4="○",F4="○"),IF(C4="","ERROR",IF(N4&lt;&gt;"",C4,"")),"非対象"))</f>
        <v/>
      </c>
      <c r="S4" s="315" t="str">
        <f t="shared" ref="S4:S35" si="3">IF(B4="☓","未使用",IF(AND(B4="○",G4="○",K4="○",D4="○"),IF(C4="","ERROR",IF(N4&lt;&gt;"",C4,"")),"非対象"))</f>
        <v/>
      </c>
      <c r="T4" s="315" t="str">
        <f t="shared" ref="T4:T35" si="4">IF(B4="☓","未使用",IF(AND(B4="○",G4="○",K4="○",E4="○"),IF(C4="","ERROR",IF(N4&lt;&gt;"",C4,"")),"非対象"))</f>
        <v/>
      </c>
      <c r="U4" s="315" t="str">
        <f t="shared" ref="U4:U35" si="5">IF(B4="☓","未使用",IF(AND(B4="○",G4="○",K4="○",F4="○"),IF(C4="","ERROR",IF(N4&lt;&gt;"",C4,"")),"非対象"))</f>
        <v/>
      </c>
      <c r="V4" s="315" t="str">
        <f t="shared" ref="V4:V35" si="6">IF(B4="☓","未使用",IF(AND(B4="○",H4="○",J4="○",D4="○"),IF(C4="","ERROR",IF(N4&lt;&gt;"",C4,"")),"非対象"))</f>
        <v/>
      </c>
      <c r="W4" s="459" t="s">
        <v>10085</v>
      </c>
      <c r="X4" s="459" t="s">
        <v>10085</v>
      </c>
      <c r="Y4" s="315" t="str">
        <f t="shared" ref="Y4:Y35" si="7">IF(B4="☓","未使用",IF(AND(B4="○",H4="○",K4="○",D4="○"),IF(C4="","ERROR",IF(N4&lt;&gt;"",C4,"")),"非対象"))</f>
        <v/>
      </c>
      <c r="Z4" s="459" t="s">
        <v>10085</v>
      </c>
      <c r="AA4" s="459" t="s">
        <v>10085</v>
      </c>
      <c r="AB4" s="315" t="str">
        <f t="shared" ref="AB4:AB35" si="8">IF(B4="☓","未使用",IF(AND(B4="○",I4="○",J4="○",D4="○"),IF(C4="","ERROR",IF(N4&lt;&gt;"",C4,"")),"非対象"))</f>
        <v/>
      </c>
      <c r="AC4" s="315" t="str">
        <f t="shared" ref="AC4:AC35" si="9">IF(B4="☓","未使用",IF(AND(B4="○",I4="○",J4="○",E4="○"),IF(C4="","ERROR",IF(N4&lt;&gt;"",C4,"")),"非対象"))</f>
        <v/>
      </c>
      <c r="AD4" s="315" t="str">
        <f t="shared" ref="AD4:AD35" si="10">IF(B4="☓","未使用",IF(AND(B4="○",I4="○",J4="○",F4="○"),IF(C4="","ERROR",IF(N4&lt;&gt;"",C4,"")),"非対象"))</f>
        <v/>
      </c>
      <c r="AE4" s="315" t="str">
        <f t="shared" ref="AE4:AE35" si="11">IF(B4="☓","未使用",IF(AND(B4="○",I4="○",K4="○",D4="○"),IF(C4="","ERROR",IF(N4&lt;&gt;"",C4,"")),"非対象"))</f>
        <v/>
      </c>
      <c r="AF4" s="315" t="str">
        <f t="shared" ref="AF4:AF35" si="12">IF(B4="☓","未使用",IF(AND(B4="○",I4="○",K4="○",E4="○"),IF(C4="","ERROR",IF(N4&lt;&gt;"",C4,"")),"非対象"))</f>
        <v/>
      </c>
      <c r="AG4" s="315" t="str">
        <f t="shared" ref="AG4:AG35" si="13">IF(B4="☓","未使用",IF(AND(B4="○",I4="○",K4="○",F4="○"),IF(C4="","ERROR",IF(N4&lt;&gt;"",C4,"")),"非対象"))</f>
        <v/>
      </c>
    </row>
    <row r="5" spans="1:37" ht="18" customHeight="1">
      <c r="A5" s="493">
        <f t="shared" ref="A5:A71" si="14">ROW()-3</f>
        <v>2</v>
      </c>
      <c r="B5" s="494" t="s">
        <v>10059</v>
      </c>
      <c r="C5" s="494" t="s">
        <v>10070</v>
      </c>
      <c r="D5" s="481" t="s">
        <v>10059</v>
      </c>
      <c r="E5" s="315" t="s">
        <v>10059</v>
      </c>
      <c r="F5" s="489" t="s">
        <v>10059</v>
      </c>
      <c r="G5" s="481" t="s">
        <v>10059</v>
      </c>
      <c r="H5" s="315" t="s">
        <v>10059</v>
      </c>
      <c r="I5" s="489" t="s">
        <v>10059</v>
      </c>
      <c r="J5" s="481" t="s">
        <v>10059</v>
      </c>
      <c r="K5" s="489" t="s">
        <v>10059</v>
      </c>
      <c r="L5" s="480" t="s">
        <v>10073</v>
      </c>
      <c r="M5" s="314" t="s">
        <v>10834</v>
      </c>
      <c r="N5" s="457" t="str">
        <f>IF(shinsei_UKETUKE_NO="","引受番号（受付番号）が作成されていません","")</f>
        <v/>
      </c>
      <c r="O5" s="460" t="str">
        <f>cst_shinsei_UKETUKE_NO</f>
        <v>2020確申建築CIAS01650</v>
      </c>
      <c r="P5" s="315" t="str">
        <f t="shared" si="0"/>
        <v/>
      </c>
      <c r="Q5" s="315" t="str">
        <f t="shared" si="1"/>
        <v/>
      </c>
      <c r="R5" s="315" t="str">
        <f t="shared" si="2"/>
        <v/>
      </c>
      <c r="S5" s="315" t="str">
        <f t="shared" si="3"/>
        <v/>
      </c>
      <c r="T5" s="315" t="str">
        <f t="shared" si="4"/>
        <v/>
      </c>
      <c r="U5" s="315" t="str">
        <f t="shared" si="5"/>
        <v/>
      </c>
      <c r="V5" s="315" t="str">
        <f t="shared" si="6"/>
        <v/>
      </c>
      <c r="W5" s="459" t="s">
        <v>10085</v>
      </c>
      <c r="X5" s="459" t="s">
        <v>10085</v>
      </c>
      <c r="Y5" s="315" t="str">
        <f t="shared" si="7"/>
        <v/>
      </c>
      <c r="Z5" s="459" t="s">
        <v>10085</v>
      </c>
      <c r="AA5" s="459" t="s">
        <v>10085</v>
      </c>
      <c r="AB5" s="315" t="str">
        <f t="shared" si="8"/>
        <v/>
      </c>
      <c r="AC5" s="315" t="str">
        <f t="shared" si="9"/>
        <v/>
      </c>
      <c r="AD5" s="315" t="str">
        <f t="shared" si="10"/>
        <v/>
      </c>
      <c r="AE5" s="315" t="str">
        <f t="shared" si="11"/>
        <v/>
      </c>
      <c r="AF5" s="315" t="str">
        <f t="shared" si="12"/>
        <v/>
      </c>
      <c r="AG5" s="315" t="str">
        <f t="shared" si="13"/>
        <v/>
      </c>
    </row>
    <row r="6" spans="1:37" ht="18" customHeight="1">
      <c r="A6" s="493">
        <f t="shared" si="14"/>
        <v>3</v>
      </c>
      <c r="B6" s="494" t="s">
        <v>10059</v>
      </c>
      <c r="C6" s="494" t="s">
        <v>10068</v>
      </c>
      <c r="D6" s="481" t="s">
        <v>10059</v>
      </c>
      <c r="E6" s="315"/>
      <c r="F6" s="489"/>
      <c r="G6" s="481" t="s">
        <v>10059</v>
      </c>
      <c r="H6" s="315" t="s">
        <v>10059</v>
      </c>
      <c r="I6" s="489" t="s">
        <v>10059</v>
      </c>
      <c r="J6" s="481" t="s">
        <v>10059</v>
      </c>
      <c r="K6" s="489" t="s">
        <v>10059</v>
      </c>
      <c r="L6" s="480" t="s">
        <v>10073</v>
      </c>
      <c r="M6" s="314" t="s">
        <v>10038</v>
      </c>
      <c r="N6" s="457" t="str">
        <f>IF(AND(shinsei_TARGET_KIND="建築物",shinsei_build_STAT_HOU6_1=""),"法６条区分の未選択（統計報告の為必須）","")</f>
        <v/>
      </c>
      <c r="O6" s="460"/>
      <c r="P6" s="315" t="str">
        <f t="shared" si="0"/>
        <v/>
      </c>
      <c r="Q6" s="315" t="str">
        <f t="shared" si="1"/>
        <v>非対象</v>
      </c>
      <c r="R6" s="315" t="str">
        <f t="shared" si="2"/>
        <v>非対象</v>
      </c>
      <c r="S6" s="315" t="str">
        <f t="shared" si="3"/>
        <v/>
      </c>
      <c r="T6" s="315" t="str">
        <f t="shared" si="4"/>
        <v>非対象</v>
      </c>
      <c r="U6" s="315" t="str">
        <f t="shared" si="5"/>
        <v>非対象</v>
      </c>
      <c r="V6" s="315" t="str">
        <f t="shared" si="6"/>
        <v/>
      </c>
      <c r="W6" s="459" t="s">
        <v>10889</v>
      </c>
      <c r="X6" s="459" t="s">
        <v>10889</v>
      </c>
      <c r="Y6" s="315" t="str">
        <f t="shared" si="7"/>
        <v/>
      </c>
      <c r="Z6" s="459" t="s">
        <v>10889</v>
      </c>
      <c r="AA6" s="459" t="s">
        <v>10889</v>
      </c>
      <c r="AB6" s="315" t="str">
        <f t="shared" si="8"/>
        <v/>
      </c>
      <c r="AC6" s="315" t="str">
        <f t="shared" si="9"/>
        <v>非対象</v>
      </c>
      <c r="AD6" s="315" t="str">
        <f t="shared" si="10"/>
        <v>非対象</v>
      </c>
      <c r="AE6" s="315" t="str">
        <f t="shared" si="11"/>
        <v/>
      </c>
      <c r="AF6" s="315" t="str">
        <f t="shared" si="12"/>
        <v>非対象</v>
      </c>
      <c r="AG6" s="315" t="str">
        <f t="shared" si="13"/>
        <v>非対象</v>
      </c>
    </row>
    <row r="7" spans="1:37" ht="18" customHeight="1">
      <c r="A7" s="493">
        <f t="shared" si="14"/>
        <v>4</v>
      </c>
      <c r="B7" s="494" t="s">
        <v>10059</v>
      </c>
      <c r="C7" s="494" t="s">
        <v>10070</v>
      </c>
      <c r="D7" s="481" t="s">
        <v>10059</v>
      </c>
      <c r="E7" s="315"/>
      <c r="F7" s="489"/>
      <c r="G7" s="481" t="s">
        <v>10059</v>
      </c>
      <c r="H7" s="315" t="s">
        <v>10059</v>
      </c>
      <c r="I7" s="489" t="s">
        <v>10059</v>
      </c>
      <c r="J7" s="481" t="s">
        <v>10059</v>
      </c>
      <c r="K7" s="489" t="s">
        <v>10059</v>
      </c>
      <c r="L7" s="480" t="s">
        <v>10073</v>
      </c>
      <c r="M7" s="314" t="s">
        <v>10046</v>
      </c>
      <c r="N7" s="457" t="str">
        <f>IF(cst_shinsei_build_NOBE_MENSEKI_BILL_SHINSEI="","申請延べ面積が未入力です","")</f>
        <v/>
      </c>
      <c r="O7" s="462">
        <f>cst_shinsei_build_NOBE_MENSEKI_BILL_SHINSEI</f>
        <v>254.07</v>
      </c>
      <c r="P7" s="315" t="str">
        <f t="shared" si="0"/>
        <v/>
      </c>
      <c r="Q7" s="315" t="str">
        <f t="shared" si="1"/>
        <v>非対象</v>
      </c>
      <c r="R7" s="315" t="str">
        <f t="shared" si="2"/>
        <v>非対象</v>
      </c>
      <c r="S7" s="315" t="str">
        <f t="shared" si="3"/>
        <v/>
      </c>
      <c r="T7" s="315" t="str">
        <f t="shared" si="4"/>
        <v>非対象</v>
      </c>
      <c r="U7" s="315" t="str">
        <f t="shared" si="5"/>
        <v>非対象</v>
      </c>
      <c r="V7" s="315" t="str">
        <f t="shared" si="6"/>
        <v/>
      </c>
      <c r="W7" s="459" t="s">
        <v>10889</v>
      </c>
      <c r="X7" s="459" t="s">
        <v>10889</v>
      </c>
      <c r="Y7" s="315" t="str">
        <f t="shared" si="7"/>
        <v/>
      </c>
      <c r="Z7" s="459" t="s">
        <v>10889</v>
      </c>
      <c r="AA7" s="459" t="s">
        <v>10889</v>
      </c>
      <c r="AB7" s="315" t="str">
        <f t="shared" si="8"/>
        <v/>
      </c>
      <c r="AC7" s="315" t="str">
        <f t="shared" si="9"/>
        <v>非対象</v>
      </c>
      <c r="AD7" s="315" t="str">
        <f t="shared" si="10"/>
        <v>非対象</v>
      </c>
      <c r="AE7" s="315" t="str">
        <f t="shared" si="11"/>
        <v/>
      </c>
      <c r="AF7" s="315" t="str">
        <f t="shared" si="12"/>
        <v>非対象</v>
      </c>
      <c r="AG7" s="315" t="str">
        <f t="shared" si="13"/>
        <v>非対象</v>
      </c>
    </row>
    <row r="8" spans="1:37" ht="18" customHeight="1">
      <c r="A8" s="493">
        <f t="shared" si="14"/>
        <v>5</v>
      </c>
      <c r="B8" s="494" t="s">
        <v>10059</v>
      </c>
      <c r="C8" s="494" t="s">
        <v>10070</v>
      </c>
      <c r="D8" s="481" t="s">
        <v>10059</v>
      </c>
      <c r="E8" s="315" t="s">
        <v>10059</v>
      </c>
      <c r="F8" s="489" t="s">
        <v>10059</v>
      </c>
      <c r="G8" s="481" t="s">
        <v>10059</v>
      </c>
      <c r="H8" s="315" t="s">
        <v>10059</v>
      </c>
      <c r="I8" s="489" t="s">
        <v>10059</v>
      </c>
      <c r="J8" s="481" t="s">
        <v>10059</v>
      </c>
      <c r="K8" s="489"/>
      <c r="L8" s="480" t="s">
        <v>10073</v>
      </c>
      <c r="M8" s="314" t="s">
        <v>10041</v>
      </c>
      <c r="N8" s="457" t="str">
        <f>IF(cst_CHARGE__BASIC_MEISAI_GOUKEI="","申請手数料が未入力です","")</f>
        <v/>
      </c>
      <c r="O8" s="461">
        <f>cst_CHARGE__BASIC_MEISAI_GOUKEI</f>
        <v>76000</v>
      </c>
      <c r="P8" s="315" t="str">
        <f t="shared" si="0"/>
        <v/>
      </c>
      <c r="Q8" s="315" t="str">
        <f t="shared" si="1"/>
        <v/>
      </c>
      <c r="R8" s="315" t="str">
        <f t="shared" si="2"/>
        <v/>
      </c>
      <c r="S8" s="315" t="str">
        <f t="shared" si="3"/>
        <v>非対象</v>
      </c>
      <c r="T8" s="315" t="str">
        <f t="shared" si="4"/>
        <v>非対象</v>
      </c>
      <c r="U8" s="315" t="str">
        <f t="shared" si="5"/>
        <v>非対象</v>
      </c>
      <c r="V8" s="315" t="str">
        <f t="shared" si="6"/>
        <v/>
      </c>
      <c r="W8" s="459" t="s">
        <v>10889</v>
      </c>
      <c r="X8" s="459" t="s">
        <v>10889</v>
      </c>
      <c r="Y8" s="315" t="str">
        <f t="shared" si="7"/>
        <v>非対象</v>
      </c>
      <c r="Z8" s="459" t="s">
        <v>10889</v>
      </c>
      <c r="AA8" s="459" t="s">
        <v>10889</v>
      </c>
      <c r="AB8" s="315" t="str">
        <f t="shared" si="8"/>
        <v/>
      </c>
      <c r="AC8" s="315" t="str">
        <f t="shared" si="9"/>
        <v/>
      </c>
      <c r="AD8" s="315" t="str">
        <f t="shared" si="10"/>
        <v/>
      </c>
      <c r="AE8" s="315" t="str">
        <f t="shared" si="11"/>
        <v>非対象</v>
      </c>
      <c r="AF8" s="315" t="str">
        <f t="shared" si="12"/>
        <v>非対象</v>
      </c>
      <c r="AG8" s="315" t="str">
        <f t="shared" si="13"/>
        <v>非対象</v>
      </c>
    </row>
    <row r="9" spans="1:37" ht="18" customHeight="1">
      <c r="A9" s="493">
        <f t="shared" si="14"/>
        <v>6</v>
      </c>
      <c r="B9" s="494" t="s">
        <v>10059</v>
      </c>
      <c r="C9" s="494" t="s">
        <v>10070</v>
      </c>
      <c r="D9" s="481" t="s">
        <v>10059</v>
      </c>
      <c r="E9" s="315" t="s">
        <v>10059</v>
      </c>
      <c r="F9" s="489" t="s">
        <v>10059</v>
      </c>
      <c r="G9" s="481" t="s">
        <v>10059</v>
      </c>
      <c r="H9" s="315" t="s">
        <v>10059</v>
      </c>
      <c r="I9" s="489" t="s">
        <v>10059</v>
      </c>
      <c r="J9" s="481"/>
      <c r="K9" s="489" t="s">
        <v>10059</v>
      </c>
      <c r="L9" s="480" t="s">
        <v>10073</v>
      </c>
      <c r="M9" s="314" t="s">
        <v>1560</v>
      </c>
      <c r="N9" s="457" t="str">
        <f>IF(shinsei_ISSUE_NO="","交付番号（確認番号）が未入力です","")</f>
        <v>交付番号（確認番号）が未入力です</v>
      </c>
      <c r="O9" s="460" t="str">
        <f>cst_shinsei_ISSUE_NO</f>
        <v/>
      </c>
      <c r="P9" s="315" t="str">
        <f t="shared" si="0"/>
        <v>非対象</v>
      </c>
      <c r="Q9" s="315" t="str">
        <f t="shared" si="1"/>
        <v>非対象</v>
      </c>
      <c r="R9" s="315" t="str">
        <f t="shared" si="2"/>
        <v>非対象</v>
      </c>
      <c r="S9" s="315" t="str">
        <f t="shared" si="3"/>
        <v>入力</v>
      </c>
      <c r="T9" s="315" t="str">
        <f t="shared" si="4"/>
        <v>入力</v>
      </c>
      <c r="U9" s="315" t="str">
        <f t="shared" si="5"/>
        <v>入力</v>
      </c>
      <c r="V9" s="315" t="str">
        <f t="shared" si="6"/>
        <v>非対象</v>
      </c>
      <c r="W9" s="459" t="s">
        <v>10889</v>
      </c>
      <c r="X9" s="459" t="s">
        <v>10889</v>
      </c>
      <c r="Y9" s="315" t="str">
        <f t="shared" si="7"/>
        <v>入力</v>
      </c>
      <c r="Z9" s="459" t="s">
        <v>10889</v>
      </c>
      <c r="AA9" s="459" t="s">
        <v>10889</v>
      </c>
      <c r="AB9" s="315" t="str">
        <f t="shared" si="8"/>
        <v>非対象</v>
      </c>
      <c r="AC9" s="315" t="str">
        <f t="shared" si="9"/>
        <v>非対象</v>
      </c>
      <c r="AD9" s="315" t="str">
        <f t="shared" si="10"/>
        <v>非対象</v>
      </c>
      <c r="AE9" s="315" t="str">
        <f t="shared" si="11"/>
        <v>入力</v>
      </c>
      <c r="AF9" s="315" t="str">
        <f t="shared" si="12"/>
        <v>入力</v>
      </c>
      <c r="AG9" s="315" t="str">
        <f t="shared" si="13"/>
        <v>入力</v>
      </c>
    </row>
    <row r="10" spans="1:37" ht="18" customHeight="1">
      <c r="A10" s="493">
        <f t="shared" si="14"/>
        <v>7</v>
      </c>
      <c r="B10" s="494" t="s">
        <v>10059</v>
      </c>
      <c r="C10" s="494" t="s">
        <v>10070</v>
      </c>
      <c r="D10" s="481" t="s">
        <v>10059</v>
      </c>
      <c r="E10" s="315" t="s">
        <v>10059</v>
      </c>
      <c r="F10" s="489" t="s">
        <v>10059</v>
      </c>
      <c r="G10" s="481" t="s">
        <v>10059</v>
      </c>
      <c r="H10" s="315" t="s">
        <v>10059</v>
      </c>
      <c r="I10" s="489" t="s">
        <v>10059</v>
      </c>
      <c r="J10" s="481"/>
      <c r="K10" s="489" t="s">
        <v>10059</v>
      </c>
      <c r="L10" s="480" t="s">
        <v>10073</v>
      </c>
      <c r="M10" s="314" t="s">
        <v>10052</v>
      </c>
      <c r="N10" s="457" t="str">
        <f>IF(shinsei_ISSUE_DATE="","交付日が未入力です","")</f>
        <v>交付日が未入力です</v>
      </c>
      <c r="O10" s="458" t="str">
        <f>cst_shinsei_ISSUE_DATE</f>
        <v/>
      </c>
      <c r="P10" s="315" t="str">
        <f t="shared" si="0"/>
        <v>非対象</v>
      </c>
      <c r="Q10" s="315" t="str">
        <f t="shared" si="1"/>
        <v>非対象</v>
      </c>
      <c r="R10" s="315" t="str">
        <f t="shared" si="2"/>
        <v>非対象</v>
      </c>
      <c r="S10" s="315" t="str">
        <f t="shared" si="3"/>
        <v>入力</v>
      </c>
      <c r="T10" s="315" t="str">
        <f t="shared" si="4"/>
        <v>入力</v>
      </c>
      <c r="U10" s="315" t="str">
        <f t="shared" si="5"/>
        <v>入力</v>
      </c>
      <c r="V10" s="315" t="str">
        <f t="shared" si="6"/>
        <v>非対象</v>
      </c>
      <c r="W10" s="459" t="s">
        <v>10890</v>
      </c>
      <c r="X10" s="459" t="s">
        <v>10890</v>
      </c>
      <c r="Y10" s="315" t="str">
        <f t="shared" si="7"/>
        <v>入力</v>
      </c>
      <c r="Z10" s="459" t="s">
        <v>10890</v>
      </c>
      <c r="AA10" s="459" t="s">
        <v>10890</v>
      </c>
      <c r="AB10" s="315" t="str">
        <f t="shared" si="8"/>
        <v>非対象</v>
      </c>
      <c r="AC10" s="315" t="str">
        <f t="shared" si="9"/>
        <v>非対象</v>
      </c>
      <c r="AD10" s="315" t="str">
        <f t="shared" si="10"/>
        <v>非対象</v>
      </c>
      <c r="AE10" s="315" t="str">
        <f t="shared" si="11"/>
        <v>入力</v>
      </c>
      <c r="AF10" s="315" t="str">
        <f t="shared" si="12"/>
        <v>入力</v>
      </c>
      <c r="AG10" s="315" t="str">
        <f t="shared" si="13"/>
        <v>入力</v>
      </c>
    </row>
    <row r="11" spans="1:37" ht="18" customHeight="1">
      <c r="A11" s="493">
        <f t="shared" si="14"/>
        <v>8</v>
      </c>
      <c r="B11" s="494" t="s">
        <v>10059</v>
      </c>
      <c r="C11" s="494" t="s">
        <v>10070</v>
      </c>
      <c r="D11" s="481" t="s">
        <v>10059</v>
      </c>
      <c r="E11" s="315" t="s">
        <v>10059</v>
      </c>
      <c r="F11" s="489" t="s">
        <v>10059</v>
      </c>
      <c r="G11" s="481" t="s">
        <v>10059</v>
      </c>
      <c r="H11" s="315" t="s">
        <v>10059</v>
      </c>
      <c r="I11" s="489" t="s">
        <v>10059</v>
      </c>
      <c r="J11" s="481"/>
      <c r="K11" s="489" t="s">
        <v>10059</v>
      </c>
      <c r="L11" s="480" t="s">
        <v>10073</v>
      </c>
      <c r="M11" s="314" t="s">
        <v>10053</v>
      </c>
      <c r="N11" s="457" t="str">
        <f>IF(cst_shinsei_xy_REPORT_DATE="","報告日が未入力です","")</f>
        <v>報告日が未入力です</v>
      </c>
      <c r="O11" s="458" t="str">
        <f>cst_shinsei_xy_REPORT_DATE</f>
        <v/>
      </c>
      <c r="P11" s="315" t="str">
        <f t="shared" si="0"/>
        <v>非対象</v>
      </c>
      <c r="Q11" s="315" t="str">
        <f t="shared" si="1"/>
        <v>非対象</v>
      </c>
      <c r="R11" s="315" t="str">
        <f t="shared" si="2"/>
        <v>非対象</v>
      </c>
      <c r="S11" s="315" t="str">
        <f t="shared" si="3"/>
        <v>入力</v>
      </c>
      <c r="T11" s="315" t="str">
        <f t="shared" si="4"/>
        <v>入力</v>
      </c>
      <c r="U11" s="315" t="str">
        <f t="shared" si="5"/>
        <v>入力</v>
      </c>
      <c r="V11" s="315" t="str">
        <f t="shared" si="6"/>
        <v>非対象</v>
      </c>
      <c r="W11" s="459" t="s">
        <v>10890</v>
      </c>
      <c r="X11" s="459" t="s">
        <v>10890</v>
      </c>
      <c r="Y11" s="315" t="str">
        <f t="shared" si="7"/>
        <v>入力</v>
      </c>
      <c r="Z11" s="459" t="s">
        <v>10890</v>
      </c>
      <c r="AA11" s="459" t="s">
        <v>10890</v>
      </c>
      <c r="AB11" s="315" t="str">
        <f t="shared" si="8"/>
        <v>非対象</v>
      </c>
      <c r="AC11" s="315" t="str">
        <f t="shared" si="9"/>
        <v>非対象</v>
      </c>
      <c r="AD11" s="315" t="str">
        <f t="shared" si="10"/>
        <v>非対象</v>
      </c>
      <c r="AE11" s="315" t="str">
        <f t="shared" si="11"/>
        <v>入力</v>
      </c>
      <c r="AF11" s="315" t="str">
        <f t="shared" si="12"/>
        <v>入力</v>
      </c>
      <c r="AG11" s="315" t="str">
        <f t="shared" si="13"/>
        <v>入力</v>
      </c>
    </row>
    <row r="12" spans="1:37" ht="18" customHeight="1">
      <c r="A12" s="493">
        <f t="shared" si="14"/>
        <v>9</v>
      </c>
      <c r="B12" s="494" t="s">
        <v>10059</v>
      </c>
      <c r="C12" s="494" t="s">
        <v>10068</v>
      </c>
      <c r="D12" s="481" t="s">
        <v>10059</v>
      </c>
      <c r="E12" s="315" t="s">
        <v>10059</v>
      </c>
      <c r="F12" s="489" t="s">
        <v>10059</v>
      </c>
      <c r="G12" s="481" t="s">
        <v>10059</v>
      </c>
      <c r="H12" s="315" t="s">
        <v>10059</v>
      </c>
      <c r="I12" s="489" t="s">
        <v>10059</v>
      </c>
      <c r="J12" s="481"/>
      <c r="K12" s="489" t="s">
        <v>10059</v>
      </c>
      <c r="L12" s="480" t="s">
        <v>10073</v>
      </c>
      <c r="M12" s="314" t="s">
        <v>10891</v>
      </c>
      <c r="N12" s="457" t="str">
        <f>IF(city_ken="",IF(city_city="","住所チェックの未選択 （都道府県・市区町村）","住所チェックの未選択 （都道府県）"),IF(city_city="","住所チェックの未選択 (市区町村)",""))</f>
        <v/>
      </c>
      <c r="O12" s="460"/>
      <c r="P12" s="315" t="str">
        <f t="shared" si="0"/>
        <v>非対象</v>
      </c>
      <c r="Q12" s="315" t="str">
        <f t="shared" si="1"/>
        <v>非対象</v>
      </c>
      <c r="R12" s="315" t="str">
        <f t="shared" si="2"/>
        <v>非対象</v>
      </c>
      <c r="S12" s="315" t="str">
        <f t="shared" si="3"/>
        <v/>
      </c>
      <c r="T12" s="315" t="str">
        <f t="shared" si="4"/>
        <v/>
      </c>
      <c r="U12" s="315" t="str">
        <f t="shared" si="5"/>
        <v/>
      </c>
      <c r="V12" s="315" t="str">
        <f t="shared" si="6"/>
        <v>非対象</v>
      </c>
      <c r="W12" s="459" t="s">
        <v>10889</v>
      </c>
      <c r="X12" s="459" t="s">
        <v>10889</v>
      </c>
      <c r="Y12" s="315" t="str">
        <f t="shared" si="7"/>
        <v/>
      </c>
      <c r="Z12" s="459" t="s">
        <v>10889</v>
      </c>
      <c r="AA12" s="459" t="s">
        <v>10889</v>
      </c>
      <c r="AB12" s="315" t="str">
        <f t="shared" si="8"/>
        <v>非対象</v>
      </c>
      <c r="AC12" s="315" t="str">
        <f t="shared" si="9"/>
        <v>非対象</v>
      </c>
      <c r="AD12" s="315" t="str">
        <f t="shared" si="10"/>
        <v>非対象</v>
      </c>
      <c r="AE12" s="315" t="str">
        <f t="shared" si="11"/>
        <v/>
      </c>
      <c r="AF12" s="315" t="str">
        <f t="shared" si="12"/>
        <v/>
      </c>
      <c r="AG12" s="315" t="str">
        <f t="shared" si="13"/>
        <v/>
      </c>
    </row>
    <row r="13" spans="1:37" ht="18" customHeight="1">
      <c r="A13" s="493">
        <f t="shared" si="14"/>
        <v>10</v>
      </c>
      <c r="B13" s="494" t="s">
        <v>10059</v>
      </c>
      <c r="C13" s="494" t="s">
        <v>10070</v>
      </c>
      <c r="D13" s="481" t="s">
        <v>10059</v>
      </c>
      <c r="E13" s="315"/>
      <c r="F13" s="489"/>
      <c r="G13" s="481" t="s">
        <v>10059</v>
      </c>
      <c r="H13" s="315"/>
      <c r="I13" s="489"/>
      <c r="J13" s="481"/>
      <c r="K13" s="489" t="s">
        <v>10059</v>
      </c>
      <c r="L13" s="480" t="s">
        <v>10073</v>
      </c>
      <c r="M13" s="314" t="s">
        <v>10819</v>
      </c>
      <c r="N13" s="457" t="str">
        <f>IF(AND(shinsei_UNIT_COUNT="",OR(shinsei_build_YOUTO_CODE="08020",shinsei_build_YOUTO_CODE="08030")),"共同住宅、長屋の個数が入力されていません（統計報告の為必須）","")</f>
        <v/>
      </c>
      <c r="O13" s="460" t="str">
        <f>cst_shinsei_UNIT_COUNT</f>
        <v/>
      </c>
      <c r="P13" s="315" t="str">
        <f t="shared" si="0"/>
        <v>非対象</v>
      </c>
      <c r="Q13" s="315" t="str">
        <f t="shared" si="1"/>
        <v>非対象</v>
      </c>
      <c r="R13" s="315" t="str">
        <f t="shared" si="2"/>
        <v>非対象</v>
      </c>
      <c r="S13" s="315" t="str">
        <f t="shared" si="3"/>
        <v/>
      </c>
      <c r="T13" s="315" t="str">
        <f t="shared" si="4"/>
        <v>非対象</v>
      </c>
      <c r="U13" s="315" t="str">
        <f t="shared" si="5"/>
        <v>非対象</v>
      </c>
      <c r="V13" s="315" t="str">
        <f t="shared" si="6"/>
        <v>非対象</v>
      </c>
      <c r="W13" s="459" t="s">
        <v>10889</v>
      </c>
      <c r="X13" s="459" t="s">
        <v>10889</v>
      </c>
      <c r="Y13" s="315" t="str">
        <f t="shared" si="7"/>
        <v>非対象</v>
      </c>
      <c r="Z13" s="459" t="s">
        <v>10889</v>
      </c>
      <c r="AA13" s="459" t="s">
        <v>10889</v>
      </c>
      <c r="AB13" s="315" t="str">
        <f t="shared" si="8"/>
        <v>非対象</v>
      </c>
      <c r="AC13" s="315" t="str">
        <f t="shared" si="9"/>
        <v>非対象</v>
      </c>
      <c r="AD13" s="315" t="str">
        <f t="shared" si="10"/>
        <v>非対象</v>
      </c>
      <c r="AE13" s="315" t="str">
        <f t="shared" si="11"/>
        <v>非対象</v>
      </c>
      <c r="AF13" s="315" t="str">
        <f t="shared" si="12"/>
        <v>非対象</v>
      </c>
      <c r="AG13" s="315" t="str">
        <f t="shared" si="13"/>
        <v>非対象</v>
      </c>
    </row>
    <row r="14" spans="1:37" ht="18" customHeight="1">
      <c r="A14" s="493">
        <f t="shared" si="14"/>
        <v>11</v>
      </c>
      <c r="B14" s="494" t="s">
        <v>10059</v>
      </c>
      <c r="C14" s="494" t="s">
        <v>10070</v>
      </c>
      <c r="D14" s="481" t="s">
        <v>10059</v>
      </c>
      <c r="E14" s="315"/>
      <c r="F14" s="489"/>
      <c r="G14" s="481" t="s">
        <v>10059</v>
      </c>
      <c r="H14" s="315"/>
      <c r="I14" s="489"/>
      <c r="J14" s="481"/>
      <c r="K14" s="489" t="s">
        <v>10059</v>
      </c>
      <c r="L14" s="480" t="s">
        <v>10073</v>
      </c>
      <c r="M14" s="314" t="s">
        <v>10820</v>
      </c>
      <c r="N14" s="457" t="str">
        <f>IF(shinsei_build_STAT_KOUHOU="","工法が選択されていません（統計報告の為必須）","")</f>
        <v>工法が選択されていません（統計報告の為必須）</v>
      </c>
      <c r="O14" s="460" t="str">
        <f>cst_shinsei_build_STAT_KOUHOU</f>
        <v/>
      </c>
      <c r="P14" s="315" t="str">
        <f t="shared" si="0"/>
        <v>非対象</v>
      </c>
      <c r="Q14" s="315" t="str">
        <f t="shared" si="1"/>
        <v>非対象</v>
      </c>
      <c r="R14" s="315" t="str">
        <f t="shared" si="2"/>
        <v>非対象</v>
      </c>
      <c r="S14" s="315" t="str">
        <f t="shared" si="3"/>
        <v>入力</v>
      </c>
      <c r="T14" s="315" t="str">
        <f t="shared" si="4"/>
        <v>非対象</v>
      </c>
      <c r="U14" s="315" t="str">
        <f t="shared" si="5"/>
        <v>非対象</v>
      </c>
      <c r="V14" s="315" t="str">
        <f t="shared" si="6"/>
        <v>非対象</v>
      </c>
      <c r="W14" s="459" t="s">
        <v>10889</v>
      </c>
      <c r="X14" s="459" t="s">
        <v>10889</v>
      </c>
      <c r="Y14" s="315" t="str">
        <f t="shared" si="7"/>
        <v>非対象</v>
      </c>
      <c r="Z14" s="459" t="s">
        <v>10889</v>
      </c>
      <c r="AA14" s="459" t="s">
        <v>10889</v>
      </c>
      <c r="AB14" s="315" t="str">
        <f t="shared" si="8"/>
        <v>非対象</v>
      </c>
      <c r="AC14" s="315" t="str">
        <f t="shared" si="9"/>
        <v>非対象</v>
      </c>
      <c r="AD14" s="315" t="str">
        <f t="shared" si="10"/>
        <v>非対象</v>
      </c>
      <c r="AE14" s="315" t="str">
        <f t="shared" si="11"/>
        <v>非対象</v>
      </c>
      <c r="AF14" s="315" t="str">
        <f t="shared" si="12"/>
        <v>非対象</v>
      </c>
      <c r="AG14" s="315" t="str">
        <f t="shared" si="13"/>
        <v>非対象</v>
      </c>
    </row>
    <row r="15" spans="1:37" ht="18" customHeight="1">
      <c r="A15" s="493">
        <f t="shared" si="14"/>
        <v>12</v>
      </c>
      <c r="B15" s="494" t="s">
        <v>10059</v>
      </c>
      <c r="C15" s="494" t="s">
        <v>10068</v>
      </c>
      <c r="D15" s="481" t="s">
        <v>10059</v>
      </c>
      <c r="E15" s="315" t="s">
        <v>10059</v>
      </c>
      <c r="F15" s="489" t="s">
        <v>10059</v>
      </c>
      <c r="G15" s="481" t="s">
        <v>10059</v>
      </c>
      <c r="H15" s="315" t="s">
        <v>10059</v>
      </c>
      <c r="I15" s="489" t="s">
        <v>10059</v>
      </c>
      <c r="J15" s="481" t="s">
        <v>10059</v>
      </c>
      <c r="K15" s="489"/>
      <c r="L15" s="480" t="s">
        <v>10073</v>
      </c>
      <c r="M15" s="431" t="s">
        <v>10892</v>
      </c>
      <c r="N15" s="457" t="str">
        <f>IF(shinsei_CHARGE_ID__BILL_TYPE="","取引区分が入力されていません","")</f>
        <v>取引区分が入力されていません</v>
      </c>
      <c r="O15" s="460"/>
      <c r="P15" s="315" t="str">
        <f t="shared" si="0"/>
        <v>エラー</v>
      </c>
      <c r="Q15" s="315" t="str">
        <f t="shared" si="1"/>
        <v>エラー</v>
      </c>
      <c r="R15" s="315" t="str">
        <f t="shared" si="2"/>
        <v>エラー</v>
      </c>
      <c r="S15" s="315" t="str">
        <f t="shared" si="3"/>
        <v>非対象</v>
      </c>
      <c r="T15" s="315" t="str">
        <f t="shared" si="4"/>
        <v>非対象</v>
      </c>
      <c r="U15" s="315" t="str">
        <f t="shared" si="5"/>
        <v>非対象</v>
      </c>
      <c r="V15" s="315" t="str">
        <f t="shared" si="6"/>
        <v>エラー</v>
      </c>
      <c r="W15" s="459" t="s">
        <v>10889</v>
      </c>
      <c r="X15" s="459" t="s">
        <v>10889</v>
      </c>
      <c r="Y15" s="315" t="str">
        <f t="shared" si="7"/>
        <v>非対象</v>
      </c>
      <c r="Z15" s="459" t="s">
        <v>10889</v>
      </c>
      <c r="AA15" s="459" t="s">
        <v>10889</v>
      </c>
      <c r="AB15" s="315" t="str">
        <f t="shared" si="8"/>
        <v>エラー</v>
      </c>
      <c r="AC15" s="315" t="str">
        <f t="shared" si="9"/>
        <v>エラー</v>
      </c>
      <c r="AD15" s="315" t="str">
        <f t="shared" si="10"/>
        <v>エラー</v>
      </c>
      <c r="AE15" s="315" t="str">
        <f t="shared" si="11"/>
        <v>非対象</v>
      </c>
      <c r="AF15" s="315" t="str">
        <f t="shared" si="12"/>
        <v>非対象</v>
      </c>
      <c r="AG15" s="315" t="str">
        <f t="shared" si="13"/>
        <v>非対象</v>
      </c>
    </row>
    <row r="16" spans="1:37" ht="18" customHeight="1">
      <c r="A16" s="493">
        <f>ROW()-3</f>
        <v>13</v>
      </c>
      <c r="B16" s="494" t="s">
        <v>10059</v>
      </c>
      <c r="C16" s="494" t="s">
        <v>10068</v>
      </c>
      <c r="D16" s="481" t="s">
        <v>10059</v>
      </c>
      <c r="E16" s="315" t="s">
        <v>10059</v>
      </c>
      <c r="F16" s="489" t="s">
        <v>10059</v>
      </c>
      <c r="G16" s="481" t="s">
        <v>10059</v>
      </c>
      <c r="H16" s="315" t="s">
        <v>10059</v>
      </c>
      <c r="I16" s="489" t="s">
        <v>10059</v>
      </c>
      <c r="J16" s="481" t="s">
        <v>10059</v>
      </c>
      <c r="K16" s="489"/>
      <c r="L16" s="480" t="s">
        <v>10073</v>
      </c>
      <c r="M16" s="431" t="s">
        <v>2063</v>
      </c>
      <c r="N16" s="457" t="str">
        <f>IF(shinsei_CHARGE_ID__BASE_DATE="","請求発生日が入力されていません","")</f>
        <v/>
      </c>
      <c r="O16" s="458">
        <f>cst_shinsei_CHARGE_ID__BASE_DATE</f>
        <v>44258</v>
      </c>
      <c r="P16" s="315" t="str">
        <f t="shared" si="0"/>
        <v/>
      </c>
      <c r="Q16" s="315" t="str">
        <f t="shared" si="1"/>
        <v/>
      </c>
      <c r="R16" s="315" t="str">
        <f t="shared" si="2"/>
        <v/>
      </c>
      <c r="S16" s="315" t="str">
        <f t="shared" si="3"/>
        <v>非対象</v>
      </c>
      <c r="T16" s="315" t="str">
        <f t="shared" si="4"/>
        <v>非対象</v>
      </c>
      <c r="U16" s="315" t="str">
        <f t="shared" si="5"/>
        <v>非対象</v>
      </c>
      <c r="V16" s="315" t="str">
        <f t="shared" si="6"/>
        <v/>
      </c>
      <c r="W16" s="459" t="s">
        <v>10889</v>
      </c>
      <c r="X16" s="459" t="s">
        <v>10889</v>
      </c>
      <c r="Y16" s="315" t="str">
        <f t="shared" si="7"/>
        <v>非対象</v>
      </c>
      <c r="Z16" s="459" t="s">
        <v>10889</v>
      </c>
      <c r="AA16" s="459" t="s">
        <v>10889</v>
      </c>
      <c r="AB16" s="315" t="str">
        <f t="shared" si="8"/>
        <v/>
      </c>
      <c r="AC16" s="315" t="str">
        <f t="shared" si="9"/>
        <v/>
      </c>
      <c r="AD16" s="315" t="str">
        <f t="shared" si="10"/>
        <v/>
      </c>
      <c r="AE16" s="315" t="str">
        <f t="shared" si="11"/>
        <v>非対象</v>
      </c>
      <c r="AF16" s="315" t="str">
        <f t="shared" si="12"/>
        <v>非対象</v>
      </c>
      <c r="AG16" s="315" t="str">
        <f t="shared" si="13"/>
        <v>非対象</v>
      </c>
    </row>
    <row r="17" spans="1:33" ht="18" customHeight="1">
      <c r="A17" s="493">
        <f t="shared" si="14"/>
        <v>14</v>
      </c>
      <c r="B17" s="494" t="s">
        <v>10893</v>
      </c>
      <c r="C17" s="494" t="s">
        <v>10068</v>
      </c>
      <c r="D17" s="481" t="s">
        <v>10059</v>
      </c>
      <c r="E17" s="315" t="s">
        <v>10059</v>
      </c>
      <c r="F17" s="489" t="s">
        <v>10059</v>
      </c>
      <c r="G17" s="481" t="s">
        <v>10059</v>
      </c>
      <c r="H17" s="315" t="s">
        <v>10059</v>
      </c>
      <c r="I17" s="489" t="s">
        <v>10059</v>
      </c>
      <c r="J17" s="481" t="s">
        <v>10059</v>
      </c>
      <c r="K17" s="489"/>
      <c r="L17" s="480" t="s">
        <v>10073</v>
      </c>
      <c r="M17" s="431" t="s">
        <v>10894</v>
      </c>
      <c r="N17" s="457" t="str">
        <f>IF(shinsei_CHARGE_ID__DENPYOU_NO="","領収書No.が入力されていません","")</f>
        <v>領収書No.が入力されていません</v>
      </c>
      <c r="O17" s="460"/>
      <c r="P17" s="315" t="str">
        <f t="shared" si="0"/>
        <v>未使用</v>
      </c>
      <c r="Q17" s="315" t="str">
        <f t="shared" si="1"/>
        <v>未使用</v>
      </c>
      <c r="R17" s="315" t="str">
        <f t="shared" si="2"/>
        <v>未使用</v>
      </c>
      <c r="S17" s="315" t="str">
        <f t="shared" si="3"/>
        <v>未使用</v>
      </c>
      <c r="T17" s="315" t="str">
        <f t="shared" si="4"/>
        <v>未使用</v>
      </c>
      <c r="U17" s="315" t="str">
        <f t="shared" si="5"/>
        <v>未使用</v>
      </c>
      <c r="V17" s="315" t="str">
        <f t="shared" si="6"/>
        <v>未使用</v>
      </c>
      <c r="W17" s="459" t="s">
        <v>10889</v>
      </c>
      <c r="X17" s="459" t="s">
        <v>10889</v>
      </c>
      <c r="Y17" s="315" t="str">
        <f t="shared" si="7"/>
        <v>未使用</v>
      </c>
      <c r="Z17" s="459" t="s">
        <v>10889</v>
      </c>
      <c r="AA17" s="459" t="s">
        <v>10889</v>
      </c>
      <c r="AB17" s="315" t="str">
        <f t="shared" si="8"/>
        <v>未使用</v>
      </c>
      <c r="AC17" s="315" t="str">
        <f t="shared" si="9"/>
        <v>未使用</v>
      </c>
      <c r="AD17" s="315" t="str">
        <f t="shared" si="10"/>
        <v>未使用</v>
      </c>
      <c r="AE17" s="315" t="str">
        <f t="shared" si="11"/>
        <v>未使用</v>
      </c>
      <c r="AF17" s="315" t="str">
        <f t="shared" si="12"/>
        <v>未使用</v>
      </c>
      <c r="AG17" s="315" t="str">
        <f t="shared" si="13"/>
        <v>未使用</v>
      </c>
    </row>
    <row r="18" spans="1:33" ht="18" customHeight="1">
      <c r="A18" s="493">
        <f t="shared" si="14"/>
        <v>15</v>
      </c>
      <c r="B18" s="494" t="s">
        <v>10059</v>
      </c>
      <c r="C18" s="494" t="s">
        <v>10070</v>
      </c>
      <c r="D18" s="481" t="s">
        <v>10059</v>
      </c>
      <c r="E18" s="315" t="s">
        <v>10059</v>
      </c>
      <c r="F18" s="489" t="s">
        <v>10059</v>
      </c>
      <c r="G18" s="481" t="s">
        <v>10059</v>
      </c>
      <c r="H18" s="315" t="s">
        <v>10059</v>
      </c>
      <c r="I18" s="489" t="s">
        <v>10059</v>
      </c>
      <c r="J18" s="481" t="s">
        <v>10059</v>
      </c>
      <c r="K18" s="489" t="s">
        <v>10059</v>
      </c>
      <c r="L18" s="480" t="s">
        <v>10073</v>
      </c>
      <c r="M18" s="313" t="s">
        <v>10042</v>
      </c>
      <c r="N18" s="457" t="str">
        <f>IF(cst_owner_all__space="","建築主が未入力です","")</f>
        <v/>
      </c>
      <c r="O18" s="460" t="str">
        <f>cst_owner_all__space</f>
        <v>フジ住宅株式会社  代表取締役社長  宮脇　宣綱</v>
      </c>
      <c r="P18" s="315" t="str">
        <f t="shared" si="0"/>
        <v/>
      </c>
      <c r="Q18" s="315" t="str">
        <f t="shared" si="1"/>
        <v/>
      </c>
      <c r="R18" s="315" t="str">
        <f t="shared" si="2"/>
        <v/>
      </c>
      <c r="S18" s="315" t="str">
        <f t="shared" si="3"/>
        <v/>
      </c>
      <c r="T18" s="315" t="str">
        <f t="shared" si="4"/>
        <v/>
      </c>
      <c r="U18" s="315" t="str">
        <f t="shared" si="5"/>
        <v/>
      </c>
      <c r="V18" s="315" t="str">
        <f t="shared" si="6"/>
        <v/>
      </c>
      <c r="W18" s="459" t="s">
        <v>10889</v>
      </c>
      <c r="X18" s="459" t="s">
        <v>10889</v>
      </c>
      <c r="Y18" s="315" t="str">
        <f t="shared" si="7"/>
        <v/>
      </c>
      <c r="Z18" s="459" t="s">
        <v>10889</v>
      </c>
      <c r="AA18" s="459" t="s">
        <v>10889</v>
      </c>
      <c r="AB18" s="315" t="str">
        <f t="shared" si="8"/>
        <v/>
      </c>
      <c r="AC18" s="315" t="str">
        <f t="shared" si="9"/>
        <v/>
      </c>
      <c r="AD18" s="315" t="str">
        <f t="shared" si="10"/>
        <v/>
      </c>
      <c r="AE18" s="315" t="str">
        <f t="shared" si="11"/>
        <v/>
      </c>
      <c r="AF18" s="315" t="str">
        <f t="shared" si="12"/>
        <v/>
      </c>
      <c r="AG18" s="315" t="str">
        <f t="shared" si="13"/>
        <v/>
      </c>
    </row>
    <row r="19" spans="1:33" ht="18" customHeight="1">
      <c r="A19" s="493">
        <f t="shared" si="14"/>
        <v>16</v>
      </c>
      <c r="B19" s="494" t="s">
        <v>10059</v>
      </c>
      <c r="C19" s="494" t="s">
        <v>10068</v>
      </c>
      <c r="D19" s="481" t="s">
        <v>10059</v>
      </c>
      <c r="E19" s="315" t="s">
        <v>10059</v>
      </c>
      <c r="F19" s="489" t="s">
        <v>10059</v>
      </c>
      <c r="G19" s="481"/>
      <c r="H19" s="315" t="s">
        <v>10059</v>
      </c>
      <c r="I19" s="489" t="s">
        <v>10059</v>
      </c>
      <c r="J19" s="481"/>
      <c r="K19" s="489" t="s">
        <v>10059</v>
      </c>
      <c r="L19" s="480" t="s">
        <v>10912</v>
      </c>
      <c r="M19" s="317" t="s">
        <v>10837</v>
      </c>
      <c r="N19" s="457" t="str">
        <f>IF(cst_shinsei_SEKOU_ADDRESS="","施工者未定です","")</f>
        <v/>
      </c>
      <c r="O19" s="460"/>
      <c r="P19" s="315" t="str">
        <f t="shared" si="0"/>
        <v>非対象</v>
      </c>
      <c r="Q19" s="315" t="str">
        <f t="shared" si="1"/>
        <v>非対象</v>
      </c>
      <c r="R19" s="315" t="str">
        <f t="shared" si="2"/>
        <v>非対象</v>
      </c>
      <c r="S19" s="315" t="str">
        <f t="shared" si="3"/>
        <v>非対象</v>
      </c>
      <c r="T19" s="315" t="str">
        <f t="shared" si="4"/>
        <v>非対象</v>
      </c>
      <c r="U19" s="315" t="str">
        <f t="shared" si="5"/>
        <v>非対象</v>
      </c>
      <c r="V19" s="315" t="str">
        <f t="shared" si="6"/>
        <v>非対象</v>
      </c>
      <c r="W19" s="459" t="s">
        <v>10889</v>
      </c>
      <c r="X19" s="459" t="s">
        <v>10889</v>
      </c>
      <c r="Y19" s="315" t="str">
        <f t="shared" si="7"/>
        <v/>
      </c>
      <c r="Z19" s="459" t="s">
        <v>10889</v>
      </c>
      <c r="AA19" s="459" t="s">
        <v>10889</v>
      </c>
      <c r="AB19" s="315" t="str">
        <f t="shared" si="8"/>
        <v>非対象</v>
      </c>
      <c r="AC19" s="315" t="str">
        <f t="shared" si="9"/>
        <v>非対象</v>
      </c>
      <c r="AD19" s="315" t="str">
        <f t="shared" si="10"/>
        <v>非対象</v>
      </c>
      <c r="AE19" s="315" t="str">
        <f t="shared" si="11"/>
        <v/>
      </c>
      <c r="AF19" s="315" t="str">
        <f t="shared" si="12"/>
        <v/>
      </c>
      <c r="AG19" s="315" t="str">
        <f t="shared" si="13"/>
        <v/>
      </c>
    </row>
    <row r="20" spans="1:33" ht="18" customHeight="1">
      <c r="A20" s="493">
        <f t="shared" si="14"/>
        <v>17</v>
      </c>
      <c r="B20" s="494" t="s">
        <v>10059</v>
      </c>
      <c r="C20" s="494" t="s">
        <v>10070</v>
      </c>
      <c r="D20" s="481" t="s">
        <v>10059</v>
      </c>
      <c r="E20" s="315" t="s">
        <v>10059</v>
      </c>
      <c r="F20" s="489" t="s">
        <v>10059</v>
      </c>
      <c r="G20" s="481" t="s">
        <v>10059</v>
      </c>
      <c r="H20" s="315" t="s">
        <v>10059</v>
      </c>
      <c r="I20" s="489" t="s">
        <v>10059</v>
      </c>
      <c r="J20" s="481"/>
      <c r="K20" s="489" t="s">
        <v>10059</v>
      </c>
      <c r="L20" s="480" t="s">
        <v>10073</v>
      </c>
      <c r="M20" s="313" t="s">
        <v>10888</v>
      </c>
      <c r="N20" s="457" t="str">
        <f>IF(cst_shinsei_KENSAIN="","確認・検査を行った確認検査員が未入力です","")</f>
        <v>確認・検査を行った確認検査員が未入力です</v>
      </c>
      <c r="O20" s="313" t="str">
        <f>cst_shinsei_KENSAIN</f>
        <v/>
      </c>
      <c r="P20" s="315" t="str">
        <f t="shared" si="0"/>
        <v>非対象</v>
      </c>
      <c r="Q20" s="315" t="str">
        <f t="shared" si="1"/>
        <v>非対象</v>
      </c>
      <c r="R20" s="315" t="str">
        <f t="shared" si="2"/>
        <v>非対象</v>
      </c>
      <c r="S20" s="315" t="str">
        <f t="shared" si="3"/>
        <v>入力</v>
      </c>
      <c r="T20" s="315" t="str">
        <f t="shared" si="4"/>
        <v>入力</v>
      </c>
      <c r="U20" s="315" t="str">
        <f t="shared" si="5"/>
        <v>入力</v>
      </c>
      <c r="V20" s="315" t="str">
        <f t="shared" si="6"/>
        <v>非対象</v>
      </c>
      <c r="W20" s="459" t="s">
        <v>10889</v>
      </c>
      <c r="X20" s="459" t="s">
        <v>10889</v>
      </c>
      <c r="Y20" s="315" t="str">
        <f t="shared" si="7"/>
        <v>入力</v>
      </c>
      <c r="Z20" s="459" t="s">
        <v>10889</v>
      </c>
      <c r="AA20" s="459" t="s">
        <v>10889</v>
      </c>
      <c r="AB20" s="315" t="str">
        <f t="shared" si="8"/>
        <v>非対象</v>
      </c>
      <c r="AC20" s="315" t="str">
        <f t="shared" si="9"/>
        <v>非対象</v>
      </c>
      <c r="AD20" s="315" t="str">
        <f t="shared" si="10"/>
        <v>非対象</v>
      </c>
      <c r="AE20" s="315" t="str">
        <f t="shared" si="11"/>
        <v>入力</v>
      </c>
      <c r="AF20" s="315" t="str">
        <f t="shared" si="12"/>
        <v>入力</v>
      </c>
      <c r="AG20" s="315" t="str">
        <f t="shared" si="13"/>
        <v>入力</v>
      </c>
    </row>
    <row r="21" spans="1:33" ht="18" customHeight="1">
      <c r="A21" s="493">
        <f t="shared" si="14"/>
        <v>18</v>
      </c>
      <c r="B21" s="494" t="s">
        <v>10059</v>
      </c>
      <c r="C21" s="494" t="s">
        <v>10070</v>
      </c>
      <c r="D21" s="481" t="s">
        <v>10059</v>
      </c>
      <c r="E21" s="315"/>
      <c r="F21" s="489"/>
      <c r="G21" s="481"/>
      <c r="H21" s="315" t="s">
        <v>10059</v>
      </c>
      <c r="I21" s="489"/>
      <c r="J21" s="481"/>
      <c r="K21" s="489" t="s">
        <v>10059</v>
      </c>
      <c r="L21" s="480" t="s">
        <v>10073</v>
      </c>
      <c r="M21" s="317" t="s">
        <v>10886</v>
      </c>
      <c r="N21" s="457" t="str">
        <f>IF(shinsei_intermediate_GOUKAKU_KENSAIN="","検査員が入力されていません","")</f>
        <v>検査員が入力されていません</v>
      </c>
      <c r="O21" s="460"/>
      <c r="P21" s="315" t="str">
        <f t="shared" si="0"/>
        <v>非対象</v>
      </c>
      <c r="Q21" s="315" t="str">
        <f t="shared" si="1"/>
        <v>非対象</v>
      </c>
      <c r="R21" s="315" t="str">
        <f t="shared" si="2"/>
        <v>非対象</v>
      </c>
      <c r="S21" s="315" t="str">
        <f t="shared" si="3"/>
        <v>非対象</v>
      </c>
      <c r="T21" s="315" t="str">
        <f t="shared" si="4"/>
        <v>非対象</v>
      </c>
      <c r="U21" s="315" t="str">
        <f t="shared" si="5"/>
        <v>非対象</v>
      </c>
      <c r="V21" s="315" t="str">
        <f t="shared" si="6"/>
        <v>非対象</v>
      </c>
      <c r="W21" s="459" t="s">
        <v>10889</v>
      </c>
      <c r="X21" s="459" t="s">
        <v>10889</v>
      </c>
      <c r="Y21" s="315" t="str">
        <f t="shared" si="7"/>
        <v>入力</v>
      </c>
      <c r="Z21" s="459" t="s">
        <v>10889</v>
      </c>
      <c r="AA21" s="459" t="s">
        <v>10889</v>
      </c>
      <c r="AB21" s="315" t="str">
        <f t="shared" si="8"/>
        <v>非対象</v>
      </c>
      <c r="AC21" s="315" t="str">
        <f t="shared" si="9"/>
        <v>非対象</v>
      </c>
      <c r="AD21" s="315" t="str">
        <f t="shared" si="10"/>
        <v>非対象</v>
      </c>
      <c r="AE21" s="315" t="str">
        <f t="shared" si="11"/>
        <v>非対象</v>
      </c>
      <c r="AF21" s="315" t="str">
        <f t="shared" si="12"/>
        <v>非対象</v>
      </c>
      <c r="AG21" s="315" t="str">
        <f t="shared" si="13"/>
        <v>非対象</v>
      </c>
    </row>
    <row r="22" spans="1:33" ht="18" customHeight="1">
      <c r="A22" s="493">
        <f t="shared" si="14"/>
        <v>19</v>
      </c>
      <c r="B22" s="494" t="s">
        <v>10059</v>
      </c>
      <c r="C22" s="494" t="s">
        <v>10070</v>
      </c>
      <c r="D22" s="481" t="s">
        <v>10059</v>
      </c>
      <c r="E22" s="315" t="s">
        <v>10059</v>
      </c>
      <c r="F22" s="489" t="s">
        <v>10059</v>
      </c>
      <c r="G22" s="481"/>
      <c r="H22" s="315"/>
      <c r="I22" s="489" t="s">
        <v>10059</v>
      </c>
      <c r="J22" s="481"/>
      <c r="K22" s="489" t="s">
        <v>10059</v>
      </c>
      <c r="L22" s="480" t="s">
        <v>10073</v>
      </c>
      <c r="M22" s="317" t="s">
        <v>10887</v>
      </c>
      <c r="N22" s="457" t="str">
        <f>IF(shinsei_KAN_ZUMI_KENSAIN="","検査員が入力されていません","")</f>
        <v>検査員が入力されていません</v>
      </c>
      <c r="O22" s="460"/>
      <c r="P22" s="315" t="str">
        <f t="shared" si="0"/>
        <v>非対象</v>
      </c>
      <c r="Q22" s="315" t="str">
        <f t="shared" si="1"/>
        <v>非対象</v>
      </c>
      <c r="R22" s="315" t="str">
        <f t="shared" si="2"/>
        <v>非対象</v>
      </c>
      <c r="S22" s="315" t="str">
        <f t="shared" si="3"/>
        <v>非対象</v>
      </c>
      <c r="T22" s="315" t="str">
        <f t="shared" si="4"/>
        <v>非対象</v>
      </c>
      <c r="U22" s="315" t="str">
        <f t="shared" si="5"/>
        <v>非対象</v>
      </c>
      <c r="V22" s="315" t="str">
        <f t="shared" si="6"/>
        <v>非対象</v>
      </c>
      <c r="W22" s="459" t="s">
        <v>10889</v>
      </c>
      <c r="X22" s="459" t="s">
        <v>10889</v>
      </c>
      <c r="Y22" s="315" t="str">
        <f t="shared" si="7"/>
        <v>非対象</v>
      </c>
      <c r="Z22" s="459" t="s">
        <v>10889</v>
      </c>
      <c r="AA22" s="459" t="s">
        <v>10889</v>
      </c>
      <c r="AB22" s="315" t="str">
        <f t="shared" si="8"/>
        <v>非対象</v>
      </c>
      <c r="AC22" s="315" t="str">
        <f t="shared" si="9"/>
        <v>非対象</v>
      </c>
      <c r="AD22" s="315" t="str">
        <f t="shared" si="10"/>
        <v>非対象</v>
      </c>
      <c r="AE22" s="315" t="str">
        <f t="shared" si="11"/>
        <v>入力</v>
      </c>
      <c r="AF22" s="315" t="str">
        <f t="shared" si="12"/>
        <v>入力</v>
      </c>
      <c r="AG22" s="315" t="str">
        <f t="shared" si="13"/>
        <v>入力</v>
      </c>
    </row>
    <row r="23" spans="1:33" ht="18" customHeight="1">
      <c r="A23" s="493">
        <f t="shared" si="14"/>
        <v>20</v>
      </c>
      <c r="B23" s="494" t="s">
        <v>10059</v>
      </c>
      <c r="C23" s="494" t="s">
        <v>10070</v>
      </c>
      <c r="D23" s="481" t="s">
        <v>10059</v>
      </c>
      <c r="E23" s="315" t="s">
        <v>10059</v>
      </c>
      <c r="F23" s="489" t="s">
        <v>10059</v>
      </c>
      <c r="G23" s="481" t="s">
        <v>10059</v>
      </c>
      <c r="H23" s="315" t="s">
        <v>10059</v>
      </c>
      <c r="I23" s="489" t="s">
        <v>10059</v>
      </c>
      <c r="J23" s="481" t="s">
        <v>10059</v>
      </c>
      <c r="K23" s="489" t="s">
        <v>10059</v>
      </c>
      <c r="L23" s="480" t="s">
        <v>10073</v>
      </c>
      <c r="M23" s="313" t="s">
        <v>10043</v>
      </c>
      <c r="N23" s="457" t="str">
        <f>IF(cst_shinsei_BILL_NAME__common="","建築物名称が未入力です","")</f>
        <v/>
      </c>
      <c r="O23" s="460" t="str">
        <f>cst_shinsei_BILL_NAME__common</f>
        <v>（仮称）ブランニード河内小阪マンションギャラリー新築工事</v>
      </c>
      <c r="P23" s="315" t="str">
        <f t="shared" si="0"/>
        <v/>
      </c>
      <c r="Q23" s="315" t="str">
        <f t="shared" si="1"/>
        <v/>
      </c>
      <c r="R23" s="315" t="str">
        <f t="shared" si="2"/>
        <v/>
      </c>
      <c r="S23" s="315" t="str">
        <f t="shared" si="3"/>
        <v/>
      </c>
      <c r="T23" s="315" t="str">
        <f t="shared" si="4"/>
        <v/>
      </c>
      <c r="U23" s="315" t="str">
        <f t="shared" si="5"/>
        <v/>
      </c>
      <c r="V23" s="315" t="str">
        <f t="shared" si="6"/>
        <v/>
      </c>
      <c r="W23" s="459" t="s">
        <v>10889</v>
      </c>
      <c r="X23" s="459" t="s">
        <v>10889</v>
      </c>
      <c r="Y23" s="315" t="str">
        <f t="shared" si="7"/>
        <v/>
      </c>
      <c r="Z23" s="459" t="s">
        <v>10889</v>
      </c>
      <c r="AA23" s="459" t="s">
        <v>10889</v>
      </c>
      <c r="AB23" s="315" t="str">
        <f t="shared" si="8"/>
        <v/>
      </c>
      <c r="AC23" s="315" t="str">
        <f t="shared" si="9"/>
        <v/>
      </c>
      <c r="AD23" s="315" t="str">
        <f t="shared" si="10"/>
        <v/>
      </c>
      <c r="AE23" s="315" t="str">
        <f t="shared" si="11"/>
        <v/>
      </c>
      <c r="AF23" s="315" t="str">
        <f t="shared" si="12"/>
        <v/>
      </c>
      <c r="AG23" s="315" t="str">
        <f t="shared" si="13"/>
        <v/>
      </c>
    </row>
    <row r="24" spans="1:33" ht="18" customHeight="1">
      <c r="A24" s="493">
        <f t="shared" si="14"/>
        <v>21</v>
      </c>
      <c r="B24" s="494" t="s">
        <v>10059</v>
      </c>
      <c r="C24" s="494" t="s">
        <v>10070</v>
      </c>
      <c r="D24" s="481" t="s">
        <v>10059</v>
      </c>
      <c r="E24" s="315" t="s">
        <v>10059</v>
      </c>
      <c r="F24" s="489" t="s">
        <v>10059</v>
      </c>
      <c r="G24" s="481" t="s">
        <v>10059</v>
      </c>
      <c r="H24" s="315" t="s">
        <v>10059</v>
      </c>
      <c r="I24" s="489" t="s">
        <v>10059</v>
      </c>
      <c r="J24" s="481" t="s">
        <v>10059</v>
      </c>
      <c r="K24" s="489" t="s">
        <v>10059</v>
      </c>
      <c r="L24" s="480" t="s">
        <v>10073</v>
      </c>
      <c r="M24" s="313" t="s">
        <v>10044</v>
      </c>
      <c r="N24" s="457" t="str">
        <f>IF(cst_shinsei_build_address="","建築場所（地名地番）が未入力です","")</f>
        <v/>
      </c>
      <c r="O24" s="460" t="str">
        <f>cst_shinsei_build_address</f>
        <v>大阪府東大阪市御厨南1丁目563-6の一部</v>
      </c>
      <c r="P24" s="315" t="str">
        <f t="shared" si="0"/>
        <v/>
      </c>
      <c r="Q24" s="315" t="str">
        <f t="shared" si="1"/>
        <v/>
      </c>
      <c r="R24" s="315" t="str">
        <f t="shared" si="2"/>
        <v/>
      </c>
      <c r="S24" s="315" t="str">
        <f t="shared" si="3"/>
        <v/>
      </c>
      <c r="T24" s="315" t="str">
        <f t="shared" si="4"/>
        <v/>
      </c>
      <c r="U24" s="315" t="str">
        <f t="shared" si="5"/>
        <v/>
      </c>
      <c r="V24" s="315" t="str">
        <f t="shared" si="6"/>
        <v/>
      </c>
      <c r="W24" s="459" t="s">
        <v>10889</v>
      </c>
      <c r="X24" s="459" t="s">
        <v>10889</v>
      </c>
      <c r="Y24" s="315" t="str">
        <f t="shared" si="7"/>
        <v/>
      </c>
      <c r="Z24" s="459" t="s">
        <v>10889</v>
      </c>
      <c r="AA24" s="459" t="s">
        <v>10889</v>
      </c>
      <c r="AB24" s="315" t="str">
        <f t="shared" si="8"/>
        <v/>
      </c>
      <c r="AC24" s="315" t="str">
        <f t="shared" si="9"/>
        <v/>
      </c>
      <c r="AD24" s="315" t="str">
        <f t="shared" si="10"/>
        <v/>
      </c>
      <c r="AE24" s="315" t="str">
        <f t="shared" si="11"/>
        <v/>
      </c>
      <c r="AF24" s="315" t="str">
        <f t="shared" si="12"/>
        <v/>
      </c>
      <c r="AG24" s="315" t="str">
        <f t="shared" si="13"/>
        <v/>
      </c>
    </row>
    <row r="25" spans="1:33" ht="18" customHeight="1">
      <c r="A25" s="493">
        <f t="shared" si="14"/>
        <v>22</v>
      </c>
      <c r="B25" s="494" t="s">
        <v>10059</v>
      </c>
      <c r="C25" s="494" t="s">
        <v>10070</v>
      </c>
      <c r="D25" s="481" t="s">
        <v>10059</v>
      </c>
      <c r="E25" s="315"/>
      <c r="F25" s="489"/>
      <c r="G25" s="481" t="s">
        <v>10059</v>
      </c>
      <c r="H25" s="315" t="s">
        <v>10059</v>
      </c>
      <c r="I25" s="489" t="s">
        <v>10059</v>
      </c>
      <c r="J25" s="481" t="s">
        <v>10059</v>
      </c>
      <c r="K25" s="489" t="s">
        <v>10059</v>
      </c>
      <c r="L25" s="480" t="s">
        <v>10073</v>
      </c>
      <c r="M25" s="313" t="s">
        <v>10061</v>
      </c>
      <c r="N25" s="457" t="str">
        <f>IF(cst_shinsei_build_YOUTO="","建築物用途（主要用途）が未入力です","")</f>
        <v/>
      </c>
      <c r="O25" s="460" t="str">
        <f>cst_shinsei_build_YOUTO</f>
        <v>宅建業を営む店舗（モデルルーム併用）</v>
      </c>
      <c r="P25" s="315" t="str">
        <f t="shared" si="0"/>
        <v/>
      </c>
      <c r="Q25" s="315" t="str">
        <f t="shared" si="1"/>
        <v>非対象</v>
      </c>
      <c r="R25" s="315" t="str">
        <f t="shared" si="2"/>
        <v>非対象</v>
      </c>
      <c r="S25" s="315" t="str">
        <f t="shared" si="3"/>
        <v/>
      </c>
      <c r="T25" s="315" t="str">
        <f t="shared" si="4"/>
        <v>非対象</v>
      </c>
      <c r="U25" s="315" t="str">
        <f t="shared" si="5"/>
        <v>非対象</v>
      </c>
      <c r="V25" s="315" t="str">
        <f t="shared" si="6"/>
        <v/>
      </c>
      <c r="W25" s="459" t="s">
        <v>10889</v>
      </c>
      <c r="X25" s="459" t="s">
        <v>10889</v>
      </c>
      <c r="Y25" s="315" t="str">
        <f t="shared" si="7"/>
        <v/>
      </c>
      <c r="Z25" s="459" t="s">
        <v>10889</v>
      </c>
      <c r="AA25" s="459" t="s">
        <v>10889</v>
      </c>
      <c r="AB25" s="315" t="str">
        <f t="shared" si="8"/>
        <v/>
      </c>
      <c r="AC25" s="315" t="str">
        <f t="shared" si="9"/>
        <v>非対象</v>
      </c>
      <c r="AD25" s="315" t="str">
        <f t="shared" si="10"/>
        <v>非対象</v>
      </c>
      <c r="AE25" s="315" t="str">
        <f t="shared" si="11"/>
        <v/>
      </c>
      <c r="AF25" s="315" t="str">
        <f t="shared" si="12"/>
        <v>非対象</v>
      </c>
      <c r="AG25" s="315" t="str">
        <f t="shared" si="13"/>
        <v>非対象</v>
      </c>
    </row>
    <row r="26" spans="1:33" ht="18" customHeight="1">
      <c r="A26" s="493">
        <f t="shared" si="14"/>
        <v>23</v>
      </c>
      <c r="B26" s="494" t="s">
        <v>10059</v>
      </c>
      <c r="C26" s="494" t="s">
        <v>10070</v>
      </c>
      <c r="D26" s="481" t="s">
        <v>10059</v>
      </c>
      <c r="E26" s="315"/>
      <c r="F26" s="489"/>
      <c r="G26" s="481" t="s">
        <v>10059</v>
      </c>
      <c r="H26" s="315" t="s">
        <v>10059</v>
      </c>
      <c r="I26" s="489" t="s">
        <v>10059</v>
      </c>
      <c r="J26" s="481" t="s">
        <v>10059</v>
      </c>
      <c r="K26" s="489" t="s">
        <v>10059</v>
      </c>
      <c r="L26" s="480" t="s">
        <v>10073</v>
      </c>
      <c r="M26" s="313" t="s">
        <v>10045</v>
      </c>
      <c r="N26" s="457" t="str">
        <f>IF(cst_shinsei_kouji="","工事種別が未入力です","")</f>
        <v/>
      </c>
      <c r="O26" s="460" t="str">
        <f>cst_shinsei_kouji</f>
        <v>新築</v>
      </c>
      <c r="P26" s="315" t="str">
        <f t="shared" si="0"/>
        <v/>
      </c>
      <c r="Q26" s="315" t="str">
        <f t="shared" si="1"/>
        <v>非対象</v>
      </c>
      <c r="R26" s="315" t="str">
        <f t="shared" si="2"/>
        <v>非対象</v>
      </c>
      <c r="S26" s="315" t="str">
        <f t="shared" si="3"/>
        <v/>
      </c>
      <c r="T26" s="315" t="str">
        <f t="shared" si="4"/>
        <v>非対象</v>
      </c>
      <c r="U26" s="315" t="str">
        <f t="shared" si="5"/>
        <v>非対象</v>
      </c>
      <c r="V26" s="315" t="str">
        <f t="shared" si="6"/>
        <v/>
      </c>
      <c r="W26" s="459" t="s">
        <v>10889</v>
      </c>
      <c r="X26" s="459" t="s">
        <v>10889</v>
      </c>
      <c r="Y26" s="315" t="str">
        <f t="shared" si="7"/>
        <v/>
      </c>
      <c r="Z26" s="459" t="s">
        <v>10889</v>
      </c>
      <c r="AA26" s="459" t="s">
        <v>10889</v>
      </c>
      <c r="AB26" s="315" t="str">
        <f t="shared" si="8"/>
        <v/>
      </c>
      <c r="AC26" s="315" t="str">
        <f t="shared" si="9"/>
        <v>非対象</v>
      </c>
      <c r="AD26" s="315" t="str">
        <f t="shared" si="10"/>
        <v>非対象</v>
      </c>
      <c r="AE26" s="315" t="str">
        <f t="shared" si="11"/>
        <v/>
      </c>
      <c r="AF26" s="315" t="str">
        <f t="shared" si="12"/>
        <v>非対象</v>
      </c>
      <c r="AG26" s="315" t="str">
        <f t="shared" si="13"/>
        <v>非対象</v>
      </c>
    </row>
    <row r="27" spans="1:33" ht="18" customHeight="1">
      <c r="A27" s="493">
        <f t="shared" si="14"/>
        <v>24</v>
      </c>
      <c r="B27" s="494" t="s">
        <v>10059</v>
      </c>
      <c r="C27" s="494" t="s">
        <v>10070</v>
      </c>
      <c r="D27" s="481" t="s">
        <v>10059</v>
      </c>
      <c r="E27" s="315"/>
      <c r="F27" s="489"/>
      <c r="G27" s="481" t="s">
        <v>10059</v>
      </c>
      <c r="H27" s="315" t="s">
        <v>10059</v>
      </c>
      <c r="I27" s="489" t="s">
        <v>10059</v>
      </c>
      <c r="J27" s="481"/>
      <c r="K27" s="489" t="s">
        <v>10059</v>
      </c>
      <c r="L27" s="480" t="s">
        <v>10073</v>
      </c>
      <c r="M27" s="313" t="s">
        <v>10048</v>
      </c>
      <c r="N27" s="457" t="str">
        <f>IF(cst_shinsei_build_kouzou="","構造が未入力です","")</f>
        <v/>
      </c>
      <c r="O27" s="460" t="str">
        <f>cst_shinsei_build_kouzou</f>
        <v>鉄骨造</v>
      </c>
      <c r="P27" s="315" t="str">
        <f t="shared" si="0"/>
        <v>非対象</v>
      </c>
      <c r="Q27" s="315" t="str">
        <f t="shared" si="1"/>
        <v>非対象</v>
      </c>
      <c r="R27" s="315" t="str">
        <f t="shared" si="2"/>
        <v>非対象</v>
      </c>
      <c r="S27" s="315" t="str">
        <f t="shared" si="3"/>
        <v/>
      </c>
      <c r="T27" s="315" t="str">
        <f t="shared" si="4"/>
        <v>非対象</v>
      </c>
      <c r="U27" s="315" t="str">
        <f t="shared" si="5"/>
        <v>非対象</v>
      </c>
      <c r="V27" s="315" t="str">
        <f t="shared" si="6"/>
        <v>非対象</v>
      </c>
      <c r="W27" s="459" t="s">
        <v>10889</v>
      </c>
      <c r="X27" s="459" t="s">
        <v>10889</v>
      </c>
      <c r="Y27" s="315" t="str">
        <f t="shared" si="7"/>
        <v/>
      </c>
      <c r="Z27" s="459" t="s">
        <v>10889</v>
      </c>
      <c r="AA27" s="459" t="s">
        <v>10889</v>
      </c>
      <c r="AB27" s="315" t="str">
        <f t="shared" si="8"/>
        <v>非対象</v>
      </c>
      <c r="AC27" s="315" t="str">
        <f t="shared" si="9"/>
        <v>非対象</v>
      </c>
      <c r="AD27" s="315" t="str">
        <f t="shared" si="10"/>
        <v>非対象</v>
      </c>
      <c r="AE27" s="315" t="str">
        <f t="shared" si="11"/>
        <v/>
      </c>
      <c r="AF27" s="315" t="str">
        <f t="shared" si="12"/>
        <v>非対象</v>
      </c>
      <c r="AG27" s="315" t="str">
        <f t="shared" si="13"/>
        <v>非対象</v>
      </c>
    </row>
    <row r="28" spans="1:33" ht="18" customHeight="1">
      <c r="A28" s="493">
        <f t="shared" si="14"/>
        <v>25</v>
      </c>
      <c r="B28" s="494" t="s">
        <v>10059</v>
      </c>
      <c r="C28" s="494" t="s">
        <v>10070</v>
      </c>
      <c r="D28" s="481" t="s">
        <v>10059</v>
      </c>
      <c r="E28" s="315"/>
      <c r="F28" s="489"/>
      <c r="G28" s="481" t="s">
        <v>10059</v>
      </c>
      <c r="H28" s="315" t="s">
        <v>10059</v>
      </c>
      <c r="I28" s="489" t="s">
        <v>10059</v>
      </c>
      <c r="J28" s="481"/>
      <c r="K28" s="489" t="s">
        <v>10059</v>
      </c>
      <c r="L28" s="480" t="s">
        <v>10073</v>
      </c>
      <c r="M28" s="313" t="s">
        <v>10049</v>
      </c>
      <c r="N28" s="457" t="str">
        <f>IF(cst_shinsei_build_KAISU_TIJYOU_SHINSEI_2="","階数が未入力です","")</f>
        <v/>
      </c>
      <c r="O28" s="460">
        <f>cst_shinsei_build_KAISU_TIJYOU_SHINSEI_2</f>
        <v>2</v>
      </c>
      <c r="P28" s="315" t="str">
        <f t="shared" si="0"/>
        <v>非対象</v>
      </c>
      <c r="Q28" s="315" t="str">
        <f t="shared" si="1"/>
        <v>非対象</v>
      </c>
      <c r="R28" s="315" t="str">
        <f t="shared" si="2"/>
        <v>非対象</v>
      </c>
      <c r="S28" s="315" t="str">
        <f t="shared" si="3"/>
        <v/>
      </c>
      <c r="T28" s="315" t="str">
        <f t="shared" si="4"/>
        <v>非対象</v>
      </c>
      <c r="U28" s="315" t="str">
        <f t="shared" si="5"/>
        <v>非対象</v>
      </c>
      <c r="V28" s="315" t="str">
        <f t="shared" si="6"/>
        <v>非対象</v>
      </c>
      <c r="W28" s="459" t="s">
        <v>10889</v>
      </c>
      <c r="X28" s="459" t="s">
        <v>10889</v>
      </c>
      <c r="Y28" s="315" t="str">
        <f t="shared" si="7"/>
        <v/>
      </c>
      <c r="Z28" s="459" t="s">
        <v>10889</v>
      </c>
      <c r="AA28" s="459" t="s">
        <v>10889</v>
      </c>
      <c r="AB28" s="315" t="str">
        <f t="shared" si="8"/>
        <v>非対象</v>
      </c>
      <c r="AC28" s="315" t="str">
        <f t="shared" si="9"/>
        <v>非対象</v>
      </c>
      <c r="AD28" s="315" t="str">
        <f t="shared" si="10"/>
        <v>非対象</v>
      </c>
      <c r="AE28" s="315" t="str">
        <f t="shared" si="11"/>
        <v/>
      </c>
      <c r="AF28" s="315" t="str">
        <f t="shared" si="12"/>
        <v>非対象</v>
      </c>
      <c r="AG28" s="315" t="str">
        <f t="shared" si="13"/>
        <v>非対象</v>
      </c>
    </row>
    <row r="29" spans="1:33" ht="18" customHeight="1">
      <c r="A29" s="493">
        <f t="shared" si="14"/>
        <v>26</v>
      </c>
      <c r="B29" s="494" t="s">
        <v>10059</v>
      </c>
      <c r="C29" s="494" t="s">
        <v>10070</v>
      </c>
      <c r="D29" s="481" t="s">
        <v>10059</v>
      </c>
      <c r="E29" s="315"/>
      <c r="F29" s="489"/>
      <c r="G29" s="481" t="s">
        <v>10059</v>
      </c>
      <c r="H29" s="315" t="s">
        <v>10059</v>
      </c>
      <c r="I29" s="489" t="s">
        <v>10059</v>
      </c>
      <c r="J29" s="481"/>
      <c r="K29" s="489" t="s">
        <v>10059</v>
      </c>
      <c r="L29" s="480" t="s">
        <v>10073</v>
      </c>
      <c r="M29" s="313" t="s">
        <v>10047</v>
      </c>
      <c r="N29" s="457" t="str">
        <f>IF(cst_shinsei_build_BILL_SHINSEI_COUNT_2="","対象棟数が未入力です","")</f>
        <v/>
      </c>
      <c r="O29" s="460">
        <f>cst_shinsei_build_BILL_SHINSEI_COUNT_2</f>
        <v>1</v>
      </c>
      <c r="P29" s="315" t="str">
        <f t="shared" si="0"/>
        <v>非対象</v>
      </c>
      <c r="Q29" s="315" t="str">
        <f t="shared" si="1"/>
        <v>非対象</v>
      </c>
      <c r="R29" s="315" t="str">
        <f t="shared" si="2"/>
        <v>非対象</v>
      </c>
      <c r="S29" s="315" t="str">
        <f t="shared" si="3"/>
        <v/>
      </c>
      <c r="T29" s="315" t="str">
        <f t="shared" si="4"/>
        <v>非対象</v>
      </c>
      <c r="U29" s="315" t="str">
        <f t="shared" si="5"/>
        <v>非対象</v>
      </c>
      <c r="V29" s="315" t="str">
        <f t="shared" si="6"/>
        <v>非対象</v>
      </c>
      <c r="W29" s="459" t="s">
        <v>10889</v>
      </c>
      <c r="X29" s="459" t="s">
        <v>10889</v>
      </c>
      <c r="Y29" s="315" t="str">
        <f t="shared" si="7"/>
        <v/>
      </c>
      <c r="Z29" s="459" t="s">
        <v>10889</v>
      </c>
      <c r="AA29" s="459" t="s">
        <v>10889</v>
      </c>
      <c r="AB29" s="315" t="str">
        <f t="shared" si="8"/>
        <v>非対象</v>
      </c>
      <c r="AC29" s="315" t="str">
        <f t="shared" si="9"/>
        <v>非対象</v>
      </c>
      <c r="AD29" s="315" t="str">
        <f t="shared" si="10"/>
        <v>非対象</v>
      </c>
      <c r="AE29" s="315" t="str">
        <f t="shared" si="11"/>
        <v/>
      </c>
      <c r="AF29" s="315" t="str">
        <f t="shared" si="12"/>
        <v>非対象</v>
      </c>
      <c r="AG29" s="315" t="str">
        <f t="shared" si="13"/>
        <v>非対象</v>
      </c>
    </row>
    <row r="30" spans="1:33" ht="18" customHeight="1">
      <c r="A30" s="493">
        <f t="shared" si="14"/>
        <v>27</v>
      </c>
      <c r="B30" s="494" t="s">
        <v>10059</v>
      </c>
      <c r="C30" s="494" t="s">
        <v>10068</v>
      </c>
      <c r="D30" s="481" t="s">
        <v>10059</v>
      </c>
      <c r="E30" s="315"/>
      <c r="F30" s="489"/>
      <c r="G30" s="481" t="s">
        <v>10059</v>
      </c>
      <c r="H30" s="315"/>
      <c r="I30" s="489"/>
      <c r="J30" s="481"/>
      <c r="K30" s="489" t="s">
        <v>10059</v>
      </c>
      <c r="L30" s="480" t="s">
        <v>10912</v>
      </c>
      <c r="M30" s="313" t="s">
        <v>10082</v>
      </c>
      <c r="N30" s="457" t="str">
        <f>IF(AND(shinsei_build_TOKUREI_56_7=1,cst_shinsei_build_TOKUREI_56_7_DOURO_TAKASA="□",cst_shinsei_build_TOKUREI_56_7_DOURO_RINTI="□",cst_shinsei_build_TOKUREI_56_7_DOURO_KITA="□"),"天空率の適用が有ですが道路・隣地・北側が未選択です","")</f>
        <v/>
      </c>
      <c r="O30" s="460" t="str">
        <f>"天空率 適用："&amp;cst_shinsei_build_TOKUREI_56_7__ari&amp;"  道路："&amp;cst_shinsei_build_TOKUREI_56_7_DOURO_TAKASA&amp;"  隣地："&amp;cst_shinsei_build_TOKUREI_56_7_DOURO_RINTI&amp;"  北側："&amp;cst_shinsei_build_TOKUREI_56_7_DOURO_KITA</f>
        <v>天空率 適用：□  道路：  隣地：  北側：</v>
      </c>
      <c r="P30" s="315" t="str">
        <f t="shared" si="0"/>
        <v>非対象</v>
      </c>
      <c r="Q30" s="315" t="str">
        <f t="shared" si="1"/>
        <v>非対象</v>
      </c>
      <c r="R30" s="315" t="str">
        <f t="shared" si="2"/>
        <v>非対象</v>
      </c>
      <c r="S30" s="315" t="str">
        <f t="shared" si="3"/>
        <v/>
      </c>
      <c r="T30" s="315" t="str">
        <f t="shared" si="4"/>
        <v>非対象</v>
      </c>
      <c r="U30" s="315" t="str">
        <f t="shared" si="5"/>
        <v>非対象</v>
      </c>
      <c r="V30" s="315" t="str">
        <f t="shared" si="6"/>
        <v>非対象</v>
      </c>
      <c r="W30" s="459" t="s">
        <v>10889</v>
      </c>
      <c r="X30" s="459" t="s">
        <v>10889</v>
      </c>
      <c r="Y30" s="315" t="str">
        <f t="shared" si="7"/>
        <v>非対象</v>
      </c>
      <c r="Z30" s="459" t="s">
        <v>10889</v>
      </c>
      <c r="AA30" s="459" t="s">
        <v>10889</v>
      </c>
      <c r="AB30" s="315" t="str">
        <f t="shared" si="8"/>
        <v>非対象</v>
      </c>
      <c r="AC30" s="315" t="str">
        <f t="shared" si="9"/>
        <v>非対象</v>
      </c>
      <c r="AD30" s="315" t="str">
        <f t="shared" si="10"/>
        <v>非対象</v>
      </c>
      <c r="AE30" s="315" t="str">
        <f t="shared" si="11"/>
        <v>非対象</v>
      </c>
      <c r="AF30" s="315" t="str">
        <f t="shared" si="12"/>
        <v>非対象</v>
      </c>
      <c r="AG30" s="315" t="str">
        <f t="shared" si="13"/>
        <v>非対象</v>
      </c>
    </row>
    <row r="31" spans="1:33" ht="18" customHeight="1">
      <c r="A31" s="493">
        <f t="shared" si="14"/>
        <v>28</v>
      </c>
      <c r="B31" s="494" t="s">
        <v>10059</v>
      </c>
      <c r="C31" s="494" t="s">
        <v>10068</v>
      </c>
      <c r="D31" s="481" t="s">
        <v>10059</v>
      </c>
      <c r="E31" s="315"/>
      <c r="F31" s="489"/>
      <c r="G31" s="481" t="s">
        <v>10059</v>
      </c>
      <c r="H31" s="315"/>
      <c r="I31" s="489"/>
      <c r="J31" s="481"/>
      <c r="K31" s="489" t="s">
        <v>10059</v>
      </c>
      <c r="L31" s="480" t="s">
        <v>10912</v>
      </c>
      <c r="M31" s="313" t="s">
        <v>10083</v>
      </c>
      <c r="N31" s="457" t="str">
        <f>IF(AND(shinsei_build_TOKUREI_56_7&lt;&gt;1,OR(cst_shinsei_build_TOKUREI_56_7_DOURO_TAKASA="■",cst_shinsei_build_TOKUREI_56_7_DOURO_RINTI="■",cst_shinsei_build_TOKUREI_56_7_DOURO_KITA="■")),"天空率の適用が無ですが道路・隣地・北側が選択されているようです","")</f>
        <v/>
      </c>
      <c r="O31" s="460" t="str">
        <f>"天空率 適用："&amp;cst_shinsei_build_TOKUREI_56_7__ari&amp;"  道路："&amp;cst_shinsei_build_TOKUREI_56_7_DOURO_TAKASA&amp;"  隣地："&amp;cst_shinsei_build_TOKUREI_56_7_DOURO_RINTI&amp;"  北側："&amp;cst_shinsei_build_TOKUREI_56_7_DOURO_KITA</f>
        <v>天空率 適用：□  道路：  隣地：  北側：</v>
      </c>
      <c r="P31" s="315" t="str">
        <f t="shared" si="0"/>
        <v>非対象</v>
      </c>
      <c r="Q31" s="315" t="str">
        <f t="shared" si="1"/>
        <v>非対象</v>
      </c>
      <c r="R31" s="315" t="str">
        <f t="shared" si="2"/>
        <v>非対象</v>
      </c>
      <c r="S31" s="315" t="str">
        <f t="shared" si="3"/>
        <v/>
      </c>
      <c r="T31" s="315" t="str">
        <f t="shared" si="4"/>
        <v>非対象</v>
      </c>
      <c r="U31" s="315" t="str">
        <f t="shared" si="5"/>
        <v>非対象</v>
      </c>
      <c r="V31" s="315" t="str">
        <f t="shared" si="6"/>
        <v>非対象</v>
      </c>
      <c r="W31" s="459" t="s">
        <v>10889</v>
      </c>
      <c r="X31" s="459" t="s">
        <v>10889</v>
      </c>
      <c r="Y31" s="315" t="str">
        <f t="shared" si="7"/>
        <v>非対象</v>
      </c>
      <c r="Z31" s="459" t="s">
        <v>10889</v>
      </c>
      <c r="AA31" s="459" t="s">
        <v>10889</v>
      </c>
      <c r="AB31" s="315" t="str">
        <f t="shared" si="8"/>
        <v>非対象</v>
      </c>
      <c r="AC31" s="315" t="str">
        <f t="shared" si="9"/>
        <v>非対象</v>
      </c>
      <c r="AD31" s="315" t="str">
        <f t="shared" si="10"/>
        <v>非対象</v>
      </c>
      <c r="AE31" s="315" t="str">
        <f t="shared" si="11"/>
        <v>非対象</v>
      </c>
      <c r="AF31" s="315" t="str">
        <f t="shared" si="12"/>
        <v>非対象</v>
      </c>
      <c r="AG31" s="315" t="str">
        <f t="shared" si="13"/>
        <v>非対象</v>
      </c>
    </row>
    <row r="32" spans="1:33" ht="18" customHeight="1">
      <c r="A32" s="493">
        <f t="shared" si="14"/>
        <v>29</v>
      </c>
      <c r="B32" s="494" t="s">
        <v>10059</v>
      </c>
      <c r="C32" s="494" t="s">
        <v>10068</v>
      </c>
      <c r="D32" s="481" t="s">
        <v>10059</v>
      </c>
      <c r="E32" s="315"/>
      <c r="F32" s="489"/>
      <c r="G32" s="481" t="s">
        <v>10059</v>
      </c>
      <c r="H32" s="315"/>
      <c r="I32" s="489"/>
      <c r="J32" s="481"/>
      <c r="K32" s="489" t="s">
        <v>10059</v>
      </c>
      <c r="L32" s="480" t="s">
        <v>10073</v>
      </c>
      <c r="M32" s="317" t="s">
        <v>10915</v>
      </c>
      <c r="N32" s="457" t="str">
        <f>IF(AND(cst_shinsei_strtower01_JUDGE=1,shinsei_STRUCTRESULT_NOTIFY_KOUFU_NAME=""),"適判物件。適判名が入力されていません","")</f>
        <v/>
      </c>
      <c r="O32" s="460" t="str">
        <f>cst_shinsei_STRUCTRESULT_NOTIFY_KOUFU_NAME</f>
        <v/>
      </c>
      <c r="P32" s="315" t="str">
        <f t="shared" si="0"/>
        <v>非対象</v>
      </c>
      <c r="Q32" s="315" t="str">
        <f t="shared" si="1"/>
        <v>非対象</v>
      </c>
      <c r="R32" s="315" t="str">
        <f t="shared" si="2"/>
        <v>非対象</v>
      </c>
      <c r="S32" s="315" t="str">
        <f t="shared" si="3"/>
        <v/>
      </c>
      <c r="T32" s="315" t="str">
        <f t="shared" si="4"/>
        <v>非対象</v>
      </c>
      <c r="U32" s="315" t="str">
        <f t="shared" si="5"/>
        <v>非対象</v>
      </c>
      <c r="V32" s="315" t="str">
        <f t="shared" si="6"/>
        <v>非対象</v>
      </c>
      <c r="W32" s="459" t="s">
        <v>10889</v>
      </c>
      <c r="X32" s="459" t="s">
        <v>10889</v>
      </c>
      <c r="Y32" s="315" t="str">
        <f t="shared" si="7"/>
        <v>非対象</v>
      </c>
      <c r="Z32" s="459" t="s">
        <v>10889</v>
      </c>
      <c r="AA32" s="459" t="s">
        <v>10889</v>
      </c>
      <c r="AB32" s="315" t="str">
        <f t="shared" si="8"/>
        <v>非対象</v>
      </c>
      <c r="AC32" s="315" t="str">
        <f t="shared" si="9"/>
        <v>非対象</v>
      </c>
      <c r="AD32" s="315" t="str">
        <f t="shared" si="10"/>
        <v>非対象</v>
      </c>
      <c r="AE32" s="315" t="str">
        <f t="shared" si="11"/>
        <v>非対象</v>
      </c>
      <c r="AF32" s="315" t="str">
        <f t="shared" si="12"/>
        <v>非対象</v>
      </c>
      <c r="AG32" s="315" t="str">
        <f t="shared" si="13"/>
        <v>非対象</v>
      </c>
    </row>
    <row r="33" spans="1:33" ht="18" customHeight="1">
      <c r="A33" s="493">
        <f t="shared" si="14"/>
        <v>30</v>
      </c>
      <c r="B33" s="494" t="s">
        <v>10059</v>
      </c>
      <c r="C33" s="494" t="s">
        <v>10068</v>
      </c>
      <c r="D33" s="481" t="s">
        <v>10059</v>
      </c>
      <c r="E33" s="315"/>
      <c r="F33" s="489"/>
      <c r="G33" s="481" t="s">
        <v>10059</v>
      </c>
      <c r="H33" s="315"/>
      <c r="I33" s="489"/>
      <c r="J33" s="481"/>
      <c r="K33" s="489" t="s">
        <v>10059</v>
      </c>
      <c r="L33" s="480" t="s">
        <v>10073</v>
      </c>
      <c r="M33" s="317" t="s">
        <v>10916</v>
      </c>
      <c r="N33" s="457" t="str">
        <f>IF(AND(cst_shinsei_strtower01_JUDGE=1,shinsei_STRUCTRESULT_NOTIFY_NO=""),"適判物件。通知書番号が入力されていません","")</f>
        <v/>
      </c>
      <c r="O33" s="460" t="str">
        <f>cst_shinsei_STRUCTRESULT_NOTIFY_NO</f>
        <v/>
      </c>
      <c r="P33" s="315" t="str">
        <f t="shared" si="0"/>
        <v>非対象</v>
      </c>
      <c r="Q33" s="315" t="str">
        <f t="shared" si="1"/>
        <v>非対象</v>
      </c>
      <c r="R33" s="315" t="str">
        <f t="shared" si="2"/>
        <v>非対象</v>
      </c>
      <c r="S33" s="315" t="str">
        <f t="shared" si="3"/>
        <v/>
      </c>
      <c r="T33" s="315" t="str">
        <f t="shared" si="4"/>
        <v>非対象</v>
      </c>
      <c r="U33" s="315" t="str">
        <f t="shared" si="5"/>
        <v>非対象</v>
      </c>
      <c r="V33" s="315" t="str">
        <f t="shared" si="6"/>
        <v>非対象</v>
      </c>
      <c r="W33" s="459" t="s">
        <v>10889</v>
      </c>
      <c r="X33" s="459" t="s">
        <v>10889</v>
      </c>
      <c r="Y33" s="315" t="str">
        <f t="shared" si="7"/>
        <v>非対象</v>
      </c>
      <c r="Z33" s="459" t="s">
        <v>10889</v>
      </c>
      <c r="AA33" s="459" t="s">
        <v>10889</v>
      </c>
      <c r="AB33" s="315" t="str">
        <f t="shared" si="8"/>
        <v>非対象</v>
      </c>
      <c r="AC33" s="315" t="str">
        <f t="shared" si="9"/>
        <v>非対象</v>
      </c>
      <c r="AD33" s="315" t="str">
        <f t="shared" si="10"/>
        <v>非対象</v>
      </c>
      <c r="AE33" s="315" t="str">
        <f t="shared" si="11"/>
        <v>非対象</v>
      </c>
      <c r="AF33" s="315" t="str">
        <f t="shared" si="12"/>
        <v>非対象</v>
      </c>
      <c r="AG33" s="315" t="str">
        <f t="shared" si="13"/>
        <v>非対象</v>
      </c>
    </row>
    <row r="34" spans="1:33" ht="18" customHeight="1">
      <c r="A34" s="493">
        <f t="shared" si="14"/>
        <v>31</v>
      </c>
      <c r="B34" s="494" t="s">
        <v>10059</v>
      </c>
      <c r="C34" s="494" t="s">
        <v>10068</v>
      </c>
      <c r="D34" s="481" t="s">
        <v>10059</v>
      </c>
      <c r="E34" s="315"/>
      <c r="F34" s="489"/>
      <c r="G34" s="481" t="s">
        <v>10059</v>
      </c>
      <c r="H34" s="315"/>
      <c r="I34" s="489"/>
      <c r="J34" s="481"/>
      <c r="K34" s="489" t="s">
        <v>10059</v>
      </c>
      <c r="L34" s="480" t="s">
        <v>10073</v>
      </c>
      <c r="M34" s="317" t="s">
        <v>10917</v>
      </c>
      <c r="N34" s="457" t="str">
        <f>IF(AND(cst_shinsei_strtower01_JUDGE=1,shinsei_STRUCTRESULT_NOTIFY_DATE=""),"適判物件。通知日が入力されていません","")</f>
        <v/>
      </c>
      <c r="O34" s="458" t="str">
        <f>cst_shinsei_STRUCTRESULT_NOTIFY_DATE</f>
        <v/>
      </c>
      <c r="P34" s="315" t="str">
        <f t="shared" si="0"/>
        <v>非対象</v>
      </c>
      <c r="Q34" s="315" t="str">
        <f t="shared" si="1"/>
        <v>非対象</v>
      </c>
      <c r="R34" s="315" t="str">
        <f t="shared" si="2"/>
        <v>非対象</v>
      </c>
      <c r="S34" s="315" t="str">
        <f t="shared" si="3"/>
        <v/>
      </c>
      <c r="T34" s="315" t="str">
        <f t="shared" si="4"/>
        <v>非対象</v>
      </c>
      <c r="U34" s="315" t="str">
        <f t="shared" si="5"/>
        <v>非対象</v>
      </c>
      <c r="V34" s="315" t="str">
        <f t="shared" si="6"/>
        <v>非対象</v>
      </c>
      <c r="W34" s="459" t="s">
        <v>10889</v>
      </c>
      <c r="X34" s="459" t="s">
        <v>10889</v>
      </c>
      <c r="Y34" s="315" t="str">
        <f t="shared" si="7"/>
        <v>非対象</v>
      </c>
      <c r="Z34" s="459" t="s">
        <v>10889</v>
      </c>
      <c r="AA34" s="459" t="s">
        <v>10889</v>
      </c>
      <c r="AB34" s="315" t="str">
        <f t="shared" si="8"/>
        <v>非対象</v>
      </c>
      <c r="AC34" s="315" t="str">
        <f t="shared" si="9"/>
        <v>非対象</v>
      </c>
      <c r="AD34" s="315" t="str">
        <f t="shared" si="10"/>
        <v>非対象</v>
      </c>
      <c r="AE34" s="315" t="str">
        <f t="shared" si="11"/>
        <v>非対象</v>
      </c>
      <c r="AF34" s="315" t="str">
        <f t="shared" si="12"/>
        <v>非対象</v>
      </c>
      <c r="AG34" s="315" t="str">
        <f t="shared" si="13"/>
        <v>非対象</v>
      </c>
    </row>
    <row r="35" spans="1:33" ht="18" customHeight="1">
      <c r="A35" s="493">
        <f t="shared" si="14"/>
        <v>32</v>
      </c>
      <c r="B35" s="494" t="s">
        <v>10059</v>
      </c>
      <c r="C35" s="494" t="s">
        <v>10068</v>
      </c>
      <c r="D35" s="481" t="s">
        <v>10059</v>
      </c>
      <c r="E35" s="315"/>
      <c r="F35" s="489"/>
      <c r="G35" s="481" t="s">
        <v>10059</v>
      </c>
      <c r="H35" s="315"/>
      <c r="I35" s="489"/>
      <c r="J35" s="481"/>
      <c r="K35" s="489" t="s">
        <v>10059</v>
      </c>
      <c r="L35" s="480" t="s">
        <v>10912</v>
      </c>
      <c r="M35" s="317" t="s">
        <v>10835</v>
      </c>
      <c r="N35" s="457" t="str">
        <f>IF(AND(cst_shinsei_strtower01_JUDGE&lt;&gt;1,shinsei_STRUCTRESULT_NOTIFY_KOUFU_NAME&lt;&gt;""),"非適判物件。適判名が入力されています","")</f>
        <v/>
      </c>
      <c r="O35" s="460"/>
      <c r="P35" s="315" t="str">
        <f t="shared" si="0"/>
        <v>非対象</v>
      </c>
      <c r="Q35" s="315" t="str">
        <f t="shared" si="1"/>
        <v>非対象</v>
      </c>
      <c r="R35" s="315" t="str">
        <f t="shared" si="2"/>
        <v>非対象</v>
      </c>
      <c r="S35" s="315" t="str">
        <f t="shared" si="3"/>
        <v/>
      </c>
      <c r="T35" s="315" t="str">
        <f t="shared" si="4"/>
        <v>非対象</v>
      </c>
      <c r="U35" s="315" t="str">
        <f t="shared" si="5"/>
        <v>非対象</v>
      </c>
      <c r="V35" s="315" t="str">
        <f t="shared" si="6"/>
        <v>非対象</v>
      </c>
      <c r="W35" s="459" t="s">
        <v>10889</v>
      </c>
      <c r="X35" s="459" t="s">
        <v>10889</v>
      </c>
      <c r="Y35" s="315" t="str">
        <f t="shared" si="7"/>
        <v>非対象</v>
      </c>
      <c r="Z35" s="459" t="s">
        <v>10889</v>
      </c>
      <c r="AA35" s="459" t="s">
        <v>10889</v>
      </c>
      <c r="AB35" s="315" t="str">
        <f t="shared" si="8"/>
        <v>非対象</v>
      </c>
      <c r="AC35" s="315" t="str">
        <f t="shared" si="9"/>
        <v>非対象</v>
      </c>
      <c r="AD35" s="315" t="str">
        <f t="shared" si="10"/>
        <v>非対象</v>
      </c>
      <c r="AE35" s="315" t="str">
        <f t="shared" si="11"/>
        <v>非対象</v>
      </c>
      <c r="AF35" s="315" t="str">
        <f t="shared" si="12"/>
        <v>非対象</v>
      </c>
      <c r="AG35" s="315" t="str">
        <f t="shared" si="13"/>
        <v>非対象</v>
      </c>
    </row>
    <row r="36" spans="1:33" ht="18" customHeight="1">
      <c r="A36" s="493">
        <f t="shared" si="14"/>
        <v>33</v>
      </c>
      <c r="B36" s="494" t="s">
        <v>10059</v>
      </c>
      <c r="C36" s="494" t="s">
        <v>10068</v>
      </c>
      <c r="D36" s="481" t="s">
        <v>10059</v>
      </c>
      <c r="E36" s="315"/>
      <c r="F36" s="489"/>
      <c r="G36" s="481" t="s">
        <v>10059</v>
      </c>
      <c r="H36" s="315"/>
      <c r="I36" s="489"/>
      <c r="J36" s="481"/>
      <c r="K36" s="489" t="s">
        <v>10059</v>
      </c>
      <c r="L36" s="480" t="s">
        <v>10912</v>
      </c>
      <c r="M36" s="317" t="s">
        <v>10039</v>
      </c>
      <c r="N36" s="457" t="str">
        <f>IF(AND(cst_shinsei_strtower01_JUDGE&lt;&gt;1,shinsei_STRUCTRESULT_NOTIFY_NO&lt;&gt;""),"非適判物件。通知書番号が入力されています","")</f>
        <v/>
      </c>
      <c r="O36" s="460"/>
      <c r="P36" s="315" t="str">
        <f t="shared" ref="P36:P67" si="15">IF(B36="☓","未使用",IF(AND(B36="○",G36="○",J36="○",D36="○"),IF(C36="","ERROR",IF(N36&lt;&gt;"",C36,"")),"非対象"))</f>
        <v>非対象</v>
      </c>
      <c r="Q36" s="315" t="str">
        <f t="shared" ref="Q36:Q67" si="16">IF(B36="☓","未使用",IF(AND(B36="○",G36="○",J36="○",E36="○"),IF(C36="","ERROR",IF(N36&lt;&gt;"",C36,"")),"非対象"))</f>
        <v>非対象</v>
      </c>
      <c r="R36" s="315" t="str">
        <f t="shared" ref="R36:R67" si="17">IF(B36="☓","未使用",IF(AND(B36="○",G36="○",J36="○",F36="○"),IF(C36="","ERROR",IF(N36&lt;&gt;"",C36,"")),"非対象"))</f>
        <v>非対象</v>
      </c>
      <c r="S36" s="315" t="str">
        <f t="shared" ref="S36:S67" si="18">IF(B36="☓","未使用",IF(AND(B36="○",G36="○",K36="○",D36="○"),IF(C36="","ERROR",IF(N36&lt;&gt;"",C36,"")),"非対象"))</f>
        <v/>
      </c>
      <c r="T36" s="315" t="str">
        <f t="shared" ref="T36:T67" si="19">IF(B36="☓","未使用",IF(AND(B36="○",G36="○",K36="○",E36="○"),IF(C36="","ERROR",IF(N36&lt;&gt;"",C36,"")),"非対象"))</f>
        <v>非対象</v>
      </c>
      <c r="U36" s="315" t="str">
        <f t="shared" ref="U36:U67" si="20">IF(B36="☓","未使用",IF(AND(B36="○",G36="○",K36="○",F36="○"),IF(C36="","ERROR",IF(N36&lt;&gt;"",C36,"")),"非対象"))</f>
        <v>非対象</v>
      </c>
      <c r="V36" s="315" t="str">
        <f t="shared" ref="V36:V67" si="21">IF(B36="☓","未使用",IF(AND(B36="○",H36="○",J36="○",D36="○"),IF(C36="","ERROR",IF(N36&lt;&gt;"",C36,"")),"非対象"))</f>
        <v>非対象</v>
      </c>
      <c r="W36" s="459" t="s">
        <v>10889</v>
      </c>
      <c r="X36" s="459" t="s">
        <v>10889</v>
      </c>
      <c r="Y36" s="315" t="str">
        <f t="shared" ref="Y36:Y67" si="22">IF(B36="☓","未使用",IF(AND(B36="○",H36="○",K36="○",D36="○"),IF(C36="","ERROR",IF(N36&lt;&gt;"",C36,"")),"非対象"))</f>
        <v>非対象</v>
      </c>
      <c r="Z36" s="459" t="s">
        <v>10889</v>
      </c>
      <c r="AA36" s="459" t="s">
        <v>10889</v>
      </c>
      <c r="AB36" s="315" t="str">
        <f t="shared" ref="AB36:AB67" si="23">IF(B36="☓","未使用",IF(AND(B36="○",I36="○",J36="○",D36="○"),IF(C36="","ERROR",IF(N36&lt;&gt;"",C36,"")),"非対象"))</f>
        <v>非対象</v>
      </c>
      <c r="AC36" s="315" t="str">
        <f t="shared" ref="AC36:AC67" si="24">IF(B36="☓","未使用",IF(AND(B36="○",I36="○",J36="○",E36="○"),IF(C36="","ERROR",IF(N36&lt;&gt;"",C36,"")),"非対象"))</f>
        <v>非対象</v>
      </c>
      <c r="AD36" s="315" t="str">
        <f t="shared" ref="AD36:AD67" si="25">IF(B36="☓","未使用",IF(AND(B36="○",I36="○",J36="○",F36="○"),IF(C36="","ERROR",IF(N36&lt;&gt;"",C36,"")),"非対象"))</f>
        <v>非対象</v>
      </c>
      <c r="AE36" s="315" t="str">
        <f t="shared" ref="AE36:AE67" si="26">IF(B36="☓","未使用",IF(AND(B36="○",I36="○",K36="○",D36="○"),IF(C36="","ERROR",IF(N36&lt;&gt;"",C36,"")),"非対象"))</f>
        <v>非対象</v>
      </c>
      <c r="AF36" s="315" t="str">
        <f t="shared" ref="AF36:AF67" si="27">IF(B36="☓","未使用",IF(AND(B36="○",I36="○",K36="○",E36="○"),IF(C36="","ERROR",IF(N36&lt;&gt;"",C36,"")),"非対象"))</f>
        <v>非対象</v>
      </c>
      <c r="AG36" s="315" t="str">
        <f t="shared" ref="AG36:AG67" si="28">IF(B36="☓","未使用",IF(AND(B36="○",I36="○",K36="○",F36="○"),IF(C36="","ERROR",IF(N36&lt;&gt;"",C36,"")),"非対象"))</f>
        <v>非対象</v>
      </c>
    </row>
    <row r="37" spans="1:33" ht="18" customHeight="1">
      <c r="A37" s="493">
        <f t="shared" si="14"/>
        <v>34</v>
      </c>
      <c r="B37" s="494" t="s">
        <v>10059</v>
      </c>
      <c r="C37" s="494" t="s">
        <v>10068</v>
      </c>
      <c r="D37" s="481" t="s">
        <v>10059</v>
      </c>
      <c r="E37" s="315"/>
      <c r="F37" s="489"/>
      <c r="G37" s="481" t="s">
        <v>10059</v>
      </c>
      <c r="H37" s="315"/>
      <c r="I37" s="489"/>
      <c r="J37" s="481"/>
      <c r="K37" s="489" t="s">
        <v>10059</v>
      </c>
      <c r="L37" s="480" t="s">
        <v>10912</v>
      </c>
      <c r="M37" s="317" t="s">
        <v>10040</v>
      </c>
      <c r="N37" s="457" t="str">
        <f>IF(AND(cst_shinsei_strtower01_JUDGE&lt;&gt;1,shinsei_STRUCTRESULT_NOTIFY_DATE&lt;&gt;""),"非適判物件。通知日か交付日が入力されています","")</f>
        <v/>
      </c>
      <c r="O37" s="460"/>
      <c r="P37" s="315" t="str">
        <f t="shared" si="15"/>
        <v>非対象</v>
      </c>
      <c r="Q37" s="315" t="str">
        <f t="shared" si="16"/>
        <v>非対象</v>
      </c>
      <c r="R37" s="315" t="str">
        <f t="shared" si="17"/>
        <v>非対象</v>
      </c>
      <c r="S37" s="315" t="str">
        <f t="shared" si="18"/>
        <v/>
      </c>
      <c r="T37" s="315" t="str">
        <f t="shared" si="19"/>
        <v>非対象</v>
      </c>
      <c r="U37" s="315" t="str">
        <f t="shared" si="20"/>
        <v>非対象</v>
      </c>
      <c r="V37" s="315" t="str">
        <f t="shared" si="21"/>
        <v>非対象</v>
      </c>
      <c r="W37" s="459" t="s">
        <v>10889</v>
      </c>
      <c r="X37" s="459" t="s">
        <v>10889</v>
      </c>
      <c r="Y37" s="315" t="str">
        <f t="shared" si="22"/>
        <v>非対象</v>
      </c>
      <c r="Z37" s="459" t="s">
        <v>10889</v>
      </c>
      <c r="AA37" s="459" t="s">
        <v>10889</v>
      </c>
      <c r="AB37" s="315" t="str">
        <f t="shared" si="23"/>
        <v>非対象</v>
      </c>
      <c r="AC37" s="315" t="str">
        <f t="shared" si="24"/>
        <v>非対象</v>
      </c>
      <c r="AD37" s="315" t="str">
        <f t="shared" si="25"/>
        <v>非対象</v>
      </c>
      <c r="AE37" s="315" t="str">
        <f t="shared" si="26"/>
        <v>非対象</v>
      </c>
      <c r="AF37" s="315" t="str">
        <f t="shared" si="27"/>
        <v>非対象</v>
      </c>
      <c r="AG37" s="315" t="str">
        <f t="shared" si="28"/>
        <v>非対象</v>
      </c>
    </row>
    <row r="38" spans="1:33" ht="18" customHeight="1">
      <c r="A38" s="493">
        <f t="shared" si="14"/>
        <v>35</v>
      </c>
      <c r="B38" s="494" t="s">
        <v>10067</v>
      </c>
      <c r="C38" s="494" t="s">
        <v>10068</v>
      </c>
      <c r="D38" s="481" t="s">
        <v>10059</v>
      </c>
      <c r="E38" s="315"/>
      <c r="F38" s="489"/>
      <c r="G38" s="481" t="s">
        <v>10059</v>
      </c>
      <c r="H38" s="315"/>
      <c r="I38" s="489"/>
      <c r="J38" s="481"/>
      <c r="K38" s="489" t="s">
        <v>10059</v>
      </c>
      <c r="L38" s="480" t="s">
        <v>10073</v>
      </c>
      <c r="M38" s="317" t="s">
        <v>10918</v>
      </c>
      <c r="N38" s="457" t="str">
        <f>IF(cst_shinsei_build_p4_TAIKA_KENTIKU="","第四面5.耐火建築物が入力されていません","")</f>
        <v>第四面5.耐火建築物が入力されていません</v>
      </c>
      <c r="O38" s="460" t="str">
        <f>cst_shinsei_build_p4_TAIKA_KENTIKU</f>
        <v/>
      </c>
      <c r="P38" s="315" t="str">
        <f t="shared" si="15"/>
        <v>未使用</v>
      </c>
      <c r="Q38" s="315" t="str">
        <f t="shared" si="16"/>
        <v>未使用</v>
      </c>
      <c r="R38" s="315" t="str">
        <f t="shared" si="17"/>
        <v>未使用</v>
      </c>
      <c r="S38" s="315" t="str">
        <f t="shared" si="18"/>
        <v>未使用</v>
      </c>
      <c r="T38" s="315" t="str">
        <f t="shared" si="19"/>
        <v>未使用</v>
      </c>
      <c r="U38" s="315" t="str">
        <f t="shared" si="20"/>
        <v>未使用</v>
      </c>
      <c r="V38" s="315" t="str">
        <f t="shared" si="21"/>
        <v>未使用</v>
      </c>
      <c r="W38" s="459" t="s">
        <v>10889</v>
      </c>
      <c r="X38" s="459" t="s">
        <v>10889</v>
      </c>
      <c r="Y38" s="315" t="str">
        <f t="shared" si="22"/>
        <v>未使用</v>
      </c>
      <c r="Z38" s="459" t="s">
        <v>10889</v>
      </c>
      <c r="AA38" s="459" t="s">
        <v>10889</v>
      </c>
      <c r="AB38" s="315" t="str">
        <f t="shared" si="23"/>
        <v>未使用</v>
      </c>
      <c r="AC38" s="315" t="str">
        <f t="shared" si="24"/>
        <v>未使用</v>
      </c>
      <c r="AD38" s="315" t="str">
        <f t="shared" si="25"/>
        <v>未使用</v>
      </c>
      <c r="AE38" s="315" t="str">
        <f t="shared" si="26"/>
        <v>未使用</v>
      </c>
      <c r="AF38" s="315" t="str">
        <f t="shared" si="27"/>
        <v>未使用</v>
      </c>
      <c r="AG38" s="315" t="str">
        <f t="shared" si="28"/>
        <v>未使用</v>
      </c>
    </row>
    <row r="39" spans="1:33" ht="18" customHeight="1">
      <c r="A39" s="493">
        <f t="shared" si="14"/>
        <v>36</v>
      </c>
      <c r="B39" s="494" t="s">
        <v>10059</v>
      </c>
      <c r="C39" s="494" t="s">
        <v>10070</v>
      </c>
      <c r="D39" s="481" t="s">
        <v>10059</v>
      </c>
      <c r="E39" s="315"/>
      <c r="F39" s="489"/>
      <c r="G39" s="481" t="s">
        <v>10059</v>
      </c>
      <c r="H39" s="315"/>
      <c r="I39" s="489"/>
      <c r="J39" s="481" t="s">
        <v>10059</v>
      </c>
      <c r="K39" s="489"/>
      <c r="L39" s="480" t="s">
        <v>10073</v>
      </c>
      <c r="M39" s="313" t="s">
        <v>10895</v>
      </c>
      <c r="N39" s="457" t="str">
        <f>IF(cst_shinsei_HIKIUKE_KAKU_KOUFU_YOTEI_DATE="","確認予定日が未入力です","")</f>
        <v>確認予定日が未入力です</v>
      </c>
      <c r="O39" s="458" t="str">
        <f>cst_shinsei_HIKIUKE_KAKU_KOUFU_YOTEI_DATE</f>
        <v/>
      </c>
      <c r="P39" s="315" t="str">
        <f t="shared" si="15"/>
        <v>入力</v>
      </c>
      <c r="Q39" s="315" t="str">
        <f t="shared" si="16"/>
        <v>非対象</v>
      </c>
      <c r="R39" s="315" t="str">
        <f t="shared" si="17"/>
        <v>非対象</v>
      </c>
      <c r="S39" s="315" t="str">
        <f t="shared" si="18"/>
        <v>非対象</v>
      </c>
      <c r="T39" s="315" t="str">
        <f t="shared" si="19"/>
        <v>非対象</v>
      </c>
      <c r="U39" s="315" t="str">
        <f t="shared" si="20"/>
        <v>非対象</v>
      </c>
      <c r="V39" s="315" t="str">
        <f t="shared" si="21"/>
        <v>非対象</v>
      </c>
      <c r="W39" s="459" t="s">
        <v>10889</v>
      </c>
      <c r="X39" s="459" t="s">
        <v>10889</v>
      </c>
      <c r="Y39" s="315" t="str">
        <f t="shared" si="22"/>
        <v>非対象</v>
      </c>
      <c r="Z39" s="459" t="s">
        <v>10889</v>
      </c>
      <c r="AA39" s="459" t="s">
        <v>10889</v>
      </c>
      <c r="AB39" s="315" t="str">
        <f t="shared" si="23"/>
        <v>非対象</v>
      </c>
      <c r="AC39" s="315" t="str">
        <f t="shared" si="24"/>
        <v>非対象</v>
      </c>
      <c r="AD39" s="315" t="str">
        <f t="shared" si="25"/>
        <v>非対象</v>
      </c>
      <c r="AE39" s="315" t="str">
        <f t="shared" si="26"/>
        <v>非対象</v>
      </c>
      <c r="AF39" s="315" t="str">
        <f t="shared" si="27"/>
        <v>非対象</v>
      </c>
      <c r="AG39" s="315" t="str">
        <f t="shared" si="28"/>
        <v>非対象</v>
      </c>
    </row>
    <row r="40" spans="1:33" ht="18" customHeight="1">
      <c r="A40" s="493">
        <f t="shared" si="14"/>
        <v>37</v>
      </c>
      <c r="B40" s="494" t="s">
        <v>10067</v>
      </c>
      <c r="C40" s="494" t="s">
        <v>10068</v>
      </c>
      <c r="D40" s="481" t="s">
        <v>10059</v>
      </c>
      <c r="E40" s="315" t="s">
        <v>10059</v>
      </c>
      <c r="F40" s="489" t="s">
        <v>10059</v>
      </c>
      <c r="G40" s="481" t="s">
        <v>10059</v>
      </c>
      <c r="H40" s="315" t="s">
        <v>10059</v>
      </c>
      <c r="I40" s="489" t="s">
        <v>10059</v>
      </c>
      <c r="J40" s="481"/>
      <c r="K40" s="489" t="s">
        <v>10059</v>
      </c>
      <c r="L40" s="480" t="s">
        <v>10912</v>
      </c>
      <c r="M40" s="313" t="s">
        <v>10913</v>
      </c>
      <c r="N40" s="457" t="str">
        <f>IF(cst_shinsei_ISSUE_DATE=cst_shinsei_HOUKOKU_DATE,"","確認済証交付日と報告日が相違しています")</f>
        <v/>
      </c>
      <c r="O40" s="460"/>
      <c r="P40" s="315" t="str">
        <f t="shared" si="15"/>
        <v>未使用</v>
      </c>
      <c r="Q40" s="315" t="str">
        <f t="shared" si="16"/>
        <v>未使用</v>
      </c>
      <c r="R40" s="315" t="str">
        <f t="shared" si="17"/>
        <v>未使用</v>
      </c>
      <c r="S40" s="315" t="str">
        <f t="shared" si="18"/>
        <v>未使用</v>
      </c>
      <c r="T40" s="315" t="str">
        <f t="shared" si="19"/>
        <v>未使用</v>
      </c>
      <c r="U40" s="315" t="str">
        <f t="shared" si="20"/>
        <v>未使用</v>
      </c>
      <c r="V40" s="315" t="str">
        <f t="shared" si="21"/>
        <v>未使用</v>
      </c>
      <c r="W40" s="459" t="s">
        <v>10889</v>
      </c>
      <c r="X40" s="459" t="s">
        <v>10889</v>
      </c>
      <c r="Y40" s="315" t="str">
        <f t="shared" si="22"/>
        <v>未使用</v>
      </c>
      <c r="Z40" s="459" t="s">
        <v>10889</v>
      </c>
      <c r="AA40" s="459" t="s">
        <v>10889</v>
      </c>
      <c r="AB40" s="315" t="str">
        <f t="shared" si="23"/>
        <v>未使用</v>
      </c>
      <c r="AC40" s="315" t="str">
        <f t="shared" si="24"/>
        <v>未使用</v>
      </c>
      <c r="AD40" s="315" t="str">
        <f t="shared" si="25"/>
        <v>未使用</v>
      </c>
      <c r="AE40" s="315" t="str">
        <f t="shared" si="26"/>
        <v>未使用</v>
      </c>
      <c r="AF40" s="315" t="str">
        <f t="shared" si="27"/>
        <v>未使用</v>
      </c>
      <c r="AG40" s="315" t="str">
        <f t="shared" si="28"/>
        <v>未使用</v>
      </c>
    </row>
    <row r="41" spans="1:33" ht="18" customHeight="1">
      <c r="A41" s="493">
        <f t="shared" si="14"/>
        <v>38</v>
      </c>
      <c r="B41" s="494" t="s">
        <v>10067</v>
      </c>
      <c r="C41" s="494" t="s">
        <v>10068</v>
      </c>
      <c r="D41" s="481" t="s">
        <v>10059</v>
      </c>
      <c r="E41" s="315" t="s">
        <v>10059</v>
      </c>
      <c r="F41" s="489" t="s">
        <v>10059</v>
      </c>
      <c r="G41" s="481" t="s">
        <v>10059</v>
      </c>
      <c r="H41" s="315" t="s">
        <v>10059</v>
      </c>
      <c r="I41" s="489" t="s">
        <v>10059</v>
      </c>
      <c r="J41" s="481" t="s">
        <v>10059</v>
      </c>
      <c r="K41" s="489" t="s">
        <v>10059</v>
      </c>
      <c r="L41" s="480" t="s">
        <v>10073</v>
      </c>
      <c r="M41" s="313" t="s">
        <v>10914</v>
      </c>
      <c r="N41" s="457" t="str">
        <f>IF(shinsei_FD_FLAG="","申請種別　FD　書類　が入力されていません","")</f>
        <v>申請種別　FD　書類　が入力されていません</v>
      </c>
      <c r="O41" s="460"/>
      <c r="P41" s="315" t="str">
        <f t="shared" si="15"/>
        <v>未使用</v>
      </c>
      <c r="Q41" s="315" t="str">
        <f t="shared" si="16"/>
        <v>未使用</v>
      </c>
      <c r="R41" s="315" t="str">
        <f t="shared" si="17"/>
        <v>未使用</v>
      </c>
      <c r="S41" s="315" t="str">
        <f t="shared" si="18"/>
        <v>未使用</v>
      </c>
      <c r="T41" s="315" t="str">
        <f t="shared" si="19"/>
        <v>未使用</v>
      </c>
      <c r="U41" s="315" t="str">
        <f t="shared" si="20"/>
        <v>未使用</v>
      </c>
      <c r="V41" s="315" t="str">
        <f t="shared" si="21"/>
        <v>未使用</v>
      </c>
      <c r="W41" s="459" t="s">
        <v>10889</v>
      </c>
      <c r="X41" s="459" t="s">
        <v>10889</v>
      </c>
      <c r="Y41" s="315" t="str">
        <f t="shared" si="22"/>
        <v>未使用</v>
      </c>
      <c r="Z41" s="459" t="s">
        <v>10889</v>
      </c>
      <c r="AA41" s="459" t="s">
        <v>10889</v>
      </c>
      <c r="AB41" s="315" t="str">
        <f t="shared" si="23"/>
        <v>未使用</v>
      </c>
      <c r="AC41" s="315" t="str">
        <f t="shared" si="24"/>
        <v>未使用</v>
      </c>
      <c r="AD41" s="315" t="str">
        <f t="shared" si="25"/>
        <v>未使用</v>
      </c>
      <c r="AE41" s="315" t="str">
        <f t="shared" si="26"/>
        <v>未使用</v>
      </c>
      <c r="AF41" s="315" t="str">
        <f t="shared" si="27"/>
        <v>未使用</v>
      </c>
      <c r="AG41" s="315" t="str">
        <f t="shared" si="28"/>
        <v>未使用</v>
      </c>
    </row>
    <row r="42" spans="1:33" ht="18" customHeight="1">
      <c r="A42" s="493">
        <f t="shared" si="14"/>
        <v>39</v>
      </c>
      <c r="B42" s="494" t="s">
        <v>10059</v>
      </c>
      <c r="C42" s="494" t="s">
        <v>10070</v>
      </c>
      <c r="D42" s="481" t="s">
        <v>10059</v>
      </c>
      <c r="E42" s="315"/>
      <c r="F42" s="489"/>
      <c r="G42" s="481" t="s">
        <v>10059</v>
      </c>
      <c r="H42" s="315"/>
      <c r="I42" s="489"/>
      <c r="J42" s="481" t="s">
        <v>10059</v>
      </c>
      <c r="K42" s="489"/>
      <c r="L42" s="480" t="s">
        <v>10073</v>
      </c>
      <c r="M42" s="313" t="s">
        <v>10896</v>
      </c>
      <c r="N42" s="457" t="str">
        <f>IF(shinsei_FIRE_NOTIFY_SUBMIT_KIND="","消防 - 通知・同意が選択されていません","")</f>
        <v/>
      </c>
      <c r="O42" s="460" t="str">
        <f>cst_shinsei_FIRE_NOTIFY_SUBMIT_KIND</f>
        <v>同意</v>
      </c>
      <c r="P42" s="315" t="str">
        <f t="shared" si="15"/>
        <v/>
      </c>
      <c r="Q42" s="315" t="str">
        <f t="shared" si="16"/>
        <v>非対象</v>
      </c>
      <c r="R42" s="315" t="str">
        <f t="shared" si="17"/>
        <v>非対象</v>
      </c>
      <c r="S42" s="315" t="str">
        <f t="shared" si="18"/>
        <v>非対象</v>
      </c>
      <c r="T42" s="315" t="str">
        <f t="shared" si="19"/>
        <v>非対象</v>
      </c>
      <c r="U42" s="315" t="str">
        <f t="shared" si="20"/>
        <v>非対象</v>
      </c>
      <c r="V42" s="315" t="str">
        <f t="shared" si="21"/>
        <v>非対象</v>
      </c>
      <c r="W42" s="459" t="s">
        <v>10889</v>
      </c>
      <c r="X42" s="459" t="s">
        <v>10889</v>
      </c>
      <c r="Y42" s="315" t="str">
        <f t="shared" si="22"/>
        <v>非対象</v>
      </c>
      <c r="Z42" s="459" t="s">
        <v>10889</v>
      </c>
      <c r="AA42" s="459" t="s">
        <v>10889</v>
      </c>
      <c r="AB42" s="315" t="str">
        <f t="shared" si="23"/>
        <v>非対象</v>
      </c>
      <c r="AC42" s="315" t="str">
        <f t="shared" si="24"/>
        <v>非対象</v>
      </c>
      <c r="AD42" s="315" t="str">
        <f t="shared" si="25"/>
        <v>非対象</v>
      </c>
      <c r="AE42" s="315" t="str">
        <f t="shared" si="26"/>
        <v>非対象</v>
      </c>
      <c r="AF42" s="315" t="str">
        <f t="shared" si="27"/>
        <v>非対象</v>
      </c>
      <c r="AG42" s="315" t="str">
        <f t="shared" si="28"/>
        <v>非対象</v>
      </c>
    </row>
    <row r="43" spans="1:33" ht="18" customHeight="1">
      <c r="A43" s="493">
        <f t="shared" si="14"/>
        <v>40</v>
      </c>
      <c r="B43" s="494" t="s">
        <v>10059</v>
      </c>
      <c r="C43" s="494" t="s">
        <v>10070</v>
      </c>
      <c r="D43" s="481" t="s">
        <v>10059</v>
      </c>
      <c r="E43" s="315"/>
      <c r="F43" s="489"/>
      <c r="G43" s="481" t="s">
        <v>10059</v>
      </c>
      <c r="H43" s="315"/>
      <c r="I43" s="489"/>
      <c r="J43" s="481" t="s">
        <v>10059</v>
      </c>
      <c r="K43" s="489"/>
      <c r="L43" s="480" t="s">
        <v>10073</v>
      </c>
      <c r="M43" s="313" t="s">
        <v>382</v>
      </c>
      <c r="N43" s="457" t="str">
        <f>IF(shinsei_FIRE_NOTIFY_SUBMIT_KIND="同意",IF(shinsei_FIRE_SUBMIT_DATE="","消防 - 同意送付日が入力されていません",""),"")</f>
        <v/>
      </c>
      <c r="O43" s="460" t="str">
        <f>IF(cst_shinsei_FIRE_NOTIFY_SUBMIT_KIND="同意","消防 - 同意送付日："&amp;IF(shinsei_FIRE_SUBMIT_DATE="","",TEXT(shinsei_FIRE_SUBMIT_DATE,"yyyy/mm/dd")),"")</f>
        <v>消防 - 同意送付日：2021/03/03</v>
      </c>
      <c r="P43" s="315" t="str">
        <f t="shared" si="15"/>
        <v/>
      </c>
      <c r="Q43" s="315" t="str">
        <f t="shared" si="16"/>
        <v>非対象</v>
      </c>
      <c r="R43" s="315" t="str">
        <f t="shared" si="17"/>
        <v>非対象</v>
      </c>
      <c r="S43" s="315" t="str">
        <f t="shared" si="18"/>
        <v>非対象</v>
      </c>
      <c r="T43" s="315" t="str">
        <f t="shared" si="19"/>
        <v>非対象</v>
      </c>
      <c r="U43" s="315" t="str">
        <f t="shared" si="20"/>
        <v>非対象</v>
      </c>
      <c r="V43" s="315" t="str">
        <f t="shared" si="21"/>
        <v>非対象</v>
      </c>
      <c r="W43" s="459" t="s">
        <v>10889</v>
      </c>
      <c r="X43" s="459" t="s">
        <v>10889</v>
      </c>
      <c r="Y43" s="315" t="str">
        <f t="shared" si="22"/>
        <v>非対象</v>
      </c>
      <c r="Z43" s="459" t="s">
        <v>10889</v>
      </c>
      <c r="AA43" s="459" t="s">
        <v>10889</v>
      </c>
      <c r="AB43" s="315" t="str">
        <f t="shared" si="23"/>
        <v>非対象</v>
      </c>
      <c r="AC43" s="315" t="str">
        <f t="shared" si="24"/>
        <v>非対象</v>
      </c>
      <c r="AD43" s="315" t="str">
        <f t="shared" si="25"/>
        <v>非対象</v>
      </c>
      <c r="AE43" s="315" t="str">
        <f t="shared" si="26"/>
        <v>非対象</v>
      </c>
      <c r="AF43" s="315" t="str">
        <f t="shared" si="27"/>
        <v>非対象</v>
      </c>
      <c r="AG43" s="315" t="str">
        <f t="shared" si="28"/>
        <v>非対象</v>
      </c>
    </row>
    <row r="44" spans="1:33" ht="18" customHeight="1">
      <c r="A44" s="493">
        <f t="shared" si="14"/>
        <v>41</v>
      </c>
      <c r="B44" s="494" t="s">
        <v>10059</v>
      </c>
      <c r="C44" s="494" t="s">
        <v>10070</v>
      </c>
      <c r="D44" s="481" t="s">
        <v>10059</v>
      </c>
      <c r="E44" s="315" t="s">
        <v>10059</v>
      </c>
      <c r="F44" s="489"/>
      <c r="G44" s="481" t="s">
        <v>10059</v>
      </c>
      <c r="H44" s="315"/>
      <c r="I44" s="489"/>
      <c r="J44" s="481"/>
      <c r="K44" s="489" t="s">
        <v>10059</v>
      </c>
      <c r="L44" s="480" t="s">
        <v>10073</v>
      </c>
      <c r="M44" s="313" t="s">
        <v>383</v>
      </c>
      <c r="N44" s="457" t="str">
        <f>IF(shinsei_FIRE_NOTIFY_SUBMIT_KIND="通知",IF(shinsei_FIRE_NOTIFY_DATE="","消防 - 通知日が入力されていません",""),"")</f>
        <v/>
      </c>
      <c r="O44" s="460" t="str">
        <f>IF(cst_shinsei_FIRE_NOTIFY_SUBMIT_KIND="通知","消防 - 通知日："&amp;IF(shinsei_FIRE_NOTIFY_DATE="","",TEXT(shinsei_FIRE_NOTIFY_DATE,"yyyy/mm/dd")),"")</f>
        <v/>
      </c>
      <c r="P44" s="315" t="str">
        <f t="shared" si="15"/>
        <v>非対象</v>
      </c>
      <c r="Q44" s="315" t="str">
        <f t="shared" si="16"/>
        <v>非対象</v>
      </c>
      <c r="R44" s="315" t="str">
        <f t="shared" si="17"/>
        <v>非対象</v>
      </c>
      <c r="S44" s="315" t="str">
        <f t="shared" si="18"/>
        <v/>
      </c>
      <c r="T44" s="315" t="str">
        <f t="shared" si="19"/>
        <v/>
      </c>
      <c r="U44" s="315" t="str">
        <f t="shared" si="20"/>
        <v>非対象</v>
      </c>
      <c r="V44" s="315" t="str">
        <f t="shared" si="21"/>
        <v>非対象</v>
      </c>
      <c r="W44" s="459" t="s">
        <v>10889</v>
      </c>
      <c r="X44" s="459" t="s">
        <v>10889</v>
      </c>
      <c r="Y44" s="315" t="str">
        <f t="shared" si="22"/>
        <v>非対象</v>
      </c>
      <c r="Z44" s="459" t="s">
        <v>10889</v>
      </c>
      <c r="AA44" s="459" t="s">
        <v>10889</v>
      </c>
      <c r="AB44" s="315" t="str">
        <f t="shared" si="23"/>
        <v>非対象</v>
      </c>
      <c r="AC44" s="315" t="str">
        <f t="shared" si="24"/>
        <v>非対象</v>
      </c>
      <c r="AD44" s="315" t="str">
        <f t="shared" si="25"/>
        <v>非対象</v>
      </c>
      <c r="AE44" s="315" t="str">
        <f t="shared" si="26"/>
        <v>非対象</v>
      </c>
      <c r="AF44" s="315" t="str">
        <f t="shared" si="27"/>
        <v>非対象</v>
      </c>
      <c r="AG44" s="315" t="str">
        <f t="shared" si="28"/>
        <v>非対象</v>
      </c>
    </row>
    <row r="45" spans="1:33" ht="18" customHeight="1">
      <c r="A45" s="493">
        <f t="shared" si="14"/>
        <v>42</v>
      </c>
      <c r="B45" s="494" t="s">
        <v>10059</v>
      </c>
      <c r="C45" s="494" t="s">
        <v>10068</v>
      </c>
      <c r="D45" s="481" t="s">
        <v>10059</v>
      </c>
      <c r="E45" s="315"/>
      <c r="F45" s="489"/>
      <c r="G45" s="481" t="s">
        <v>10059</v>
      </c>
      <c r="H45" s="315" t="s">
        <v>10059</v>
      </c>
      <c r="I45" s="489" t="s">
        <v>10059</v>
      </c>
      <c r="J45" s="481"/>
      <c r="K45" s="489" t="s">
        <v>10059</v>
      </c>
      <c r="L45" s="480" t="s">
        <v>10078</v>
      </c>
      <c r="M45" s="313" t="s">
        <v>10911</v>
      </c>
      <c r="N45" s="457" t="str">
        <f>IF(AND(shinsei_TARGET_KIND="建築物",shinsei_build_STAT_HOU6_1=""),"統計報告等で法６条区分の選択は必須になりますので確認済証等の交付証の発行をできなくしました。","")</f>
        <v/>
      </c>
      <c r="O45" s="460"/>
      <c r="P45" s="315" t="str">
        <f t="shared" si="15"/>
        <v>非対象</v>
      </c>
      <c r="Q45" s="315" t="str">
        <f t="shared" si="16"/>
        <v>非対象</v>
      </c>
      <c r="R45" s="315" t="str">
        <f t="shared" si="17"/>
        <v>非対象</v>
      </c>
      <c r="S45" s="315" t="str">
        <f t="shared" si="18"/>
        <v/>
      </c>
      <c r="T45" s="315" t="str">
        <f t="shared" si="19"/>
        <v>非対象</v>
      </c>
      <c r="U45" s="315" t="str">
        <f t="shared" si="20"/>
        <v>非対象</v>
      </c>
      <c r="V45" s="315" t="str">
        <f t="shared" si="21"/>
        <v>非対象</v>
      </c>
      <c r="W45" s="459" t="s">
        <v>10889</v>
      </c>
      <c r="X45" s="459" t="s">
        <v>10889</v>
      </c>
      <c r="Y45" s="315" t="str">
        <f t="shared" si="22"/>
        <v/>
      </c>
      <c r="Z45" s="459" t="s">
        <v>10889</v>
      </c>
      <c r="AA45" s="459" t="s">
        <v>10889</v>
      </c>
      <c r="AB45" s="315" t="str">
        <f t="shared" si="23"/>
        <v>非対象</v>
      </c>
      <c r="AC45" s="315" t="str">
        <f t="shared" si="24"/>
        <v>非対象</v>
      </c>
      <c r="AD45" s="315" t="str">
        <f t="shared" si="25"/>
        <v>非対象</v>
      </c>
      <c r="AE45" s="315" t="str">
        <f t="shared" si="26"/>
        <v/>
      </c>
      <c r="AF45" s="315" t="str">
        <f t="shared" si="27"/>
        <v>非対象</v>
      </c>
      <c r="AG45" s="315" t="str">
        <f t="shared" si="28"/>
        <v>非対象</v>
      </c>
    </row>
    <row r="46" spans="1:33" ht="18" customHeight="1">
      <c r="A46" s="493">
        <f t="shared" si="14"/>
        <v>43</v>
      </c>
      <c r="B46" s="494" t="s">
        <v>10059</v>
      </c>
      <c r="C46" s="494" t="s">
        <v>10070</v>
      </c>
      <c r="D46" s="481"/>
      <c r="E46" s="315" t="s">
        <v>10059</v>
      </c>
      <c r="F46" s="489"/>
      <c r="G46" s="481" t="s">
        <v>10059</v>
      </c>
      <c r="H46" s="315"/>
      <c r="I46" s="489" t="s">
        <v>10059</v>
      </c>
      <c r="J46" s="481" t="s">
        <v>10059</v>
      </c>
      <c r="K46" s="489" t="s">
        <v>10059</v>
      </c>
      <c r="L46" s="480" t="s">
        <v>10073</v>
      </c>
      <c r="M46" s="313" t="s">
        <v>10050</v>
      </c>
      <c r="N46" s="457" t="str">
        <f>IF(cst_shinsei_ev_EV_SYUBETU="","昇降機種類が未入力です","")</f>
        <v>昇降機種類が未入力です</v>
      </c>
      <c r="O46" s="460" t="str">
        <f>cst_shinsei_ev_EV_SYUBETU</f>
        <v/>
      </c>
      <c r="P46" s="315" t="str">
        <f t="shared" si="15"/>
        <v>非対象</v>
      </c>
      <c r="Q46" s="315" t="str">
        <f t="shared" si="16"/>
        <v>入力</v>
      </c>
      <c r="R46" s="315" t="str">
        <f t="shared" si="17"/>
        <v>非対象</v>
      </c>
      <c r="S46" s="315" t="str">
        <f t="shared" si="18"/>
        <v>非対象</v>
      </c>
      <c r="T46" s="315" t="str">
        <f t="shared" si="19"/>
        <v>入力</v>
      </c>
      <c r="U46" s="315" t="str">
        <f t="shared" si="20"/>
        <v>非対象</v>
      </c>
      <c r="V46" s="315" t="str">
        <f t="shared" si="21"/>
        <v>非対象</v>
      </c>
      <c r="W46" s="459" t="s">
        <v>10889</v>
      </c>
      <c r="X46" s="459" t="s">
        <v>10889</v>
      </c>
      <c r="Y46" s="315" t="str">
        <f t="shared" si="22"/>
        <v>非対象</v>
      </c>
      <c r="Z46" s="459" t="s">
        <v>10889</v>
      </c>
      <c r="AA46" s="459" t="s">
        <v>10889</v>
      </c>
      <c r="AB46" s="315" t="str">
        <f t="shared" si="23"/>
        <v>非対象</v>
      </c>
      <c r="AC46" s="315" t="str">
        <f t="shared" si="24"/>
        <v>入力</v>
      </c>
      <c r="AD46" s="315" t="str">
        <f t="shared" si="25"/>
        <v>非対象</v>
      </c>
      <c r="AE46" s="315" t="str">
        <f t="shared" si="26"/>
        <v>非対象</v>
      </c>
      <c r="AF46" s="315" t="str">
        <f t="shared" si="27"/>
        <v>入力</v>
      </c>
      <c r="AG46" s="315" t="str">
        <f t="shared" si="28"/>
        <v>非対象</v>
      </c>
    </row>
    <row r="47" spans="1:33" ht="18" customHeight="1">
      <c r="A47" s="493">
        <f t="shared" si="14"/>
        <v>44</v>
      </c>
      <c r="B47" s="494" t="s">
        <v>10059</v>
      </c>
      <c r="C47" s="494" t="s">
        <v>10070</v>
      </c>
      <c r="D47" s="481"/>
      <c r="E47" s="315" t="s">
        <v>10059</v>
      </c>
      <c r="F47" s="489"/>
      <c r="G47" s="481"/>
      <c r="H47" s="315"/>
      <c r="I47" s="489"/>
      <c r="J47" s="481"/>
      <c r="K47" s="489" t="s">
        <v>10059</v>
      </c>
      <c r="L47" s="480" t="s">
        <v>10073</v>
      </c>
      <c r="M47" s="313" t="s">
        <v>10054</v>
      </c>
      <c r="N47" s="457" t="str">
        <f>IF(cst_shinsei_ev_EV_SYUBETU="","昇降機の種別が未入力です","")</f>
        <v>昇降機の種別が未入力です</v>
      </c>
      <c r="O47" s="313" t="str">
        <f>cst_shinsei_ev_EV_SYUBETU</f>
        <v/>
      </c>
      <c r="P47" s="315" t="str">
        <f t="shared" si="15"/>
        <v>非対象</v>
      </c>
      <c r="Q47" s="315" t="str">
        <f t="shared" si="16"/>
        <v>非対象</v>
      </c>
      <c r="R47" s="315" t="str">
        <f t="shared" si="17"/>
        <v>非対象</v>
      </c>
      <c r="S47" s="315" t="str">
        <f t="shared" si="18"/>
        <v>非対象</v>
      </c>
      <c r="T47" s="315" t="str">
        <f t="shared" si="19"/>
        <v>非対象</v>
      </c>
      <c r="U47" s="315" t="str">
        <f t="shared" si="20"/>
        <v>非対象</v>
      </c>
      <c r="V47" s="315" t="str">
        <f t="shared" si="21"/>
        <v>非対象</v>
      </c>
      <c r="W47" s="459" t="s">
        <v>10889</v>
      </c>
      <c r="X47" s="459" t="s">
        <v>10889</v>
      </c>
      <c r="Y47" s="315" t="str">
        <f t="shared" si="22"/>
        <v>非対象</v>
      </c>
      <c r="Z47" s="459" t="s">
        <v>10889</v>
      </c>
      <c r="AA47" s="459" t="s">
        <v>10889</v>
      </c>
      <c r="AB47" s="315" t="str">
        <f t="shared" si="23"/>
        <v>非対象</v>
      </c>
      <c r="AC47" s="315" t="str">
        <f t="shared" si="24"/>
        <v>非対象</v>
      </c>
      <c r="AD47" s="315" t="str">
        <f t="shared" si="25"/>
        <v>非対象</v>
      </c>
      <c r="AE47" s="315" t="str">
        <f t="shared" si="26"/>
        <v>非対象</v>
      </c>
      <c r="AF47" s="315" t="str">
        <f t="shared" si="27"/>
        <v>非対象</v>
      </c>
      <c r="AG47" s="315" t="str">
        <f t="shared" si="28"/>
        <v>非対象</v>
      </c>
    </row>
    <row r="48" spans="1:33" ht="18" customHeight="1">
      <c r="A48" s="493">
        <f t="shared" si="14"/>
        <v>45</v>
      </c>
      <c r="B48" s="494" t="s">
        <v>10059</v>
      </c>
      <c r="C48" s="494" t="s">
        <v>10070</v>
      </c>
      <c r="D48" s="481"/>
      <c r="E48" s="315" t="s">
        <v>10059</v>
      </c>
      <c r="F48" s="489"/>
      <c r="G48" s="481"/>
      <c r="H48" s="315"/>
      <c r="I48" s="489"/>
      <c r="J48" s="481"/>
      <c r="K48" s="489" t="s">
        <v>10059</v>
      </c>
      <c r="L48" s="480" t="s">
        <v>10073</v>
      </c>
      <c r="M48" s="313" t="s">
        <v>10897</v>
      </c>
      <c r="N48" s="457" t="str">
        <f>IF(cst_shinsei_ev_EV_YOUTO="","昇降機の用途が未入力です","")</f>
        <v>昇降機の用途が未入力です</v>
      </c>
      <c r="O48" s="313" t="str">
        <f>cst_shinsei_ev_EV_YOUTO</f>
        <v/>
      </c>
      <c r="P48" s="315" t="str">
        <f t="shared" si="15"/>
        <v>非対象</v>
      </c>
      <c r="Q48" s="315" t="str">
        <f t="shared" si="16"/>
        <v>非対象</v>
      </c>
      <c r="R48" s="315" t="str">
        <f t="shared" si="17"/>
        <v>非対象</v>
      </c>
      <c r="S48" s="315" t="str">
        <f t="shared" si="18"/>
        <v>非対象</v>
      </c>
      <c r="T48" s="315" t="str">
        <f t="shared" si="19"/>
        <v>非対象</v>
      </c>
      <c r="U48" s="315" t="str">
        <f t="shared" si="20"/>
        <v>非対象</v>
      </c>
      <c r="V48" s="315" t="str">
        <f t="shared" si="21"/>
        <v>非対象</v>
      </c>
      <c r="W48" s="459" t="s">
        <v>10889</v>
      </c>
      <c r="X48" s="459" t="s">
        <v>10889</v>
      </c>
      <c r="Y48" s="315" t="str">
        <f t="shared" si="22"/>
        <v>非対象</v>
      </c>
      <c r="Z48" s="459" t="s">
        <v>10889</v>
      </c>
      <c r="AA48" s="459" t="s">
        <v>10889</v>
      </c>
      <c r="AB48" s="315" t="str">
        <f t="shared" si="23"/>
        <v>非対象</v>
      </c>
      <c r="AC48" s="315" t="str">
        <f t="shared" si="24"/>
        <v>非対象</v>
      </c>
      <c r="AD48" s="315" t="str">
        <f t="shared" si="25"/>
        <v>非対象</v>
      </c>
      <c r="AE48" s="315" t="str">
        <f t="shared" si="26"/>
        <v>非対象</v>
      </c>
      <c r="AF48" s="315" t="str">
        <f t="shared" si="27"/>
        <v>非対象</v>
      </c>
      <c r="AG48" s="315" t="str">
        <f t="shared" si="28"/>
        <v>非対象</v>
      </c>
    </row>
    <row r="49" spans="1:33" ht="18" customHeight="1">
      <c r="A49" s="493">
        <f t="shared" si="14"/>
        <v>46</v>
      </c>
      <c r="B49" s="494" t="s">
        <v>10059</v>
      </c>
      <c r="C49" s="494" t="s">
        <v>10070</v>
      </c>
      <c r="D49" s="481"/>
      <c r="E49" s="315" t="s">
        <v>10059</v>
      </c>
      <c r="F49" s="489"/>
      <c r="G49" s="481"/>
      <c r="H49" s="315"/>
      <c r="I49" s="489"/>
      <c r="J49" s="481"/>
      <c r="K49" s="489" t="s">
        <v>10059</v>
      </c>
      <c r="L49" s="480" t="s">
        <v>10073</v>
      </c>
      <c r="M49" s="313" t="s">
        <v>10898</v>
      </c>
      <c r="N49" s="457" t="str">
        <f>IF(cst_shinsei_ev_EV_SEKISAI="","積載荷重が未入力です","")</f>
        <v>積載荷重が未入力です</v>
      </c>
      <c r="O49" s="313" t="str">
        <f>cst_shinsei_ev_EV_SEKISAI</f>
        <v/>
      </c>
      <c r="P49" s="315" t="str">
        <f t="shared" si="15"/>
        <v>非対象</v>
      </c>
      <c r="Q49" s="315" t="str">
        <f t="shared" si="16"/>
        <v>非対象</v>
      </c>
      <c r="R49" s="315" t="str">
        <f t="shared" si="17"/>
        <v>非対象</v>
      </c>
      <c r="S49" s="315" t="str">
        <f t="shared" si="18"/>
        <v>非対象</v>
      </c>
      <c r="T49" s="315" t="str">
        <f t="shared" si="19"/>
        <v>非対象</v>
      </c>
      <c r="U49" s="315" t="str">
        <f t="shared" si="20"/>
        <v>非対象</v>
      </c>
      <c r="V49" s="315" t="str">
        <f t="shared" si="21"/>
        <v>非対象</v>
      </c>
      <c r="W49" s="459" t="s">
        <v>10889</v>
      </c>
      <c r="X49" s="459" t="s">
        <v>10889</v>
      </c>
      <c r="Y49" s="315" t="str">
        <f t="shared" si="22"/>
        <v>非対象</v>
      </c>
      <c r="Z49" s="459" t="s">
        <v>10889</v>
      </c>
      <c r="AA49" s="459" t="s">
        <v>10889</v>
      </c>
      <c r="AB49" s="315" t="str">
        <f t="shared" si="23"/>
        <v>非対象</v>
      </c>
      <c r="AC49" s="315" t="str">
        <f t="shared" si="24"/>
        <v>非対象</v>
      </c>
      <c r="AD49" s="315" t="str">
        <f t="shared" si="25"/>
        <v>非対象</v>
      </c>
      <c r="AE49" s="315" t="str">
        <f t="shared" si="26"/>
        <v>非対象</v>
      </c>
      <c r="AF49" s="315" t="str">
        <f t="shared" si="27"/>
        <v>非対象</v>
      </c>
      <c r="AG49" s="315" t="str">
        <f t="shared" si="28"/>
        <v>非対象</v>
      </c>
    </row>
    <row r="50" spans="1:33" ht="18" customHeight="1">
      <c r="A50" s="493">
        <f t="shared" si="14"/>
        <v>47</v>
      </c>
      <c r="B50" s="494" t="s">
        <v>10059</v>
      </c>
      <c r="C50" s="494" t="s">
        <v>10070</v>
      </c>
      <c r="D50" s="481"/>
      <c r="E50" s="315" t="s">
        <v>10059</v>
      </c>
      <c r="F50" s="489"/>
      <c r="G50" s="481"/>
      <c r="H50" s="315"/>
      <c r="I50" s="489"/>
      <c r="J50" s="481"/>
      <c r="K50" s="489" t="s">
        <v>10059</v>
      </c>
      <c r="L50" s="480" t="s">
        <v>10073</v>
      </c>
      <c r="M50" s="313" t="s">
        <v>10899</v>
      </c>
      <c r="N50" s="457" t="str">
        <f>IF(cst_shinsei_ev_EV_TEIIN="","最大定員が未入力です","")</f>
        <v>最大定員が未入力です</v>
      </c>
      <c r="O50" s="313" t="str">
        <f>cst_shinsei_ev_EV_TEIIN</f>
        <v/>
      </c>
      <c r="P50" s="315" t="str">
        <f t="shared" si="15"/>
        <v>非対象</v>
      </c>
      <c r="Q50" s="315" t="str">
        <f t="shared" si="16"/>
        <v>非対象</v>
      </c>
      <c r="R50" s="315" t="str">
        <f t="shared" si="17"/>
        <v>非対象</v>
      </c>
      <c r="S50" s="315" t="str">
        <f t="shared" si="18"/>
        <v>非対象</v>
      </c>
      <c r="T50" s="315" t="str">
        <f t="shared" si="19"/>
        <v>非対象</v>
      </c>
      <c r="U50" s="315" t="str">
        <f t="shared" si="20"/>
        <v>非対象</v>
      </c>
      <c r="V50" s="315" t="str">
        <f t="shared" si="21"/>
        <v>非対象</v>
      </c>
      <c r="W50" s="459" t="s">
        <v>10889</v>
      </c>
      <c r="X50" s="459" t="s">
        <v>10889</v>
      </c>
      <c r="Y50" s="315" t="str">
        <f t="shared" si="22"/>
        <v>非対象</v>
      </c>
      <c r="Z50" s="459" t="s">
        <v>10889</v>
      </c>
      <c r="AA50" s="459" t="s">
        <v>10889</v>
      </c>
      <c r="AB50" s="315" t="str">
        <f t="shared" si="23"/>
        <v>非対象</v>
      </c>
      <c r="AC50" s="315" t="str">
        <f t="shared" si="24"/>
        <v>非対象</v>
      </c>
      <c r="AD50" s="315" t="str">
        <f t="shared" si="25"/>
        <v>非対象</v>
      </c>
      <c r="AE50" s="315" t="str">
        <f t="shared" si="26"/>
        <v>非対象</v>
      </c>
      <c r="AF50" s="315" t="str">
        <f t="shared" si="27"/>
        <v>非対象</v>
      </c>
      <c r="AG50" s="315" t="str">
        <f t="shared" si="28"/>
        <v>非対象</v>
      </c>
    </row>
    <row r="51" spans="1:33" ht="18" customHeight="1">
      <c r="A51" s="493">
        <f t="shared" si="14"/>
        <v>48</v>
      </c>
      <c r="B51" s="494" t="s">
        <v>10059</v>
      </c>
      <c r="C51" s="494" t="s">
        <v>10070</v>
      </c>
      <c r="D51" s="481"/>
      <c r="E51" s="315" t="s">
        <v>10059</v>
      </c>
      <c r="F51" s="489"/>
      <c r="G51" s="481"/>
      <c r="H51" s="315"/>
      <c r="I51" s="489"/>
      <c r="J51" s="481"/>
      <c r="K51" s="489" t="s">
        <v>10059</v>
      </c>
      <c r="L51" s="480" t="s">
        <v>10073</v>
      </c>
      <c r="M51" s="313" t="s">
        <v>10900</v>
      </c>
      <c r="N51" s="457" t="str">
        <f>IF(cst_shinsei_ev_EV_SPEED="","定格速度が未入力です","")</f>
        <v>定格速度が未入力です</v>
      </c>
      <c r="O51" s="313" t="str">
        <f>cst_shinsei_ev_EV_SPEED</f>
        <v/>
      </c>
      <c r="P51" s="315" t="str">
        <f t="shared" si="15"/>
        <v>非対象</v>
      </c>
      <c r="Q51" s="315" t="str">
        <f t="shared" si="16"/>
        <v>非対象</v>
      </c>
      <c r="R51" s="315" t="str">
        <f t="shared" si="17"/>
        <v>非対象</v>
      </c>
      <c r="S51" s="315" t="str">
        <f t="shared" si="18"/>
        <v>非対象</v>
      </c>
      <c r="T51" s="315" t="str">
        <f t="shared" si="19"/>
        <v>非対象</v>
      </c>
      <c r="U51" s="315" t="str">
        <f t="shared" si="20"/>
        <v>非対象</v>
      </c>
      <c r="V51" s="315" t="str">
        <f t="shared" si="21"/>
        <v>非対象</v>
      </c>
      <c r="W51" s="459" t="s">
        <v>10889</v>
      </c>
      <c r="X51" s="459" t="s">
        <v>10889</v>
      </c>
      <c r="Y51" s="315" t="str">
        <f t="shared" si="22"/>
        <v>非対象</v>
      </c>
      <c r="Z51" s="459" t="s">
        <v>10889</v>
      </c>
      <c r="AA51" s="459" t="s">
        <v>10889</v>
      </c>
      <c r="AB51" s="315" t="str">
        <f t="shared" si="23"/>
        <v>非対象</v>
      </c>
      <c r="AC51" s="315" t="str">
        <f t="shared" si="24"/>
        <v>非対象</v>
      </c>
      <c r="AD51" s="315" t="str">
        <f t="shared" si="25"/>
        <v>非対象</v>
      </c>
      <c r="AE51" s="315" t="str">
        <f t="shared" si="26"/>
        <v>非対象</v>
      </c>
      <c r="AF51" s="315" t="str">
        <f t="shared" si="27"/>
        <v>非対象</v>
      </c>
      <c r="AG51" s="315" t="str">
        <f t="shared" si="28"/>
        <v>非対象</v>
      </c>
    </row>
    <row r="52" spans="1:33" ht="18" customHeight="1">
      <c r="A52" s="493">
        <f t="shared" si="14"/>
        <v>49</v>
      </c>
      <c r="B52" s="494" t="s">
        <v>10059</v>
      </c>
      <c r="C52" s="494" t="s">
        <v>10068</v>
      </c>
      <c r="D52" s="481"/>
      <c r="E52" s="315" t="s">
        <v>10059</v>
      </c>
      <c r="F52" s="489"/>
      <c r="G52" s="481" t="s">
        <v>10059</v>
      </c>
      <c r="H52" s="315"/>
      <c r="I52" s="489"/>
      <c r="J52" s="481"/>
      <c r="K52" s="489" t="s">
        <v>10059</v>
      </c>
      <c r="L52" s="480" t="s">
        <v>10912</v>
      </c>
      <c r="M52" s="317" t="s">
        <v>10836</v>
      </c>
      <c r="N52" s="457" t="str">
        <f>IF(shinsei_BUILDSHINSEI_ISSUE_NO="","建築物との関連付けがされていません","")</f>
        <v>建築物との関連付けがされていません</v>
      </c>
      <c r="O52" s="460"/>
      <c r="P52" s="315" t="str">
        <f t="shared" si="15"/>
        <v>非対象</v>
      </c>
      <c r="Q52" s="315" t="str">
        <f t="shared" si="16"/>
        <v>非対象</v>
      </c>
      <c r="R52" s="315" t="str">
        <f t="shared" si="17"/>
        <v>非対象</v>
      </c>
      <c r="S52" s="315" t="str">
        <f t="shared" si="18"/>
        <v>非対象</v>
      </c>
      <c r="T52" s="315" t="str">
        <f t="shared" si="19"/>
        <v>エラー</v>
      </c>
      <c r="U52" s="315" t="str">
        <f t="shared" si="20"/>
        <v>非対象</v>
      </c>
      <c r="V52" s="315" t="str">
        <f t="shared" si="21"/>
        <v>非対象</v>
      </c>
      <c r="W52" s="459" t="s">
        <v>10889</v>
      </c>
      <c r="X52" s="459" t="s">
        <v>10889</v>
      </c>
      <c r="Y52" s="315" t="str">
        <f t="shared" si="22"/>
        <v>非対象</v>
      </c>
      <c r="Z52" s="459" t="s">
        <v>10889</v>
      </c>
      <c r="AA52" s="459" t="s">
        <v>10889</v>
      </c>
      <c r="AB52" s="315" t="str">
        <f t="shared" si="23"/>
        <v>非対象</v>
      </c>
      <c r="AC52" s="315" t="str">
        <f t="shared" si="24"/>
        <v>非対象</v>
      </c>
      <c r="AD52" s="315" t="str">
        <f t="shared" si="25"/>
        <v>非対象</v>
      </c>
      <c r="AE52" s="315" t="str">
        <f t="shared" si="26"/>
        <v>非対象</v>
      </c>
      <c r="AF52" s="315" t="str">
        <f t="shared" si="27"/>
        <v>非対象</v>
      </c>
      <c r="AG52" s="315" t="str">
        <f t="shared" si="28"/>
        <v>非対象</v>
      </c>
    </row>
    <row r="53" spans="1:33" ht="18" customHeight="1">
      <c r="A53" s="493">
        <f t="shared" si="14"/>
        <v>50</v>
      </c>
      <c r="B53" s="494" t="s">
        <v>10059</v>
      </c>
      <c r="C53" s="494" t="s">
        <v>10070</v>
      </c>
      <c r="D53" s="481"/>
      <c r="E53" s="315"/>
      <c r="F53" s="489" t="s">
        <v>10059</v>
      </c>
      <c r="G53" s="481" t="s">
        <v>10059</v>
      </c>
      <c r="H53" s="315"/>
      <c r="I53" s="489" t="s">
        <v>10059</v>
      </c>
      <c r="J53" s="481" t="s">
        <v>10059</v>
      </c>
      <c r="K53" s="489" t="s">
        <v>10059</v>
      </c>
      <c r="L53" s="480" t="s">
        <v>10073</v>
      </c>
      <c r="M53" s="313" t="s">
        <v>10051</v>
      </c>
      <c r="N53" s="457" t="str">
        <f>IF(cst_shinsei_ev_KOUSAKU_SYURUI="","工作物種類が未入力です","")</f>
        <v>工作物種類が未入力です</v>
      </c>
      <c r="O53" s="460" t="str">
        <f>cst_shinsei_ev_KOUSAKU_SYURUI</f>
        <v/>
      </c>
      <c r="P53" s="315" t="str">
        <f t="shared" si="15"/>
        <v>非対象</v>
      </c>
      <c r="Q53" s="315" t="str">
        <f t="shared" si="16"/>
        <v>非対象</v>
      </c>
      <c r="R53" s="315" t="str">
        <f t="shared" si="17"/>
        <v>入力</v>
      </c>
      <c r="S53" s="315" t="str">
        <f t="shared" si="18"/>
        <v>非対象</v>
      </c>
      <c r="T53" s="315" t="str">
        <f t="shared" si="19"/>
        <v>非対象</v>
      </c>
      <c r="U53" s="315" t="str">
        <f t="shared" si="20"/>
        <v>入力</v>
      </c>
      <c r="V53" s="315" t="str">
        <f t="shared" si="21"/>
        <v>非対象</v>
      </c>
      <c r="W53" s="459" t="s">
        <v>10889</v>
      </c>
      <c r="X53" s="459" t="s">
        <v>10889</v>
      </c>
      <c r="Y53" s="315" t="str">
        <f t="shared" si="22"/>
        <v>非対象</v>
      </c>
      <c r="Z53" s="459" t="s">
        <v>10889</v>
      </c>
      <c r="AA53" s="459" t="s">
        <v>10889</v>
      </c>
      <c r="AB53" s="315" t="str">
        <f t="shared" si="23"/>
        <v>非対象</v>
      </c>
      <c r="AC53" s="315" t="str">
        <f t="shared" si="24"/>
        <v>非対象</v>
      </c>
      <c r="AD53" s="315" t="str">
        <f t="shared" si="25"/>
        <v>入力</v>
      </c>
      <c r="AE53" s="315" t="str">
        <f t="shared" si="26"/>
        <v>非対象</v>
      </c>
      <c r="AF53" s="315" t="str">
        <f t="shared" si="27"/>
        <v>非対象</v>
      </c>
      <c r="AG53" s="315" t="str">
        <f t="shared" si="28"/>
        <v>入力</v>
      </c>
    </row>
    <row r="54" spans="1:33" ht="18" customHeight="1">
      <c r="A54" s="493">
        <f t="shared" si="14"/>
        <v>51</v>
      </c>
      <c r="B54" s="494" t="s">
        <v>10059</v>
      </c>
      <c r="C54" s="494" t="s">
        <v>10070</v>
      </c>
      <c r="D54" s="481"/>
      <c r="E54" s="315"/>
      <c r="F54" s="489" t="s">
        <v>10059</v>
      </c>
      <c r="G54" s="481"/>
      <c r="H54" s="315"/>
      <c r="I54" s="489"/>
      <c r="J54" s="481"/>
      <c r="K54" s="489" t="s">
        <v>10059</v>
      </c>
      <c r="L54" s="480" t="s">
        <v>10073</v>
      </c>
      <c r="M54" s="313" t="s">
        <v>10901</v>
      </c>
      <c r="N54" s="457" t="str">
        <f>IF(cst_shinsei_ev_KOUSAKU_SYURUI="","工作物の種類が未入力です","")</f>
        <v>工作物の種類が未入力です</v>
      </c>
      <c r="O54" s="313" t="str">
        <f>cst_shinsei_ev_KOUSAKU_SYURUI</f>
        <v/>
      </c>
      <c r="P54" s="315" t="str">
        <f t="shared" si="15"/>
        <v>非対象</v>
      </c>
      <c r="Q54" s="315" t="str">
        <f t="shared" si="16"/>
        <v>非対象</v>
      </c>
      <c r="R54" s="315" t="str">
        <f t="shared" si="17"/>
        <v>非対象</v>
      </c>
      <c r="S54" s="315" t="str">
        <f t="shared" si="18"/>
        <v>非対象</v>
      </c>
      <c r="T54" s="315" t="str">
        <f t="shared" si="19"/>
        <v>非対象</v>
      </c>
      <c r="U54" s="315" t="str">
        <f t="shared" si="20"/>
        <v>非対象</v>
      </c>
      <c r="V54" s="315" t="str">
        <f t="shared" si="21"/>
        <v>非対象</v>
      </c>
      <c r="W54" s="459" t="s">
        <v>10889</v>
      </c>
      <c r="X54" s="459" t="s">
        <v>10889</v>
      </c>
      <c r="Y54" s="315" t="str">
        <f t="shared" si="22"/>
        <v>非対象</v>
      </c>
      <c r="Z54" s="459" t="s">
        <v>10889</v>
      </c>
      <c r="AA54" s="459" t="s">
        <v>10889</v>
      </c>
      <c r="AB54" s="315" t="str">
        <f t="shared" si="23"/>
        <v>非対象</v>
      </c>
      <c r="AC54" s="315" t="str">
        <f t="shared" si="24"/>
        <v>非対象</v>
      </c>
      <c r="AD54" s="315" t="str">
        <f t="shared" si="25"/>
        <v>非対象</v>
      </c>
      <c r="AE54" s="315" t="str">
        <f t="shared" si="26"/>
        <v>非対象</v>
      </c>
      <c r="AF54" s="315" t="str">
        <f t="shared" si="27"/>
        <v>非対象</v>
      </c>
      <c r="AG54" s="315" t="str">
        <f t="shared" si="28"/>
        <v>非対象</v>
      </c>
    </row>
    <row r="55" spans="1:33" ht="18" customHeight="1">
      <c r="A55" s="493">
        <f t="shared" si="14"/>
        <v>52</v>
      </c>
      <c r="B55" s="494" t="s">
        <v>10059</v>
      </c>
      <c r="C55" s="494" t="s">
        <v>10070</v>
      </c>
      <c r="D55" s="481"/>
      <c r="E55" s="315"/>
      <c r="F55" s="489" t="s">
        <v>10059</v>
      </c>
      <c r="G55" s="481"/>
      <c r="H55" s="315"/>
      <c r="I55" s="489"/>
      <c r="J55" s="481"/>
      <c r="K55" s="489" t="s">
        <v>10059</v>
      </c>
      <c r="L55" s="480" t="s">
        <v>10073</v>
      </c>
      <c r="M55" s="313" t="s">
        <v>10902</v>
      </c>
      <c r="N55" s="457" t="str">
        <f>IF(cst_shinsei_ev_KOUSAKU_TAKASA="","工作物の高さが未入力です","")</f>
        <v>工作物の高さが未入力です</v>
      </c>
      <c r="O55" s="460" t="str">
        <f>cst_shinsei_ev_KOUSAKU_TAKASA</f>
        <v/>
      </c>
      <c r="P55" s="315" t="str">
        <f t="shared" si="15"/>
        <v>非対象</v>
      </c>
      <c r="Q55" s="315" t="str">
        <f t="shared" si="16"/>
        <v>非対象</v>
      </c>
      <c r="R55" s="315" t="str">
        <f t="shared" si="17"/>
        <v>非対象</v>
      </c>
      <c r="S55" s="315" t="str">
        <f t="shared" si="18"/>
        <v>非対象</v>
      </c>
      <c r="T55" s="315" t="str">
        <f t="shared" si="19"/>
        <v>非対象</v>
      </c>
      <c r="U55" s="315" t="str">
        <f t="shared" si="20"/>
        <v>非対象</v>
      </c>
      <c r="V55" s="315" t="str">
        <f t="shared" si="21"/>
        <v>非対象</v>
      </c>
      <c r="W55" s="459" t="s">
        <v>10889</v>
      </c>
      <c r="X55" s="459" t="s">
        <v>10889</v>
      </c>
      <c r="Y55" s="315" t="str">
        <f t="shared" si="22"/>
        <v>非対象</v>
      </c>
      <c r="Z55" s="459" t="s">
        <v>10889</v>
      </c>
      <c r="AA55" s="459" t="s">
        <v>10889</v>
      </c>
      <c r="AB55" s="315" t="str">
        <f t="shared" si="23"/>
        <v>非対象</v>
      </c>
      <c r="AC55" s="315" t="str">
        <f t="shared" si="24"/>
        <v>非対象</v>
      </c>
      <c r="AD55" s="315" t="str">
        <f t="shared" si="25"/>
        <v>非対象</v>
      </c>
      <c r="AE55" s="315" t="str">
        <f t="shared" si="26"/>
        <v>非対象</v>
      </c>
      <c r="AF55" s="315" t="str">
        <f t="shared" si="27"/>
        <v>非対象</v>
      </c>
      <c r="AG55" s="315" t="str">
        <f t="shared" si="28"/>
        <v>非対象</v>
      </c>
    </row>
    <row r="56" spans="1:33" ht="18" customHeight="1">
      <c r="A56" s="493">
        <f t="shared" si="14"/>
        <v>53</v>
      </c>
      <c r="B56" s="494" t="s">
        <v>10059</v>
      </c>
      <c r="C56" s="494" t="s">
        <v>10070</v>
      </c>
      <c r="D56" s="481"/>
      <c r="E56" s="315"/>
      <c r="F56" s="489" t="s">
        <v>10059</v>
      </c>
      <c r="G56" s="481"/>
      <c r="H56" s="315"/>
      <c r="I56" s="489"/>
      <c r="J56" s="481"/>
      <c r="K56" s="489" t="s">
        <v>10059</v>
      </c>
      <c r="L56" s="480" t="s">
        <v>10073</v>
      </c>
      <c r="M56" s="313" t="s">
        <v>10903</v>
      </c>
      <c r="N56" s="457" t="str">
        <f>IF(cst_shinsei_ev_KOUSAKU_KOUZOU="","工作物の構造が未入力です","")</f>
        <v>工作物の構造が未入力です</v>
      </c>
      <c r="O56" s="313" t="str">
        <f>cst_shinsei_ev_KOUSAKU_KOUZOU</f>
        <v/>
      </c>
      <c r="P56" s="315" t="str">
        <f t="shared" si="15"/>
        <v>非対象</v>
      </c>
      <c r="Q56" s="315" t="str">
        <f t="shared" si="16"/>
        <v>非対象</v>
      </c>
      <c r="R56" s="315" t="str">
        <f t="shared" si="17"/>
        <v>非対象</v>
      </c>
      <c r="S56" s="315" t="str">
        <f t="shared" si="18"/>
        <v>非対象</v>
      </c>
      <c r="T56" s="315" t="str">
        <f t="shared" si="19"/>
        <v>非対象</v>
      </c>
      <c r="U56" s="315" t="str">
        <f t="shared" si="20"/>
        <v>非対象</v>
      </c>
      <c r="V56" s="315" t="str">
        <f t="shared" si="21"/>
        <v>非対象</v>
      </c>
      <c r="W56" s="459" t="s">
        <v>10889</v>
      </c>
      <c r="X56" s="459" t="s">
        <v>10889</v>
      </c>
      <c r="Y56" s="315" t="str">
        <f t="shared" si="22"/>
        <v>非対象</v>
      </c>
      <c r="Z56" s="459" t="s">
        <v>10889</v>
      </c>
      <c r="AA56" s="459" t="s">
        <v>10889</v>
      </c>
      <c r="AB56" s="315" t="str">
        <f t="shared" si="23"/>
        <v>非対象</v>
      </c>
      <c r="AC56" s="315" t="str">
        <f t="shared" si="24"/>
        <v>非対象</v>
      </c>
      <c r="AD56" s="315" t="str">
        <f t="shared" si="25"/>
        <v>非対象</v>
      </c>
      <c r="AE56" s="315" t="str">
        <f t="shared" si="26"/>
        <v>非対象</v>
      </c>
      <c r="AF56" s="315" t="str">
        <f t="shared" si="27"/>
        <v>非対象</v>
      </c>
      <c r="AG56" s="315" t="str">
        <f t="shared" si="28"/>
        <v>非対象</v>
      </c>
    </row>
    <row r="57" spans="1:33" ht="18" customHeight="1">
      <c r="A57" s="493">
        <f t="shared" si="14"/>
        <v>54</v>
      </c>
      <c r="B57" s="494" t="s">
        <v>10059</v>
      </c>
      <c r="C57" s="494" t="s">
        <v>10070</v>
      </c>
      <c r="D57" s="481"/>
      <c r="E57" s="315"/>
      <c r="F57" s="489" t="s">
        <v>10059</v>
      </c>
      <c r="G57" s="481"/>
      <c r="H57" s="315"/>
      <c r="I57" s="489"/>
      <c r="J57" s="481"/>
      <c r="K57" s="489" t="s">
        <v>10059</v>
      </c>
      <c r="L57" s="480" t="s">
        <v>10073</v>
      </c>
      <c r="M57" s="313" t="s">
        <v>10904</v>
      </c>
      <c r="N57" s="457" t="str">
        <f>IF(AND(cst_shinsei_ev_KOUSAKU_KOUJI_SHINTIKU="□",cst_shinsei_ev_KOUSAKU_KOUJI_ZOUTIKU="□",cst_shinsei_ev_KOUSAKU_KOUJI_KAITIKU="□",cst_shinsei_ev_KOUSAKU_KOUJI_SONOTA="□"),"工事種別が未入力です","")</f>
        <v/>
      </c>
      <c r="O57" s="460" t="str">
        <f>"新築："&amp;cst_shinsei_ev_KOUSAKU_KOUJI_SHINTIKU&amp;" 増築："&amp;cst_shinsei_ev_KOUSAKU_KOUJI_ZOUTIKU&amp;" 改築："&amp;cst_shinsei_ev_KOUSAKU_KOUJI_KAITIKU&amp;" その他："&amp;cst_shinsei_ev_KOUSAKU_KOUJI_SONOTA</f>
        <v>新築：□ 増築：□ 改築：□ その他：</v>
      </c>
      <c r="P57" s="315" t="str">
        <f t="shared" si="15"/>
        <v>非対象</v>
      </c>
      <c r="Q57" s="315" t="str">
        <f t="shared" si="16"/>
        <v>非対象</v>
      </c>
      <c r="R57" s="315" t="str">
        <f t="shared" si="17"/>
        <v>非対象</v>
      </c>
      <c r="S57" s="315" t="str">
        <f t="shared" si="18"/>
        <v>非対象</v>
      </c>
      <c r="T57" s="315" t="str">
        <f t="shared" si="19"/>
        <v>非対象</v>
      </c>
      <c r="U57" s="315" t="str">
        <f t="shared" si="20"/>
        <v>非対象</v>
      </c>
      <c r="V57" s="315" t="str">
        <f t="shared" si="21"/>
        <v>非対象</v>
      </c>
      <c r="W57" s="459" t="s">
        <v>10889</v>
      </c>
      <c r="X57" s="459" t="s">
        <v>10889</v>
      </c>
      <c r="Y57" s="315" t="str">
        <f t="shared" si="22"/>
        <v>非対象</v>
      </c>
      <c r="Z57" s="459" t="s">
        <v>10889</v>
      </c>
      <c r="AA57" s="459" t="s">
        <v>10889</v>
      </c>
      <c r="AB57" s="315" t="str">
        <f t="shared" si="23"/>
        <v>非対象</v>
      </c>
      <c r="AC57" s="315" t="str">
        <f t="shared" si="24"/>
        <v>非対象</v>
      </c>
      <c r="AD57" s="315" t="str">
        <f t="shared" si="25"/>
        <v>非対象</v>
      </c>
      <c r="AE57" s="315" t="str">
        <f t="shared" si="26"/>
        <v>非対象</v>
      </c>
      <c r="AF57" s="315" t="str">
        <f t="shared" si="27"/>
        <v>非対象</v>
      </c>
      <c r="AG57" s="315" t="str">
        <f t="shared" si="28"/>
        <v>非対象</v>
      </c>
    </row>
    <row r="58" spans="1:33" ht="18" customHeight="1">
      <c r="A58" s="493">
        <f t="shared" si="14"/>
        <v>55</v>
      </c>
      <c r="B58" s="494" t="s">
        <v>10059</v>
      </c>
      <c r="C58" s="494" t="s">
        <v>10070</v>
      </c>
      <c r="D58" s="481" t="s">
        <v>10059</v>
      </c>
      <c r="E58" s="315"/>
      <c r="F58" s="489"/>
      <c r="G58" s="481"/>
      <c r="H58" s="315" t="s">
        <v>10059</v>
      </c>
      <c r="I58" s="489"/>
      <c r="J58" s="481" t="s">
        <v>10059</v>
      </c>
      <c r="K58" s="489" t="s">
        <v>10059</v>
      </c>
      <c r="L58" s="480" t="s">
        <v>10073</v>
      </c>
      <c r="M58" s="313" t="s">
        <v>10084</v>
      </c>
      <c r="N58" s="457" t="str">
        <f>IF(shinsei_KAKU_SUMI_NO="","係る確認済証番号が未入力です","")</f>
        <v>係る確認済証番号が未入力です</v>
      </c>
      <c r="O58" s="313" t="str">
        <f>cst_shinsei_KAKU_SUMI_NO</f>
        <v/>
      </c>
      <c r="P58" s="315" t="str">
        <f t="shared" si="15"/>
        <v>非対象</v>
      </c>
      <c r="Q58" s="315" t="str">
        <f t="shared" si="16"/>
        <v>非対象</v>
      </c>
      <c r="R58" s="315" t="str">
        <f t="shared" si="17"/>
        <v>非対象</v>
      </c>
      <c r="S58" s="315" t="str">
        <f t="shared" si="18"/>
        <v>非対象</v>
      </c>
      <c r="T58" s="315" t="str">
        <f t="shared" si="19"/>
        <v>非対象</v>
      </c>
      <c r="U58" s="315" t="str">
        <f t="shared" si="20"/>
        <v>非対象</v>
      </c>
      <c r="V58" s="315" t="str">
        <f t="shared" si="21"/>
        <v>入力</v>
      </c>
      <c r="W58" s="459" t="s">
        <v>10889</v>
      </c>
      <c r="X58" s="459" t="s">
        <v>10889</v>
      </c>
      <c r="Y58" s="315" t="str">
        <f t="shared" si="22"/>
        <v>入力</v>
      </c>
      <c r="Z58" s="459" t="s">
        <v>10889</v>
      </c>
      <c r="AA58" s="459" t="s">
        <v>10889</v>
      </c>
      <c r="AB58" s="315" t="str">
        <f t="shared" si="23"/>
        <v>非対象</v>
      </c>
      <c r="AC58" s="315" t="str">
        <f t="shared" si="24"/>
        <v>非対象</v>
      </c>
      <c r="AD58" s="315" t="str">
        <f t="shared" si="25"/>
        <v>非対象</v>
      </c>
      <c r="AE58" s="315" t="str">
        <f t="shared" si="26"/>
        <v>非対象</v>
      </c>
      <c r="AF58" s="315" t="str">
        <f t="shared" si="27"/>
        <v>非対象</v>
      </c>
      <c r="AG58" s="315" t="str">
        <f t="shared" si="28"/>
        <v>非対象</v>
      </c>
    </row>
    <row r="59" spans="1:33" ht="18" customHeight="1">
      <c r="A59" s="493">
        <f t="shared" si="14"/>
        <v>56</v>
      </c>
      <c r="B59" s="494" t="s">
        <v>10059</v>
      </c>
      <c r="C59" s="494" t="s">
        <v>10070</v>
      </c>
      <c r="D59" s="481" t="s">
        <v>10059</v>
      </c>
      <c r="E59" s="315"/>
      <c r="F59" s="489"/>
      <c r="G59" s="481"/>
      <c r="H59" s="315" t="s">
        <v>10059</v>
      </c>
      <c r="I59" s="489"/>
      <c r="J59" s="481" t="s">
        <v>10059</v>
      </c>
      <c r="K59" s="489" t="s">
        <v>10059</v>
      </c>
      <c r="L59" s="480" t="s">
        <v>10073</v>
      </c>
      <c r="M59" s="313" t="s">
        <v>10905</v>
      </c>
      <c r="N59" s="457" t="str">
        <f>IF(cst_shinsei_KAKU_SUMI_KOUFU_DATE="","係る確認済証交付年月日が未入力です","")</f>
        <v>係る確認済証交付年月日が未入力です</v>
      </c>
      <c r="O59" s="458" t="str">
        <f>cst_shinsei_KAKU_SUMI_KOUFU_DATE</f>
        <v/>
      </c>
      <c r="P59" s="315" t="str">
        <f t="shared" si="15"/>
        <v>非対象</v>
      </c>
      <c r="Q59" s="315" t="str">
        <f t="shared" si="16"/>
        <v>非対象</v>
      </c>
      <c r="R59" s="315" t="str">
        <f t="shared" si="17"/>
        <v>非対象</v>
      </c>
      <c r="S59" s="315" t="str">
        <f t="shared" si="18"/>
        <v>非対象</v>
      </c>
      <c r="T59" s="315" t="str">
        <f t="shared" si="19"/>
        <v>非対象</v>
      </c>
      <c r="U59" s="315" t="str">
        <f t="shared" si="20"/>
        <v>非対象</v>
      </c>
      <c r="V59" s="315" t="str">
        <f t="shared" si="21"/>
        <v>入力</v>
      </c>
      <c r="W59" s="459" t="s">
        <v>10889</v>
      </c>
      <c r="X59" s="459" t="s">
        <v>10889</v>
      </c>
      <c r="Y59" s="315" t="str">
        <f t="shared" si="22"/>
        <v>入力</v>
      </c>
      <c r="Z59" s="459" t="s">
        <v>10889</v>
      </c>
      <c r="AA59" s="459" t="s">
        <v>10889</v>
      </c>
      <c r="AB59" s="315" t="str">
        <f t="shared" si="23"/>
        <v>非対象</v>
      </c>
      <c r="AC59" s="315" t="str">
        <f t="shared" si="24"/>
        <v>非対象</v>
      </c>
      <c r="AD59" s="315" t="str">
        <f t="shared" si="25"/>
        <v>非対象</v>
      </c>
      <c r="AE59" s="315" t="str">
        <f t="shared" si="26"/>
        <v>非対象</v>
      </c>
      <c r="AF59" s="315" t="str">
        <f t="shared" si="27"/>
        <v>非対象</v>
      </c>
      <c r="AG59" s="315" t="str">
        <f t="shared" si="28"/>
        <v>非対象</v>
      </c>
    </row>
    <row r="60" spans="1:33" ht="18" customHeight="1">
      <c r="A60" s="493">
        <f t="shared" si="14"/>
        <v>57</v>
      </c>
      <c r="B60" s="494" t="s">
        <v>10059</v>
      </c>
      <c r="C60" s="494" t="s">
        <v>10070</v>
      </c>
      <c r="D60" s="481" t="s">
        <v>10059</v>
      </c>
      <c r="E60" s="315"/>
      <c r="F60" s="489"/>
      <c r="G60" s="481"/>
      <c r="H60" s="315" t="s">
        <v>10059</v>
      </c>
      <c r="I60" s="489"/>
      <c r="J60" s="481" t="s">
        <v>10059</v>
      </c>
      <c r="K60" s="489" t="s">
        <v>10059</v>
      </c>
      <c r="L60" s="480" t="s">
        <v>10073</v>
      </c>
      <c r="M60" s="313" t="s">
        <v>10906</v>
      </c>
      <c r="N60" s="457" t="str">
        <f>IF(cst_shinsei_KAKU_SUMI_KOUFU_NAME="","係る確認済証交付者が未入力です","")</f>
        <v>係る確認済証交付者が未入力です</v>
      </c>
      <c r="O60" s="313" t="str">
        <f>cst_shinsei_KAKU_SUMI_KOUFU_NAME</f>
        <v/>
      </c>
      <c r="P60" s="315" t="str">
        <f t="shared" si="15"/>
        <v>非対象</v>
      </c>
      <c r="Q60" s="315" t="str">
        <f t="shared" si="16"/>
        <v>非対象</v>
      </c>
      <c r="R60" s="315" t="str">
        <f t="shared" si="17"/>
        <v>非対象</v>
      </c>
      <c r="S60" s="315" t="str">
        <f t="shared" si="18"/>
        <v>非対象</v>
      </c>
      <c r="T60" s="315" t="str">
        <f t="shared" si="19"/>
        <v>非対象</v>
      </c>
      <c r="U60" s="315" t="str">
        <f t="shared" si="20"/>
        <v>非対象</v>
      </c>
      <c r="V60" s="315" t="str">
        <f t="shared" si="21"/>
        <v>入力</v>
      </c>
      <c r="W60" s="459" t="s">
        <v>10889</v>
      </c>
      <c r="X60" s="459" t="s">
        <v>10889</v>
      </c>
      <c r="Y60" s="315" t="str">
        <f t="shared" si="22"/>
        <v>入力</v>
      </c>
      <c r="Z60" s="459" t="s">
        <v>10889</v>
      </c>
      <c r="AA60" s="459" t="s">
        <v>10889</v>
      </c>
      <c r="AB60" s="315" t="str">
        <f t="shared" si="23"/>
        <v>非対象</v>
      </c>
      <c r="AC60" s="315" t="str">
        <f t="shared" si="24"/>
        <v>非対象</v>
      </c>
      <c r="AD60" s="315" t="str">
        <f t="shared" si="25"/>
        <v>非対象</v>
      </c>
      <c r="AE60" s="315" t="str">
        <f t="shared" si="26"/>
        <v>非対象</v>
      </c>
      <c r="AF60" s="315" t="str">
        <f t="shared" si="27"/>
        <v>非対象</v>
      </c>
      <c r="AG60" s="315" t="str">
        <f t="shared" si="28"/>
        <v>非対象</v>
      </c>
    </row>
    <row r="61" spans="1:33" ht="18" customHeight="1">
      <c r="A61" s="493">
        <f t="shared" si="14"/>
        <v>58</v>
      </c>
      <c r="B61" s="494" t="s">
        <v>10059</v>
      </c>
      <c r="C61" s="494" t="s">
        <v>10070</v>
      </c>
      <c r="D61" s="481" t="s">
        <v>10059</v>
      </c>
      <c r="E61" s="315"/>
      <c r="F61" s="489"/>
      <c r="G61" s="481"/>
      <c r="H61" s="315" t="s">
        <v>10059</v>
      </c>
      <c r="I61" s="489"/>
      <c r="J61" s="481" t="s">
        <v>10059</v>
      </c>
      <c r="K61" s="489" t="s">
        <v>10059</v>
      </c>
      <c r="L61" s="480" t="s">
        <v>10073</v>
      </c>
      <c r="M61" s="313" t="s">
        <v>10907</v>
      </c>
      <c r="N61" s="457" t="str">
        <f>IF(shinsei_intermediate_SPECIFIC_KOUTEI="","特定工程が未入力です","")</f>
        <v>特定工程が未入力です</v>
      </c>
      <c r="O61" s="313" t="str">
        <f>cst_shinsei_intermediate_SPECIFIC_KOUTEI</f>
        <v/>
      </c>
      <c r="P61" s="315" t="str">
        <f t="shared" si="15"/>
        <v>非対象</v>
      </c>
      <c r="Q61" s="315" t="str">
        <f t="shared" si="16"/>
        <v>非対象</v>
      </c>
      <c r="R61" s="315" t="str">
        <f t="shared" si="17"/>
        <v>非対象</v>
      </c>
      <c r="S61" s="315" t="str">
        <f t="shared" si="18"/>
        <v>非対象</v>
      </c>
      <c r="T61" s="315" t="str">
        <f t="shared" si="19"/>
        <v>非対象</v>
      </c>
      <c r="U61" s="315" t="str">
        <f t="shared" si="20"/>
        <v>非対象</v>
      </c>
      <c r="V61" s="315" t="str">
        <f t="shared" si="21"/>
        <v>入力</v>
      </c>
      <c r="W61" s="459" t="s">
        <v>10889</v>
      </c>
      <c r="X61" s="459" t="s">
        <v>10889</v>
      </c>
      <c r="Y61" s="315" t="str">
        <f t="shared" si="22"/>
        <v>入力</v>
      </c>
      <c r="Z61" s="459" t="s">
        <v>10889</v>
      </c>
      <c r="AA61" s="459" t="s">
        <v>10889</v>
      </c>
      <c r="AB61" s="315" t="str">
        <f t="shared" si="23"/>
        <v>非対象</v>
      </c>
      <c r="AC61" s="315" t="str">
        <f t="shared" si="24"/>
        <v>非対象</v>
      </c>
      <c r="AD61" s="315" t="str">
        <f t="shared" si="25"/>
        <v>非対象</v>
      </c>
      <c r="AE61" s="315" t="str">
        <f t="shared" si="26"/>
        <v>非対象</v>
      </c>
      <c r="AF61" s="315" t="str">
        <f t="shared" si="27"/>
        <v>非対象</v>
      </c>
      <c r="AG61" s="315" t="str">
        <f t="shared" si="28"/>
        <v>非対象</v>
      </c>
    </row>
    <row r="62" spans="1:33" ht="18" customHeight="1">
      <c r="A62" s="493">
        <f t="shared" si="14"/>
        <v>59</v>
      </c>
      <c r="B62" s="494" t="s">
        <v>10059</v>
      </c>
      <c r="C62" s="494" t="s">
        <v>10070</v>
      </c>
      <c r="D62" s="481" t="s">
        <v>10059</v>
      </c>
      <c r="E62" s="315"/>
      <c r="F62" s="489"/>
      <c r="G62" s="481"/>
      <c r="H62" s="315" t="s">
        <v>10059</v>
      </c>
      <c r="I62" s="489"/>
      <c r="J62" s="481" t="s">
        <v>10059</v>
      </c>
      <c r="K62" s="489"/>
      <c r="L62" s="480" t="s">
        <v>10073</v>
      </c>
      <c r="M62" s="313" t="s">
        <v>10908</v>
      </c>
      <c r="N62" s="457" t="str">
        <f>IF(cst_shinsei_intermediate_CYU1_NITTEI="","特定工程工事終了（予定）年月日が未入力です","")</f>
        <v>特定工程工事終了（予定）年月日が未入力です</v>
      </c>
      <c r="O62" s="458" t="str">
        <f>cst_shinsei_intermediate_CYU1_NITTEI</f>
        <v/>
      </c>
      <c r="P62" s="315" t="str">
        <f t="shared" si="15"/>
        <v>非対象</v>
      </c>
      <c r="Q62" s="315" t="str">
        <f t="shared" si="16"/>
        <v>非対象</v>
      </c>
      <c r="R62" s="315" t="str">
        <f t="shared" si="17"/>
        <v>非対象</v>
      </c>
      <c r="S62" s="315" t="str">
        <f t="shared" si="18"/>
        <v>非対象</v>
      </c>
      <c r="T62" s="315" t="str">
        <f t="shared" si="19"/>
        <v>非対象</v>
      </c>
      <c r="U62" s="315" t="str">
        <f t="shared" si="20"/>
        <v>非対象</v>
      </c>
      <c r="V62" s="315" t="str">
        <f t="shared" si="21"/>
        <v>入力</v>
      </c>
      <c r="W62" s="459" t="s">
        <v>10889</v>
      </c>
      <c r="X62" s="459" t="s">
        <v>10889</v>
      </c>
      <c r="Y62" s="315" t="str">
        <f t="shared" si="22"/>
        <v>非対象</v>
      </c>
      <c r="Z62" s="459" t="s">
        <v>10889</v>
      </c>
      <c r="AA62" s="459" t="s">
        <v>10889</v>
      </c>
      <c r="AB62" s="315" t="str">
        <f t="shared" si="23"/>
        <v>非対象</v>
      </c>
      <c r="AC62" s="315" t="str">
        <f t="shared" si="24"/>
        <v>非対象</v>
      </c>
      <c r="AD62" s="315" t="str">
        <f t="shared" si="25"/>
        <v>非対象</v>
      </c>
      <c r="AE62" s="315" t="str">
        <f t="shared" si="26"/>
        <v>非対象</v>
      </c>
      <c r="AF62" s="315" t="str">
        <f t="shared" si="27"/>
        <v>非対象</v>
      </c>
      <c r="AG62" s="315" t="str">
        <f t="shared" si="28"/>
        <v>非対象</v>
      </c>
    </row>
    <row r="63" spans="1:33" ht="18" customHeight="1">
      <c r="A63" s="493">
        <f t="shared" si="14"/>
        <v>60</v>
      </c>
      <c r="B63" s="494" t="s">
        <v>10059</v>
      </c>
      <c r="C63" s="494" t="s">
        <v>10070</v>
      </c>
      <c r="D63" s="481" t="s">
        <v>10059</v>
      </c>
      <c r="E63" s="315"/>
      <c r="F63" s="489"/>
      <c r="G63" s="481"/>
      <c r="H63" s="315" t="s">
        <v>10059</v>
      </c>
      <c r="I63" s="489" t="s">
        <v>10059</v>
      </c>
      <c r="J63" s="481"/>
      <c r="K63" s="489" t="s">
        <v>10059</v>
      </c>
      <c r="L63" s="480" t="s">
        <v>10073</v>
      </c>
      <c r="M63" s="313" t="s">
        <v>10910</v>
      </c>
      <c r="N63" s="457" t="str">
        <f>IF(cst_shinsei_KENSA_DATE="","検査年月日が未入力です","")</f>
        <v>検査年月日が未入力です</v>
      </c>
      <c r="O63" s="458" t="str">
        <f>cst_shinsei_KENSA_DATE</f>
        <v/>
      </c>
      <c r="P63" s="315" t="str">
        <f t="shared" si="15"/>
        <v>非対象</v>
      </c>
      <c r="Q63" s="315" t="str">
        <f t="shared" si="16"/>
        <v>非対象</v>
      </c>
      <c r="R63" s="315" t="str">
        <f t="shared" si="17"/>
        <v>非対象</v>
      </c>
      <c r="S63" s="315" t="str">
        <f t="shared" si="18"/>
        <v>非対象</v>
      </c>
      <c r="T63" s="315" t="str">
        <f t="shared" si="19"/>
        <v>非対象</v>
      </c>
      <c r="U63" s="315" t="str">
        <f t="shared" si="20"/>
        <v>非対象</v>
      </c>
      <c r="V63" s="315" t="str">
        <f t="shared" si="21"/>
        <v>非対象</v>
      </c>
      <c r="W63" s="459" t="s">
        <v>10889</v>
      </c>
      <c r="X63" s="459" t="s">
        <v>10889</v>
      </c>
      <c r="Y63" s="315" t="str">
        <f t="shared" si="22"/>
        <v>入力</v>
      </c>
      <c r="Z63" s="459" t="s">
        <v>10889</v>
      </c>
      <c r="AA63" s="459" t="s">
        <v>10889</v>
      </c>
      <c r="AB63" s="315" t="str">
        <f t="shared" si="23"/>
        <v>非対象</v>
      </c>
      <c r="AC63" s="315" t="str">
        <f t="shared" si="24"/>
        <v>非対象</v>
      </c>
      <c r="AD63" s="315" t="str">
        <f t="shared" si="25"/>
        <v>非対象</v>
      </c>
      <c r="AE63" s="315" t="str">
        <f t="shared" si="26"/>
        <v>入力</v>
      </c>
      <c r="AF63" s="315" t="str">
        <f t="shared" si="27"/>
        <v>非対象</v>
      </c>
      <c r="AG63" s="315" t="str">
        <f t="shared" si="28"/>
        <v>非対象</v>
      </c>
    </row>
    <row r="64" spans="1:33" ht="18" customHeight="1">
      <c r="A64" s="493">
        <f t="shared" si="14"/>
        <v>61</v>
      </c>
      <c r="B64" s="494" t="s">
        <v>10059</v>
      </c>
      <c r="C64" s="494" t="s">
        <v>10070</v>
      </c>
      <c r="D64" s="481" t="s">
        <v>10059</v>
      </c>
      <c r="E64" s="315"/>
      <c r="F64" s="489"/>
      <c r="G64" s="481"/>
      <c r="H64" s="315"/>
      <c r="I64" s="489" t="s">
        <v>10059</v>
      </c>
      <c r="J64" s="481" t="s">
        <v>10059</v>
      </c>
      <c r="K64" s="489"/>
      <c r="L64" s="480" t="s">
        <v>10073</v>
      </c>
      <c r="M64" s="313" t="s">
        <v>10909</v>
      </c>
      <c r="N64" s="457" t="str">
        <f>IF(cst_shinsei_KOUJI_KANRYOU_DATE__common="","工事終了（予定）年月日が未入力です","")</f>
        <v/>
      </c>
      <c r="O64" s="458">
        <f>cst_shinsei_KOUJI_KANRYOU_DATE__common</f>
        <v>44316</v>
      </c>
      <c r="P64" s="315" t="str">
        <f t="shared" si="15"/>
        <v>非対象</v>
      </c>
      <c r="Q64" s="315" t="str">
        <f t="shared" si="16"/>
        <v>非対象</v>
      </c>
      <c r="R64" s="315" t="str">
        <f t="shared" si="17"/>
        <v>非対象</v>
      </c>
      <c r="S64" s="315" t="str">
        <f t="shared" si="18"/>
        <v>非対象</v>
      </c>
      <c r="T64" s="315" t="str">
        <f t="shared" si="19"/>
        <v>非対象</v>
      </c>
      <c r="U64" s="315" t="str">
        <f t="shared" si="20"/>
        <v>非対象</v>
      </c>
      <c r="V64" s="315" t="str">
        <f t="shared" si="21"/>
        <v>非対象</v>
      </c>
      <c r="W64" s="459" t="s">
        <v>10889</v>
      </c>
      <c r="X64" s="459" t="s">
        <v>10889</v>
      </c>
      <c r="Y64" s="315" t="str">
        <f t="shared" si="22"/>
        <v>非対象</v>
      </c>
      <c r="Z64" s="459" t="s">
        <v>10889</v>
      </c>
      <c r="AA64" s="459" t="s">
        <v>10889</v>
      </c>
      <c r="AB64" s="315" t="str">
        <f t="shared" si="23"/>
        <v/>
      </c>
      <c r="AC64" s="315" t="str">
        <f t="shared" si="24"/>
        <v>非対象</v>
      </c>
      <c r="AD64" s="315" t="str">
        <f t="shared" si="25"/>
        <v>非対象</v>
      </c>
      <c r="AE64" s="315" t="str">
        <f t="shared" si="26"/>
        <v>非対象</v>
      </c>
      <c r="AF64" s="315" t="str">
        <f t="shared" si="27"/>
        <v>非対象</v>
      </c>
      <c r="AG64" s="315" t="str">
        <f t="shared" si="28"/>
        <v>非対象</v>
      </c>
    </row>
    <row r="65" spans="1:33" ht="18" customHeight="1">
      <c r="A65" s="493">
        <f t="shared" si="14"/>
        <v>62</v>
      </c>
      <c r="B65" s="494" t="s">
        <v>10059</v>
      </c>
      <c r="C65" s="494" t="s">
        <v>10068</v>
      </c>
      <c r="D65" s="481" t="s">
        <v>10059</v>
      </c>
      <c r="E65" s="315"/>
      <c r="F65" s="489"/>
      <c r="G65" s="481"/>
      <c r="H65" s="315" t="s">
        <v>10059</v>
      </c>
      <c r="I65" s="489"/>
      <c r="J65" s="481"/>
      <c r="K65" s="489" t="s">
        <v>10059</v>
      </c>
      <c r="L65" s="480" t="s">
        <v>10073</v>
      </c>
      <c r="M65" s="317" t="s">
        <v>10919</v>
      </c>
      <c r="N65" s="457" t="str">
        <f>IF(shinsei_intermediate_CYU1_NITTEI="","特定工程終了予定年月日が入力されていません","")</f>
        <v>特定工程終了予定年月日が入力されていません</v>
      </c>
      <c r="O65" s="460"/>
      <c r="P65" s="315" t="str">
        <f t="shared" si="15"/>
        <v>非対象</v>
      </c>
      <c r="Q65" s="315" t="str">
        <f t="shared" si="16"/>
        <v>非対象</v>
      </c>
      <c r="R65" s="315" t="str">
        <f t="shared" si="17"/>
        <v>非対象</v>
      </c>
      <c r="S65" s="315" t="str">
        <f t="shared" si="18"/>
        <v>非対象</v>
      </c>
      <c r="T65" s="315" t="str">
        <f t="shared" si="19"/>
        <v>非対象</v>
      </c>
      <c r="U65" s="315" t="str">
        <f t="shared" si="20"/>
        <v>非対象</v>
      </c>
      <c r="V65" s="315" t="str">
        <f t="shared" si="21"/>
        <v>非対象</v>
      </c>
      <c r="W65" s="459" t="s">
        <v>10889</v>
      </c>
      <c r="X65" s="459" t="s">
        <v>10889</v>
      </c>
      <c r="Y65" s="315" t="str">
        <f t="shared" si="22"/>
        <v>エラー</v>
      </c>
      <c r="Z65" s="459" t="s">
        <v>10889</v>
      </c>
      <c r="AA65" s="459" t="s">
        <v>10889</v>
      </c>
      <c r="AB65" s="315" t="str">
        <f t="shared" si="23"/>
        <v>非対象</v>
      </c>
      <c r="AC65" s="315" t="str">
        <f t="shared" si="24"/>
        <v>非対象</v>
      </c>
      <c r="AD65" s="315" t="str">
        <f t="shared" si="25"/>
        <v>非対象</v>
      </c>
      <c r="AE65" s="315" t="str">
        <f t="shared" si="26"/>
        <v>非対象</v>
      </c>
      <c r="AF65" s="315" t="str">
        <f t="shared" si="27"/>
        <v>非対象</v>
      </c>
      <c r="AG65" s="315" t="str">
        <f t="shared" si="28"/>
        <v>非対象</v>
      </c>
    </row>
    <row r="66" spans="1:33" ht="18" customHeight="1">
      <c r="A66" s="493">
        <f t="shared" si="14"/>
        <v>63</v>
      </c>
      <c r="B66" s="494" t="s">
        <v>10059</v>
      </c>
      <c r="C66" s="494" t="s">
        <v>10068</v>
      </c>
      <c r="D66" s="481" t="s">
        <v>10059</v>
      </c>
      <c r="E66" s="315" t="s">
        <v>10059</v>
      </c>
      <c r="F66" s="489" t="s">
        <v>10059</v>
      </c>
      <c r="G66" s="481"/>
      <c r="H66" s="315" t="s">
        <v>10059</v>
      </c>
      <c r="I66" s="489" t="s">
        <v>10059</v>
      </c>
      <c r="J66" s="481" t="s">
        <v>10059</v>
      </c>
      <c r="K66" s="489"/>
      <c r="L66" s="480" t="s">
        <v>10073</v>
      </c>
      <c r="M66" s="317" t="s">
        <v>10920</v>
      </c>
      <c r="N66" s="457" t="str">
        <f>IF(shinsei_HIKIUKE_KAKU_KOUFU_YOTEI_DATE="","検査予定日が入力されていません","")</f>
        <v>検査予定日が入力されていません</v>
      </c>
      <c r="O66" s="460"/>
      <c r="P66" s="315" t="str">
        <f t="shared" si="15"/>
        <v>非対象</v>
      </c>
      <c r="Q66" s="315" t="str">
        <f t="shared" si="16"/>
        <v>非対象</v>
      </c>
      <c r="R66" s="315" t="str">
        <f t="shared" si="17"/>
        <v>非対象</v>
      </c>
      <c r="S66" s="315" t="str">
        <f t="shared" si="18"/>
        <v>非対象</v>
      </c>
      <c r="T66" s="315" t="str">
        <f t="shared" si="19"/>
        <v>非対象</v>
      </c>
      <c r="U66" s="315" t="str">
        <f t="shared" si="20"/>
        <v>非対象</v>
      </c>
      <c r="V66" s="315" t="str">
        <f t="shared" si="21"/>
        <v>エラー</v>
      </c>
      <c r="W66" s="459" t="s">
        <v>10889</v>
      </c>
      <c r="X66" s="459" t="s">
        <v>10889</v>
      </c>
      <c r="Y66" s="315" t="str">
        <f t="shared" si="22"/>
        <v>非対象</v>
      </c>
      <c r="Z66" s="459" t="s">
        <v>10889</v>
      </c>
      <c r="AA66" s="459" t="s">
        <v>10889</v>
      </c>
      <c r="AB66" s="315" t="str">
        <f t="shared" si="23"/>
        <v>エラー</v>
      </c>
      <c r="AC66" s="315" t="str">
        <f t="shared" si="24"/>
        <v>エラー</v>
      </c>
      <c r="AD66" s="315" t="str">
        <f t="shared" si="25"/>
        <v>エラー</v>
      </c>
      <c r="AE66" s="315" t="str">
        <f t="shared" si="26"/>
        <v>非対象</v>
      </c>
      <c r="AF66" s="315" t="str">
        <f t="shared" si="27"/>
        <v>非対象</v>
      </c>
      <c r="AG66" s="315" t="str">
        <f t="shared" si="28"/>
        <v>非対象</v>
      </c>
    </row>
    <row r="67" spans="1:33" ht="18" customHeight="1">
      <c r="A67" s="493">
        <f t="shared" si="14"/>
        <v>64</v>
      </c>
      <c r="B67" s="494" t="s">
        <v>10059</v>
      </c>
      <c r="C67" s="494" t="s">
        <v>10070</v>
      </c>
      <c r="D67" s="481" t="s">
        <v>10059</v>
      </c>
      <c r="E67" s="315" t="s">
        <v>10059</v>
      </c>
      <c r="F67" s="489" t="s">
        <v>10059</v>
      </c>
      <c r="G67" s="481"/>
      <c r="H67" s="315" t="s">
        <v>10059</v>
      </c>
      <c r="I67" s="489" t="s">
        <v>10059</v>
      </c>
      <c r="J67" s="481" t="s">
        <v>10059</v>
      </c>
      <c r="K67" s="489"/>
      <c r="L67" s="480" t="s">
        <v>10073</v>
      </c>
      <c r="M67" s="317" t="s">
        <v>10838</v>
      </c>
      <c r="N67" s="457" t="str">
        <f>IF(shinsei_HIKIUKE_TUUTI_DATE="","通知報告書日が入力されていません","")</f>
        <v>通知報告書日が入力されていません</v>
      </c>
      <c r="O67" s="458" t="str">
        <f>cst_shinsei_HIKIUKE_TUUTI_DATE</f>
        <v/>
      </c>
      <c r="P67" s="315" t="str">
        <f t="shared" si="15"/>
        <v>非対象</v>
      </c>
      <c r="Q67" s="315" t="str">
        <f t="shared" si="16"/>
        <v>非対象</v>
      </c>
      <c r="R67" s="315" t="str">
        <f t="shared" si="17"/>
        <v>非対象</v>
      </c>
      <c r="S67" s="315" t="str">
        <f t="shared" si="18"/>
        <v>非対象</v>
      </c>
      <c r="T67" s="315" t="str">
        <f t="shared" si="19"/>
        <v>非対象</v>
      </c>
      <c r="U67" s="315" t="str">
        <f t="shared" si="20"/>
        <v>非対象</v>
      </c>
      <c r="V67" s="315" t="str">
        <f t="shared" si="21"/>
        <v>入力</v>
      </c>
      <c r="W67" s="459" t="s">
        <v>10889</v>
      </c>
      <c r="X67" s="459" t="s">
        <v>10889</v>
      </c>
      <c r="Y67" s="315" t="str">
        <f t="shared" si="22"/>
        <v>非対象</v>
      </c>
      <c r="Z67" s="459" t="s">
        <v>10889</v>
      </c>
      <c r="AA67" s="459" t="s">
        <v>10889</v>
      </c>
      <c r="AB67" s="315" t="str">
        <f t="shared" si="23"/>
        <v>入力</v>
      </c>
      <c r="AC67" s="315" t="str">
        <f t="shared" si="24"/>
        <v>入力</v>
      </c>
      <c r="AD67" s="315" t="str">
        <f t="shared" si="25"/>
        <v>入力</v>
      </c>
      <c r="AE67" s="315" t="str">
        <f t="shared" si="26"/>
        <v>非対象</v>
      </c>
      <c r="AF67" s="315" t="str">
        <f t="shared" si="27"/>
        <v>非対象</v>
      </c>
      <c r="AG67" s="315" t="str">
        <f t="shared" si="28"/>
        <v>非対象</v>
      </c>
    </row>
    <row r="68" spans="1:33" ht="18" customHeight="1">
      <c r="A68" s="493">
        <f t="shared" si="14"/>
        <v>65</v>
      </c>
      <c r="B68" s="494" t="s">
        <v>10059</v>
      </c>
      <c r="C68" s="494" t="s">
        <v>10068</v>
      </c>
      <c r="D68" s="481" t="s">
        <v>10059</v>
      </c>
      <c r="E68" s="315"/>
      <c r="F68" s="489"/>
      <c r="G68" s="481"/>
      <c r="H68" s="315" t="s">
        <v>10059</v>
      </c>
      <c r="I68" s="489"/>
      <c r="J68" s="481"/>
      <c r="K68" s="489" t="s">
        <v>10059</v>
      </c>
      <c r="L68" s="480" t="s">
        <v>10912</v>
      </c>
      <c r="M68" s="317" t="s">
        <v>10839</v>
      </c>
      <c r="N68" s="457" t="str">
        <f>IF(shinsei_intermediate_KENSA_DATE=shinsei_ISSUE_DATE,"",IF(shinsei_intermediate_KENSA_DATE&gt;=shinsei_ISSUE_DATE,"検査日が交付日より未来の日付になっています",""))</f>
        <v/>
      </c>
      <c r="O68" s="460"/>
      <c r="P68" s="315" t="str">
        <f t="shared" ref="P68:P81" si="29">IF(B68="☓","未使用",IF(AND(B68="○",G68="○",J68="○",D68="○"),IF(C68="","ERROR",IF(N68&lt;&gt;"",C68,"")),"非対象"))</f>
        <v>非対象</v>
      </c>
      <c r="Q68" s="315" t="str">
        <f t="shared" ref="Q68:Q81" si="30">IF(B68="☓","未使用",IF(AND(B68="○",G68="○",J68="○",E68="○"),IF(C68="","ERROR",IF(N68&lt;&gt;"",C68,"")),"非対象"))</f>
        <v>非対象</v>
      </c>
      <c r="R68" s="315" t="str">
        <f t="shared" ref="R68:R81" si="31">IF(B68="☓","未使用",IF(AND(B68="○",G68="○",J68="○",F68="○"),IF(C68="","ERROR",IF(N68&lt;&gt;"",C68,"")),"非対象"))</f>
        <v>非対象</v>
      </c>
      <c r="S68" s="315" t="str">
        <f t="shared" ref="S68:S81" si="32">IF(B68="☓","未使用",IF(AND(B68="○",G68="○",K68="○",D68="○"),IF(C68="","ERROR",IF(N68&lt;&gt;"",C68,"")),"非対象"))</f>
        <v>非対象</v>
      </c>
      <c r="T68" s="315" t="str">
        <f t="shared" ref="T68:T81" si="33">IF(B68="☓","未使用",IF(AND(B68="○",G68="○",K68="○",E68="○"),IF(C68="","ERROR",IF(N68&lt;&gt;"",C68,"")),"非対象"))</f>
        <v>非対象</v>
      </c>
      <c r="U68" s="315" t="str">
        <f t="shared" ref="U68:U81" si="34">IF(B68="☓","未使用",IF(AND(B68="○",G68="○",K68="○",F68="○"),IF(C68="","ERROR",IF(N68&lt;&gt;"",C68,"")),"非対象"))</f>
        <v>非対象</v>
      </c>
      <c r="V68" s="315" t="str">
        <f t="shared" ref="V68:V81" si="35">IF(B68="☓","未使用",IF(AND(B68="○",H68="○",J68="○",D68="○"),IF(C68="","ERROR",IF(N68&lt;&gt;"",C68,"")),"非対象"))</f>
        <v>非対象</v>
      </c>
      <c r="W68" s="459" t="s">
        <v>10889</v>
      </c>
      <c r="X68" s="459" t="s">
        <v>10889</v>
      </c>
      <c r="Y68" s="315" t="str">
        <f t="shared" ref="Y68:Y81" si="36">IF(B68="☓","未使用",IF(AND(B68="○",H68="○",K68="○",D68="○"),IF(C68="","ERROR",IF(N68&lt;&gt;"",C68,"")),"非対象"))</f>
        <v/>
      </c>
      <c r="Z68" s="459" t="s">
        <v>10889</v>
      </c>
      <c r="AA68" s="459" t="s">
        <v>10889</v>
      </c>
      <c r="AB68" s="315" t="str">
        <f t="shared" ref="AB68:AB81" si="37">IF(B68="☓","未使用",IF(AND(B68="○",I68="○",J68="○",D68="○"),IF(C68="","ERROR",IF(N68&lt;&gt;"",C68,"")),"非対象"))</f>
        <v>非対象</v>
      </c>
      <c r="AC68" s="315" t="str">
        <f t="shared" ref="AC68:AC81" si="38">IF(B68="☓","未使用",IF(AND(B68="○",I68="○",J68="○",E68="○"),IF(C68="","ERROR",IF(N68&lt;&gt;"",C68,"")),"非対象"))</f>
        <v>非対象</v>
      </c>
      <c r="AD68" s="315" t="str">
        <f t="shared" ref="AD68:AD81" si="39">IF(B68="☓","未使用",IF(AND(B68="○",I68="○",J68="○",F68="○"),IF(C68="","ERROR",IF(N68&lt;&gt;"",C68,"")),"非対象"))</f>
        <v>非対象</v>
      </c>
      <c r="AE68" s="315" t="str">
        <f t="shared" ref="AE68:AE81" si="40">IF(B68="☓","未使用",IF(AND(B68="○",I68="○",K68="○",D68="○"),IF(C68="","ERROR",IF(N68&lt;&gt;"",C68,"")),"非対象"))</f>
        <v>非対象</v>
      </c>
      <c r="AF68" s="315" t="str">
        <f t="shared" ref="AF68:AF81" si="41">IF(B68="☓","未使用",IF(AND(B68="○",I68="○",K68="○",E68="○"),IF(C68="","ERROR",IF(N68&lt;&gt;"",C68,"")),"非対象"))</f>
        <v>非対象</v>
      </c>
      <c r="AG68" s="315" t="str">
        <f t="shared" ref="AG68:AG81" si="42">IF(B68="☓","未使用",IF(AND(B68="○",I68="○",K68="○",F68="○"),IF(C68="","ERROR",IF(N68&lt;&gt;"",C68,"")),"非対象"))</f>
        <v>非対象</v>
      </c>
    </row>
    <row r="69" spans="1:33" ht="18" customHeight="1">
      <c r="A69" s="493">
        <f t="shared" si="14"/>
        <v>66</v>
      </c>
      <c r="B69" s="494" t="s">
        <v>10059</v>
      </c>
      <c r="C69" s="494" t="s">
        <v>10070</v>
      </c>
      <c r="D69" s="481" t="s">
        <v>10059</v>
      </c>
      <c r="E69" s="315"/>
      <c r="F69" s="489"/>
      <c r="G69" s="481"/>
      <c r="H69" s="315" t="s">
        <v>10059</v>
      </c>
      <c r="I69" s="489"/>
      <c r="J69" s="481"/>
      <c r="K69" s="489" t="s">
        <v>10059</v>
      </c>
      <c r="L69" s="480" t="s">
        <v>10073</v>
      </c>
      <c r="M69" s="317" t="s">
        <v>10840</v>
      </c>
      <c r="N69" s="457" t="str">
        <f>IF(shinsei_intermediate_KENSA_DATE="","検査日が入力されていません","")</f>
        <v>検査日が入力されていません</v>
      </c>
      <c r="O69" s="460"/>
      <c r="P69" s="315" t="str">
        <f t="shared" si="29"/>
        <v>非対象</v>
      </c>
      <c r="Q69" s="315" t="str">
        <f t="shared" si="30"/>
        <v>非対象</v>
      </c>
      <c r="R69" s="315" t="str">
        <f t="shared" si="31"/>
        <v>非対象</v>
      </c>
      <c r="S69" s="315" t="str">
        <f t="shared" si="32"/>
        <v>非対象</v>
      </c>
      <c r="T69" s="315" t="str">
        <f t="shared" si="33"/>
        <v>非対象</v>
      </c>
      <c r="U69" s="315" t="str">
        <f t="shared" si="34"/>
        <v>非対象</v>
      </c>
      <c r="V69" s="315" t="str">
        <f t="shared" si="35"/>
        <v>非対象</v>
      </c>
      <c r="W69" s="459" t="s">
        <v>10890</v>
      </c>
      <c r="X69" s="459" t="s">
        <v>10890</v>
      </c>
      <c r="Y69" s="315" t="str">
        <f t="shared" si="36"/>
        <v>入力</v>
      </c>
      <c r="Z69" s="459" t="s">
        <v>10890</v>
      </c>
      <c r="AA69" s="459" t="s">
        <v>10890</v>
      </c>
      <c r="AB69" s="315" t="str">
        <f t="shared" si="37"/>
        <v>非対象</v>
      </c>
      <c r="AC69" s="315" t="str">
        <f t="shared" si="38"/>
        <v>非対象</v>
      </c>
      <c r="AD69" s="315" t="str">
        <f t="shared" si="39"/>
        <v>非対象</v>
      </c>
      <c r="AE69" s="315" t="str">
        <f t="shared" si="40"/>
        <v>非対象</v>
      </c>
      <c r="AF69" s="315" t="str">
        <f t="shared" si="41"/>
        <v>非対象</v>
      </c>
      <c r="AG69" s="315" t="str">
        <f t="shared" si="42"/>
        <v>非対象</v>
      </c>
    </row>
    <row r="70" spans="1:33" ht="18" customHeight="1">
      <c r="A70" s="493">
        <f t="shared" si="14"/>
        <v>67</v>
      </c>
      <c r="B70" s="494" t="s">
        <v>10059</v>
      </c>
      <c r="C70" s="494" t="s">
        <v>10070</v>
      </c>
      <c r="D70" s="481" t="s">
        <v>10059</v>
      </c>
      <c r="E70" s="315" t="s">
        <v>10059</v>
      </c>
      <c r="F70" s="489" t="s">
        <v>10059</v>
      </c>
      <c r="G70" s="481"/>
      <c r="H70" s="315" t="s">
        <v>10059</v>
      </c>
      <c r="I70" s="489" t="s">
        <v>10059</v>
      </c>
      <c r="J70" s="481"/>
      <c r="K70" s="489" t="s">
        <v>10059</v>
      </c>
      <c r="L70" s="480" t="s">
        <v>10073</v>
      </c>
      <c r="M70" s="317" t="s">
        <v>10053</v>
      </c>
      <c r="N70" s="457" t="str">
        <f>IF(shinsei_HOUKOKU_DATE="","報告日が入力されていません","")</f>
        <v>報告日が入力されていません</v>
      </c>
      <c r="O70" s="460"/>
      <c r="P70" s="315" t="str">
        <f t="shared" si="29"/>
        <v>非対象</v>
      </c>
      <c r="Q70" s="315" t="str">
        <f t="shared" si="30"/>
        <v>非対象</v>
      </c>
      <c r="R70" s="315" t="str">
        <f t="shared" si="31"/>
        <v>非対象</v>
      </c>
      <c r="S70" s="315" t="str">
        <f t="shared" si="32"/>
        <v>非対象</v>
      </c>
      <c r="T70" s="315" t="str">
        <f t="shared" si="33"/>
        <v>非対象</v>
      </c>
      <c r="U70" s="315" t="str">
        <f t="shared" si="34"/>
        <v>非対象</v>
      </c>
      <c r="V70" s="315" t="str">
        <f t="shared" si="35"/>
        <v>非対象</v>
      </c>
      <c r="W70" s="459" t="s">
        <v>10890</v>
      </c>
      <c r="X70" s="459" t="s">
        <v>10890</v>
      </c>
      <c r="Y70" s="315" t="str">
        <f t="shared" si="36"/>
        <v>入力</v>
      </c>
      <c r="Z70" s="459" t="s">
        <v>10890</v>
      </c>
      <c r="AA70" s="459" t="s">
        <v>10890</v>
      </c>
      <c r="AB70" s="315" t="str">
        <f t="shared" si="37"/>
        <v>非対象</v>
      </c>
      <c r="AC70" s="315" t="str">
        <f t="shared" si="38"/>
        <v>非対象</v>
      </c>
      <c r="AD70" s="315" t="str">
        <f t="shared" si="39"/>
        <v>非対象</v>
      </c>
      <c r="AE70" s="315" t="str">
        <f t="shared" si="40"/>
        <v>入力</v>
      </c>
      <c r="AF70" s="315" t="str">
        <f t="shared" si="41"/>
        <v>入力</v>
      </c>
      <c r="AG70" s="315" t="str">
        <f t="shared" si="42"/>
        <v>入力</v>
      </c>
    </row>
    <row r="71" spans="1:33" ht="18" customHeight="1">
      <c r="A71" s="493">
        <f t="shared" si="14"/>
        <v>68</v>
      </c>
      <c r="B71" s="494" t="s">
        <v>10059</v>
      </c>
      <c r="C71" s="494" t="s">
        <v>10068</v>
      </c>
      <c r="D71" s="481" t="s">
        <v>10059</v>
      </c>
      <c r="E71" s="315"/>
      <c r="F71" s="489"/>
      <c r="G71" s="481"/>
      <c r="H71" s="315" t="s">
        <v>10059</v>
      </c>
      <c r="I71" s="489"/>
      <c r="J71" s="481"/>
      <c r="K71" s="489" t="s">
        <v>10059</v>
      </c>
      <c r="L71" s="480" t="s">
        <v>10073</v>
      </c>
      <c r="M71" s="317" t="s">
        <v>10841</v>
      </c>
      <c r="N71" s="457" t="str">
        <f>IF(shinsei_intermediate_CYU1_YUKA_MENSEKI="","検査対象床面積が入力されていません","")</f>
        <v>検査対象床面積が入力されていません</v>
      </c>
      <c r="O71" s="460"/>
      <c r="P71" s="315" t="str">
        <f t="shared" si="29"/>
        <v>非対象</v>
      </c>
      <c r="Q71" s="315" t="str">
        <f t="shared" si="30"/>
        <v>非対象</v>
      </c>
      <c r="R71" s="315" t="str">
        <f t="shared" si="31"/>
        <v>非対象</v>
      </c>
      <c r="S71" s="315" t="str">
        <f t="shared" si="32"/>
        <v>非対象</v>
      </c>
      <c r="T71" s="315" t="str">
        <f t="shared" si="33"/>
        <v>非対象</v>
      </c>
      <c r="U71" s="315" t="str">
        <f t="shared" si="34"/>
        <v>非対象</v>
      </c>
      <c r="V71" s="315" t="str">
        <f t="shared" si="35"/>
        <v>非対象</v>
      </c>
      <c r="W71" s="459" t="s">
        <v>10889</v>
      </c>
      <c r="X71" s="459" t="s">
        <v>10889</v>
      </c>
      <c r="Y71" s="315" t="str">
        <f t="shared" si="36"/>
        <v>エラー</v>
      </c>
      <c r="Z71" s="459" t="s">
        <v>10889</v>
      </c>
      <c r="AA71" s="459" t="s">
        <v>10889</v>
      </c>
      <c r="AB71" s="315" t="str">
        <f t="shared" si="37"/>
        <v>非対象</v>
      </c>
      <c r="AC71" s="315" t="str">
        <f t="shared" si="38"/>
        <v>非対象</v>
      </c>
      <c r="AD71" s="315" t="str">
        <f t="shared" si="39"/>
        <v>非対象</v>
      </c>
      <c r="AE71" s="315" t="str">
        <f t="shared" si="40"/>
        <v>非対象</v>
      </c>
      <c r="AF71" s="315" t="str">
        <f t="shared" si="41"/>
        <v>非対象</v>
      </c>
      <c r="AG71" s="315" t="str">
        <f t="shared" si="42"/>
        <v>非対象</v>
      </c>
    </row>
    <row r="72" spans="1:33" ht="18" customHeight="1">
      <c r="A72" s="493">
        <f t="shared" ref="A72:A81" si="43">ROW()-3</f>
        <v>69</v>
      </c>
      <c r="B72" s="494" t="s">
        <v>10059</v>
      </c>
      <c r="C72" s="494" t="s">
        <v>10068</v>
      </c>
      <c r="D72" s="481" t="s">
        <v>10059</v>
      </c>
      <c r="E72" s="315"/>
      <c r="F72" s="489"/>
      <c r="G72" s="481"/>
      <c r="H72" s="315"/>
      <c r="I72" s="489" t="s">
        <v>10059</v>
      </c>
      <c r="J72" s="481"/>
      <c r="K72" s="489" t="s">
        <v>10059</v>
      </c>
      <c r="L72" s="480" t="s">
        <v>10073</v>
      </c>
      <c r="M72" s="317" t="s">
        <v>10841</v>
      </c>
      <c r="N72" s="457" t="str">
        <f>IF(shinsei_KOUJI_YUKA_MENSEKI="","検査対象床面積が入力されていません","")</f>
        <v>検査対象床面積が入力されていません</v>
      </c>
      <c r="O72" s="460"/>
      <c r="P72" s="315" t="str">
        <f t="shared" si="29"/>
        <v>非対象</v>
      </c>
      <c r="Q72" s="315" t="str">
        <f t="shared" si="30"/>
        <v>非対象</v>
      </c>
      <c r="R72" s="315" t="str">
        <f t="shared" si="31"/>
        <v>非対象</v>
      </c>
      <c r="S72" s="315" t="str">
        <f t="shared" si="32"/>
        <v>非対象</v>
      </c>
      <c r="T72" s="315" t="str">
        <f t="shared" si="33"/>
        <v>非対象</v>
      </c>
      <c r="U72" s="315" t="str">
        <f t="shared" si="34"/>
        <v>非対象</v>
      </c>
      <c r="V72" s="315" t="str">
        <f t="shared" si="35"/>
        <v>非対象</v>
      </c>
      <c r="W72" s="459" t="s">
        <v>10889</v>
      </c>
      <c r="X72" s="459" t="s">
        <v>10889</v>
      </c>
      <c r="Y72" s="315" t="str">
        <f t="shared" si="36"/>
        <v>非対象</v>
      </c>
      <c r="Z72" s="459" t="s">
        <v>10889</v>
      </c>
      <c r="AA72" s="459" t="s">
        <v>10889</v>
      </c>
      <c r="AB72" s="315" t="str">
        <f t="shared" si="37"/>
        <v>非対象</v>
      </c>
      <c r="AC72" s="315" t="str">
        <f t="shared" si="38"/>
        <v>非対象</v>
      </c>
      <c r="AD72" s="315" t="str">
        <f t="shared" si="39"/>
        <v>非対象</v>
      </c>
      <c r="AE72" s="315" t="str">
        <f t="shared" si="40"/>
        <v>エラー</v>
      </c>
      <c r="AF72" s="315" t="str">
        <f t="shared" si="41"/>
        <v>非対象</v>
      </c>
      <c r="AG72" s="315" t="str">
        <f t="shared" si="42"/>
        <v>非対象</v>
      </c>
    </row>
    <row r="73" spans="1:33" ht="18" customHeight="1">
      <c r="A73" s="493">
        <f t="shared" si="43"/>
        <v>70</v>
      </c>
      <c r="B73" s="494" t="s">
        <v>10059</v>
      </c>
      <c r="C73" s="494" t="s">
        <v>10070</v>
      </c>
      <c r="D73" s="481" t="s">
        <v>10059</v>
      </c>
      <c r="E73" s="315" t="s">
        <v>11100</v>
      </c>
      <c r="F73" s="489" t="s">
        <v>10059</v>
      </c>
      <c r="G73" s="481" t="s">
        <v>10059</v>
      </c>
      <c r="H73" s="315"/>
      <c r="I73" s="489"/>
      <c r="J73" s="481"/>
      <c r="K73" s="489" t="s">
        <v>10059</v>
      </c>
      <c r="L73" s="480" t="s">
        <v>10073</v>
      </c>
      <c r="M73" s="317" t="s">
        <v>11057</v>
      </c>
      <c r="N73" s="457" t="str">
        <f>IF(shinseijudgehist_accept_isyou1_TANTO_USER_ID="","本審査 - 意匠一次担当者が入力されていません。","")</f>
        <v/>
      </c>
      <c r="O73" s="460"/>
      <c r="P73" s="315" t="str">
        <f t="shared" si="29"/>
        <v>非対象</v>
      </c>
      <c r="Q73" s="315" t="str">
        <f t="shared" si="30"/>
        <v>非対象</v>
      </c>
      <c r="R73" s="315" t="str">
        <f t="shared" si="31"/>
        <v>非対象</v>
      </c>
      <c r="S73" s="315" t="str">
        <f t="shared" si="32"/>
        <v/>
      </c>
      <c r="T73" s="315" t="str">
        <f t="shared" si="33"/>
        <v/>
      </c>
      <c r="U73" s="315" t="str">
        <f t="shared" si="34"/>
        <v/>
      </c>
      <c r="V73" s="315" t="str">
        <f t="shared" si="35"/>
        <v>非対象</v>
      </c>
      <c r="W73" s="459" t="s">
        <v>10889</v>
      </c>
      <c r="X73" s="459" t="s">
        <v>10889</v>
      </c>
      <c r="Y73" s="315" t="str">
        <f t="shared" si="36"/>
        <v>非対象</v>
      </c>
      <c r="Z73" s="459" t="s">
        <v>10889</v>
      </c>
      <c r="AA73" s="459" t="s">
        <v>10889</v>
      </c>
      <c r="AB73" s="315" t="str">
        <f t="shared" si="37"/>
        <v>非対象</v>
      </c>
      <c r="AC73" s="315" t="str">
        <f t="shared" si="38"/>
        <v>非対象</v>
      </c>
      <c r="AD73" s="315" t="str">
        <f t="shared" si="39"/>
        <v>非対象</v>
      </c>
      <c r="AE73" s="315" t="str">
        <f t="shared" si="40"/>
        <v>非対象</v>
      </c>
      <c r="AF73" s="315" t="str">
        <f t="shared" si="41"/>
        <v>非対象</v>
      </c>
      <c r="AG73" s="315" t="str">
        <f t="shared" si="42"/>
        <v>非対象</v>
      </c>
    </row>
    <row r="74" spans="1:33" ht="18" customHeight="1">
      <c r="A74" s="493">
        <f t="shared" si="43"/>
        <v>71</v>
      </c>
      <c r="B74" s="494" t="s">
        <v>10059</v>
      </c>
      <c r="C74" s="494" t="s">
        <v>10070</v>
      </c>
      <c r="D74" s="481" t="s">
        <v>10059</v>
      </c>
      <c r="E74" s="315" t="s">
        <v>11100</v>
      </c>
      <c r="F74" s="489" t="s">
        <v>10059</v>
      </c>
      <c r="G74" s="481" t="s">
        <v>10059</v>
      </c>
      <c r="H74" s="315"/>
      <c r="I74" s="489"/>
      <c r="J74" s="481"/>
      <c r="K74" s="489" t="s">
        <v>10059</v>
      </c>
      <c r="L74" s="480" t="s">
        <v>10073</v>
      </c>
      <c r="M74" s="317" t="s">
        <v>11058</v>
      </c>
      <c r="N74" s="457" t="str">
        <f>IF(shinseijudgehist_accept_kouzou1_TANTO_USER_ID="","本審査 - 構造一次担当者が入力されていません。","")</f>
        <v/>
      </c>
      <c r="O74" s="460"/>
      <c r="P74" s="315" t="str">
        <f t="shared" si="29"/>
        <v>非対象</v>
      </c>
      <c r="Q74" s="315" t="str">
        <f t="shared" si="30"/>
        <v>非対象</v>
      </c>
      <c r="R74" s="315" t="str">
        <f t="shared" si="31"/>
        <v>非対象</v>
      </c>
      <c r="S74" s="315" t="str">
        <f t="shared" si="32"/>
        <v/>
      </c>
      <c r="T74" s="315" t="str">
        <f t="shared" si="33"/>
        <v/>
      </c>
      <c r="U74" s="315" t="str">
        <f t="shared" si="34"/>
        <v/>
      </c>
      <c r="V74" s="315" t="str">
        <f t="shared" si="35"/>
        <v>非対象</v>
      </c>
      <c r="W74" s="459" t="s">
        <v>10085</v>
      </c>
      <c r="X74" s="459" t="s">
        <v>10085</v>
      </c>
      <c r="Y74" s="315" t="str">
        <f t="shared" si="36"/>
        <v>非対象</v>
      </c>
      <c r="Z74" s="459" t="s">
        <v>10085</v>
      </c>
      <c r="AA74" s="459" t="s">
        <v>10085</v>
      </c>
      <c r="AB74" s="315" t="str">
        <f t="shared" si="37"/>
        <v>非対象</v>
      </c>
      <c r="AC74" s="315" t="str">
        <f t="shared" si="38"/>
        <v>非対象</v>
      </c>
      <c r="AD74" s="315" t="str">
        <f t="shared" si="39"/>
        <v>非対象</v>
      </c>
      <c r="AE74" s="315" t="str">
        <f t="shared" si="40"/>
        <v>非対象</v>
      </c>
      <c r="AF74" s="315" t="str">
        <f t="shared" si="41"/>
        <v>非対象</v>
      </c>
      <c r="AG74" s="315" t="str">
        <f t="shared" si="42"/>
        <v>非対象</v>
      </c>
    </row>
    <row r="75" spans="1:33" ht="18" customHeight="1">
      <c r="A75" s="493">
        <f t="shared" si="43"/>
        <v>72</v>
      </c>
      <c r="B75" s="494" t="s">
        <v>10059</v>
      </c>
      <c r="C75" s="494" t="s">
        <v>10070</v>
      </c>
      <c r="D75" s="481" t="s">
        <v>10059</v>
      </c>
      <c r="E75" s="315" t="s">
        <v>11100</v>
      </c>
      <c r="F75" s="489" t="s">
        <v>10059</v>
      </c>
      <c r="G75" s="481" t="s">
        <v>10059</v>
      </c>
      <c r="H75" s="315"/>
      <c r="I75" s="489"/>
      <c r="J75" s="481"/>
      <c r="K75" s="489" t="s">
        <v>10059</v>
      </c>
      <c r="L75" s="480" t="s">
        <v>10073</v>
      </c>
      <c r="M75" s="317" t="s">
        <v>11059</v>
      </c>
      <c r="N75" s="457" t="str">
        <f>IF(shinseijudgehist_accept_setubi1_TANTO_USER_ID="","本審査 - 設備一次担当者が入力されていません。","")</f>
        <v/>
      </c>
      <c r="O75" s="460"/>
      <c r="P75" s="315" t="str">
        <f t="shared" si="29"/>
        <v>非対象</v>
      </c>
      <c r="Q75" s="315" t="str">
        <f t="shared" si="30"/>
        <v>非対象</v>
      </c>
      <c r="R75" s="315" t="str">
        <f t="shared" si="31"/>
        <v>非対象</v>
      </c>
      <c r="S75" s="315" t="str">
        <f t="shared" si="32"/>
        <v/>
      </c>
      <c r="T75" s="315" t="str">
        <f t="shared" si="33"/>
        <v/>
      </c>
      <c r="U75" s="315" t="str">
        <f t="shared" si="34"/>
        <v/>
      </c>
      <c r="V75" s="315" t="str">
        <f t="shared" si="35"/>
        <v>非対象</v>
      </c>
      <c r="W75" s="459" t="s">
        <v>10085</v>
      </c>
      <c r="X75" s="459" t="s">
        <v>10085</v>
      </c>
      <c r="Y75" s="315" t="str">
        <f t="shared" si="36"/>
        <v>非対象</v>
      </c>
      <c r="Z75" s="459" t="s">
        <v>10085</v>
      </c>
      <c r="AA75" s="459" t="s">
        <v>10085</v>
      </c>
      <c r="AB75" s="315" t="str">
        <f t="shared" si="37"/>
        <v>非対象</v>
      </c>
      <c r="AC75" s="315" t="str">
        <f t="shared" si="38"/>
        <v>非対象</v>
      </c>
      <c r="AD75" s="315" t="str">
        <f t="shared" si="39"/>
        <v>非対象</v>
      </c>
      <c r="AE75" s="315" t="str">
        <f t="shared" si="40"/>
        <v>非対象</v>
      </c>
      <c r="AF75" s="315" t="str">
        <f t="shared" si="41"/>
        <v>非対象</v>
      </c>
      <c r="AG75" s="315" t="str">
        <f t="shared" si="42"/>
        <v>非対象</v>
      </c>
    </row>
    <row r="76" spans="1:33" ht="18" customHeight="1">
      <c r="A76" s="493">
        <f t="shared" si="43"/>
        <v>73</v>
      </c>
      <c r="B76" s="494" t="s">
        <v>10059</v>
      </c>
      <c r="C76" s="494" t="s">
        <v>10070</v>
      </c>
      <c r="D76" s="481" t="s">
        <v>10059</v>
      </c>
      <c r="E76" s="315"/>
      <c r="F76" s="489"/>
      <c r="G76" s="481" t="s">
        <v>10059</v>
      </c>
      <c r="H76" s="315"/>
      <c r="I76" s="489"/>
      <c r="J76" s="481"/>
      <c r="K76" s="489" t="s">
        <v>10059</v>
      </c>
      <c r="L76" s="480" t="s">
        <v>10912</v>
      </c>
      <c r="M76" s="317" t="s">
        <v>11098</v>
      </c>
      <c r="N76" s="457" t="str">
        <f>IF(shinsei_STR_CALC_BOOK_FLAG__umu="有","構造計算書の有にチェックはつけないで下さい",IF(shinseijudgehist_accept_kouzou1_TANTO_USER_ID="",IF(shinsei_STR_CALC_BOOK_FLAG__umu="無","","構造担当者が未入力なので、構造計算書の無にチェックが必要です"),IF(shinsei_STR_CALC_BOOK_FLAG__umu="無","構造担当者を入力していますので、構造計算書の無にチェックは不要です","")))</f>
        <v/>
      </c>
      <c r="O76" s="460"/>
      <c r="P76" s="315" t="str">
        <f t="shared" si="29"/>
        <v>非対象</v>
      </c>
      <c r="Q76" s="315" t="str">
        <f t="shared" si="30"/>
        <v>非対象</v>
      </c>
      <c r="R76" s="315" t="str">
        <f t="shared" si="31"/>
        <v>非対象</v>
      </c>
      <c r="S76" s="315" t="str">
        <f t="shared" si="32"/>
        <v/>
      </c>
      <c r="T76" s="315" t="str">
        <f t="shared" si="33"/>
        <v>非対象</v>
      </c>
      <c r="U76" s="315" t="str">
        <f t="shared" si="34"/>
        <v>非対象</v>
      </c>
      <c r="V76" s="315" t="str">
        <f t="shared" si="35"/>
        <v>非対象</v>
      </c>
      <c r="W76" s="459" t="s">
        <v>10085</v>
      </c>
      <c r="X76" s="459" t="s">
        <v>10085</v>
      </c>
      <c r="Y76" s="315" t="str">
        <f t="shared" si="36"/>
        <v>非対象</v>
      </c>
      <c r="Z76" s="459" t="s">
        <v>10085</v>
      </c>
      <c r="AA76" s="459" t="s">
        <v>10085</v>
      </c>
      <c r="AB76" s="315" t="str">
        <f t="shared" si="37"/>
        <v>非対象</v>
      </c>
      <c r="AC76" s="315" t="str">
        <f t="shared" si="38"/>
        <v>非対象</v>
      </c>
      <c r="AD76" s="315" t="str">
        <f t="shared" si="39"/>
        <v>非対象</v>
      </c>
      <c r="AE76" s="315" t="str">
        <f t="shared" si="40"/>
        <v>非対象</v>
      </c>
      <c r="AF76" s="315" t="str">
        <f t="shared" si="41"/>
        <v>非対象</v>
      </c>
      <c r="AG76" s="315" t="str">
        <f t="shared" si="42"/>
        <v>非対象</v>
      </c>
    </row>
    <row r="77" spans="1:33" ht="18" customHeight="1">
      <c r="A77" s="493">
        <f t="shared" si="43"/>
        <v>74</v>
      </c>
      <c r="B77" s="494" t="s">
        <v>10059</v>
      </c>
      <c r="C77" s="494" t="s">
        <v>10070</v>
      </c>
      <c r="D77" s="481" t="s">
        <v>10059</v>
      </c>
      <c r="E77" s="315"/>
      <c r="F77" s="489"/>
      <c r="G77" s="481" t="s">
        <v>10059</v>
      </c>
      <c r="H77" s="315"/>
      <c r="I77" s="489"/>
      <c r="J77" s="481" t="s">
        <v>10059</v>
      </c>
      <c r="K77" s="489"/>
      <c r="L77" s="480" t="s">
        <v>10073</v>
      </c>
      <c r="M77" s="317" t="s">
        <v>11548</v>
      </c>
      <c r="N77" s="457" t="str">
        <f>IF(shinsei_CITY_ID__city="京都市","京都市のため、その他に記載する文言をリストボックスから選択して下さい。","")</f>
        <v/>
      </c>
      <c r="O77" s="460"/>
      <c r="P77" s="315" t="str">
        <f t="shared" si="29"/>
        <v/>
      </c>
      <c r="Q77" s="315" t="str">
        <f t="shared" si="30"/>
        <v>非対象</v>
      </c>
      <c r="R77" s="315" t="str">
        <f t="shared" si="31"/>
        <v>非対象</v>
      </c>
      <c r="S77" s="315" t="str">
        <f t="shared" si="32"/>
        <v>非対象</v>
      </c>
      <c r="T77" s="315" t="str">
        <f t="shared" si="33"/>
        <v>非対象</v>
      </c>
      <c r="U77" s="315" t="str">
        <f t="shared" si="34"/>
        <v>非対象</v>
      </c>
      <c r="V77" s="315" t="str">
        <f t="shared" si="35"/>
        <v>非対象</v>
      </c>
      <c r="W77" s="459" t="s">
        <v>10085</v>
      </c>
      <c r="X77" s="459" t="s">
        <v>10085</v>
      </c>
      <c r="Y77" s="315" t="str">
        <f t="shared" si="36"/>
        <v>非対象</v>
      </c>
      <c r="Z77" s="459" t="s">
        <v>10085</v>
      </c>
      <c r="AA77" s="459" t="s">
        <v>10085</v>
      </c>
      <c r="AB77" s="315" t="str">
        <f t="shared" si="37"/>
        <v>非対象</v>
      </c>
      <c r="AC77" s="315" t="str">
        <f t="shared" si="38"/>
        <v>非対象</v>
      </c>
      <c r="AD77" s="315" t="str">
        <f t="shared" si="39"/>
        <v>非対象</v>
      </c>
      <c r="AE77" s="315" t="str">
        <f t="shared" si="40"/>
        <v>非対象</v>
      </c>
      <c r="AF77" s="315" t="str">
        <f t="shared" si="41"/>
        <v>非対象</v>
      </c>
      <c r="AG77" s="315" t="str">
        <f t="shared" si="42"/>
        <v>非対象</v>
      </c>
    </row>
    <row r="78" spans="1:33" ht="18" customHeight="1">
      <c r="A78" s="493">
        <f t="shared" si="43"/>
        <v>75</v>
      </c>
      <c r="B78" s="494" t="s">
        <v>10067</v>
      </c>
      <c r="C78" s="494"/>
      <c r="D78" s="481"/>
      <c r="E78" s="315"/>
      <c r="F78" s="489"/>
      <c r="G78" s="481"/>
      <c r="H78" s="315"/>
      <c r="I78" s="489"/>
      <c r="J78" s="481"/>
      <c r="K78" s="489"/>
      <c r="L78" s="480"/>
      <c r="M78" s="317"/>
      <c r="N78" s="457"/>
      <c r="O78" s="460"/>
      <c r="P78" s="315" t="str">
        <f t="shared" si="29"/>
        <v>未使用</v>
      </c>
      <c r="Q78" s="315" t="str">
        <f t="shared" si="30"/>
        <v>未使用</v>
      </c>
      <c r="R78" s="315" t="str">
        <f t="shared" si="31"/>
        <v>未使用</v>
      </c>
      <c r="S78" s="315" t="str">
        <f t="shared" si="32"/>
        <v>未使用</v>
      </c>
      <c r="T78" s="315" t="str">
        <f t="shared" si="33"/>
        <v>未使用</v>
      </c>
      <c r="U78" s="315" t="str">
        <f t="shared" si="34"/>
        <v>未使用</v>
      </c>
      <c r="V78" s="315" t="str">
        <f t="shared" si="35"/>
        <v>未使用</v>
      </c>
      <c r="W78" s="459" t="s">
        <v>10085</v>
      </c>
      <c r="X78" s="459" t="s">
        <v>10085</v>
      </c>
      <c r="Y78" s="315" t="str">
        <f t="shared" si="36"/>
        <v>未使用</v>
      </c>
      <c r="Z78" s="459" t="s">
        <v>10085</v>
      </c>
      <c r="AA78" s="459" t="s">
        <v>10085</v>
      </c>
      <c r="AB78" s="315" t="str">
        <f t="shared" si="37"/>
        <v>未使用</v>
      </c>
      <c r="AC78" s="315" t="str">
        <f t="shared" si="38"/>
        <v>未使用</v>
      </c>
      <c r="AD78" s="315" t="str">
        <f t="shared" si="39"/>
        <v>未使用</v>
      </c>
      <c r="AE78" s="315" t="str">
        <f t="shared" si="40"/>
        <v>未使用</v>
      </c>
      <c r="AF78" s="315" t="str">
        <f t="shared" si="41"/>
        <v>未使用</v>
      </c>
      <c r="AG78" s="315" t="str">
        <f t="shared" si="42"/>
        <v>未使用</v>
      </c>
    </row>
    <row r="79" spans="1:33" ht="18" customHeight="1">
      <c r="A79" s="493">
        <f t="shared" si="43"/>
        <v>76</v>
      </c>
      <c r="B79" s="494" t="s">
        <v>10067</v>
      </c>
      <c r="C79" s="494"/>
      <c r="D79" s="481"/>
      <c r="E79" s="315"/>
      <c r="F79" s="489"/>
      <c r="G79" s="481"/>
      <c r="H79" s="315"/>
      <c r="I79" s="489"/>
      <c r="J79" s="481"/>
      <c r="K79" s="489"/>
      <c r="L79" s="480"/>
      <c r="M79" s="317"/>
      <c r="N79" s="457"/>
      <c r="O79" s="460"/>
      <c r="P79" s="315" t="str">
        <f t="shared" si="29"/>
        <v>未使用</v>
      </c>
      <c r="Q79" s="315" t="str">
        <f t="shared" si="30"/>
        <v>未使用</v>
      </c>
      <c r="R79" s="315" t="str">
        <f t="shared" si="31"/>
        <v>未使用</v>
      </c>
      <c r="S79" s="315" t="str">
        <f t="shared" si="32"/>
        <v>未使用</v>
      </c>
      <c r="T79" s="315" t="str">
        <f t="shared" si="33"/>
        <v>未使用</v>
      </c>
      <c r="U79" s="315" t="str">
        <f t="shared" si="34"/>
        <v>未使用</v>
      </c>
      <c r="V79" s="315" t="str">
        <f t="shared" si="35"/>
        <v>未使用</v>
      </c>
      <c r="W79" s="459" t="s">
        <v>10889</v>
      </c>
      <c r="X79" s="459" t="s">
        <v>10889</v>
      </c>
      <c r="Y79" s="315" t="str">
        <f t="shared" si="36"/>
        <v>未使用</v>
      </c>
      <c r="Z79" s="459" t="s">
        <v>10889</v>
      </c>
      <c r="AA79" s="459" t="s">
        <v>10889</v>
      </c>
      <c r="AB79" s="315" t="str">
        <f t="shared" si="37"/>
        <v>未使用</v>
      </c>
      <c r="AC79" s="315" t="str">
        <f t="shared" si="38"/>
        <v>未使用</v>
      </c>
      <c r="AD79" s="315" t="str">
        <f t="shared" si="39"/>
        <v>未使用</v>
      </c>
      <c r="AE79" s="315" t="str">
        <f t="shared" si="40"/>
        <v>未使用</v>
      </c>
      <c r="AF79" s="315" t="str">
        <f t="shared" si="41"/>
        <v>未使用</v>
      </c>
      <c r="AG79" s="315" t="str">
        <f t="shared" si="42"/>
        <v>未使用</v>
      </c>
    </row>
    <row r="80" spans="1:33" ht="18" customHeight="1">
      <c r="A80" s="493">
        <f t="shared" si="43"/>
        <v>77</v>
      </c>
      <c r="B80" s="494" t="s">
        <v>10067</v>
      </c>
      <c r="C80" s="494"/>
      <c r="D80" s="481"/>
      <c r="E80" s="315"/>
      <c r="F80" s="489"/>
      <c r="G80" s="481"/>
      <c r="H80" s="315"/>
      <c r="I80" s="489"/>
      <c r="J80" s="481"/>
      <c r="K80" s="489"/>
      <c r="L80" s="480"/>
      <c r="M80" s="317"/>
      <c r="N80" s="457"/>
      <c r="O80" s="460"/>
      <c r="P80" s="315" t="str">
        <f t="shared" si="29"/>
        <v>未使用</v>
      </c>
      <c r="Q80" s="315" t="str">
        <f t="shared" si="30"/>
        <v>未使用</v>
      </c>
      <c r="R80" s="315" t="str">
        <f t="shared" si="31"/>
        <v>未使用</v>
      </c>
      <c r="S80" s="315" t="str">
        <f t="shared" si="32"/>
        <v>未使用</v>
      </c>
      <c r="T80" s="315" t="str">
        <f t="shared" si="33"/>
        <v>未使用</v>
      </c>
      <c r="U80" s="315" t="str">
        <f t="shared" si="34"/>
        <v>未使用</v>
      </c>
      <c r="V80" s="315" t="str">
        <f t="shared" si="35"/>
        <v>未使用</v>
      </c>
      <c r="W80" s="459" t="s">
        <v>10889</v>
      </c>
      <c r="X80" s="459" t="s">
        <v>10889</v>
      </c>
      <c r="Y80" s="315" t="str">
        <f t="shared" si="36"/>
        <v>未使用</v>
      </c>
      <c r="Z80" s="459" t="s">
        <v>10889</v>
      </c>
      <c r="AA80" s="459" t="s">
        <v>10889</v>
      </c>
      <c r="AB80" s="315" t="str">
        <f t="shared" si="37"/>
        <v>未使用</v>
      </c>
      <c r="AC80" s="315" t="str">
        <f t="shared" si="38"/>
        <v>未使用</v>
      </c>
      <c r="AD80" s="315" t="str">
        <f t="shared" si="39"/>
        <v>未使用</v>
      </c>
      <c r="AE80" s="315" t="str">
        <f t="shared" si="40"/>
        <v>未使用</v>
      </c>
      <c r="AF80" s="315" t="str">
        <f t="shared" si="41"/>
        <v>未使用</v>
      </c>
      <c r="AG80" s="315" t="str">
        <f t="shared" si="42"/>
        <v>未使用</v>
      </c>
    </row>
    <row r="81" spans="1:33" ht="18" customHeight="1">
      <c r="A81" s="493">
        <f t="shared" si="43"/>
        <v>78</v>
      </c>
      <c r="B81" s="494" t="s">
        <v>10067</v>
      </c>
      <c r="C81" s="494"/>
      <c r="D81" s="481"/>
      <c r="E81" s="315"/>
      <c r="F81" s="489"/>
      <c r="G81" s="481"/>
      <c r="H81" s="315"/>
      <c r="I81" s="489"/>
      <c r="J81" s="481"/>
      <c r="K81" s="489"/>
      <c r="L81" s="480"/>
      <c r="M81" s="317"/>
      <c r="N81" s="457"/>
      <c r="O81" s="460"/>
      <c r="P81" s="315" t="str">
        <f t="shared" si="29"/>
        <v>未使用</v>
      </c>
      <c r="Q81" s="315" t="str">
        <f t="shared" si="30"/>
        <v>未使用</v>
      </c>
      <c r="R81" s="315" t="str">
        <f t="shared" si="31"/>
        <v>未使用</v>
      </c>
      <c r="S81" s="315" t="str">
        <f t="shared" si="32"/>
        <v>未使用</v>
      </c>
      <c r="T81" s="315" t="str">
        <f t="shared" si="33"/>
        <v>未使用</v>
      </c>
      <c r="U81" s="315" t="str">
        <f t="shared" si="34"/>
        <v>未使用</v>
      </c>
      <c r="V81" s="315" t="str">
        <f t="shared" si="35"/>
        <v>未使用</v>
      </c>
      <c r="W81" s="459" t="s">
        <v>10889</v>
      </c>
      <c r="X81" s="459" t="s">
        <v>10889</v>
      </c>
      <c r="Y81" s="315" t="str">
        <f t="shared" si="36"/>
        <v>未使用</v>
      </c>
      <c r="Z81" s="459" t="s">
        <v>10889</v>
      </c>
      <c r="AA81" s="459" t="s">
        <v>10889</v>
      </c>
      <c r="AB81" s="315" t="str">
        <f t="shared" si="37"/>
        <v>未使用</v>
      </c>
      <c r="AC81" s="315" t="str">
        <f t="shared" si="38"/>
        <v>未使用</v>
      </c>
      <c r="AD81" s="315" t="str">
        <f t="shared" si="39"/>
        <v>未使用</v>
      </c>
      <c r="AE81" s="315" t="str">
        <f t="shared" si="40"/>
        <v>未使用</v>
      </c>
      <c r="AF81" s="315" t="str">
        <f t="shared" si="41"/>
        <v>未使用</v>
      </c>
      <c r="AG81" s="315" t="str">
        <f t="shared" si="42"/>
        <v>未使用</v>
      </c>
    </row>
  </sheetData>
  <mergeCells count="1">
    <mergeCell ref="L1:M1"/>
  </mergeCells>
  <phoneticPr fontId="2"/>
  <dataValidations count="2">
    <dataValidation type="list" showInputMessage="1" showErrorMessage="1" sqref="B4:B81 D4:K81" xr:uid="{00000000-0002-0000-0A00-000000000000}">
      <formula1>"○,☓"</formula1>
    </dataValidation>
    <dataValidation type="list" showInputMessage="1" showErrorMessage="1" sqref="C4:C81" xr:uid="{00000000-0002-0000-0A00-000001000000}">
      <formula1>"エラー,入力"</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rgb="FFFF99CC"/>
  </sheetPr>
  <dimension ref="A1:L4047"/>
  <sheetViews>
    <sheetView topLeftCell="A52" zoomScale="90" zoomScaleNormal="90" workbookViewId="0">
      <selection activeCell="K83" sqref="K83"/>
    </sheetView>
  </sheetViews>
  <sheetFormatPr defaultColWidth="2.875" defaultRowHeight="18" customHeight="1"/>
  <cols>
    <col min="1" max="4" width="2.875" style="100" customWidth="1"/>
    <col min="5" max="6" width="16.875" style="100" customWidth="1"/>
    <col min="7" max="7" width="29.625" style="100" customWidth="1"/>
    <col min="8" max="8" width="19.25" style="100" customWidth="1"/>
    <col min="9" max="9" width="42.125" style="100" customWidth="1"/>
    <col min="10" max="10" width="17.625" style="100" customWidth="1"/>
    <col min="11" max="11" width="9.625" style="100" customWidth="1"/>
    <col min="12" max="12" width="14.125" style="100" customWidth="1"/>
    <col min="13" max="16384" width="2.875" style="100"/>
  </cols>
  <sheetData>
    <row r="1" spans="1:12" s="16" customFormat="1" ht="18" customHeight="1">
      <c r="A1" s="5" t="s">
        <v>4982</v>
      </c>
      <c r="B1" s="5"/>
      <c r="C1" s="5"/>
      <c r="D1" s="5"/>
      <c r="E1" s="5"/>
      <c r="F1" s="5"/>
      <c r="G1" s="5"/>
      <c r="H1" s="7"/>
      <c r="J1" s="7"/>
      <c r="K1" s="16" t="s">
        <v>2469</v>
      </c>
    </row>
    <row r="2" spans="1:12" s="16" customFormat="1" ht="18" customHeight="1">
      <c r="A2" s="5" t="s">
        <v>2755</v>
      </c>
      <c r="B2" s="5"/>
      <c r="C2" s="5"/>
      <c r="D2" s="5"/>
      <c r="E2" s="5"/>
      <c r="F2" s="5"/>
      <c r="G2" s="5" t="s">
        <v>2756</v>
      </c>
      <c r="H2" s="7" t="s">
        <v>2757</v>
      </c>
      <c r="I2" s="16" t="s">
        <v>2758</v>
      </c>
      <c r="J2" s="7" t="s">
        <v>2759</v>
      </c>
      <c r="K2" s="16" t="s">
        <v>2470</v>
      </c>
      <c r="L2" s="16" t="s">
        <v>2471</v>
      </c>
    </row>
    <row r="4" spans="1:12" s="10" customFormat="1" ht="18" customHeight="1">
      <c r="A4" s="8" t="s">
        <v>4983</v>
      </c>
      <c r="B4" s="8"/>
      <c r="C4" s="8"/>
      <c r="D4" s="8"/>
      <c r="E4" s="8"/>
      <c r="F4" s="8"/>
      <c r="G4" s="22"/>
      <c r="H4" s="22"/>
      <c r="I4" s="9"/>
      <c r="J4" s="9"/>
    </row>
    <row r="5" spans="1:12" s="10" customFormat="1" ht="18" customHeight="1">
      <c r="J5" s="81"/>
    </row>
    <row r="6" spans="1:12" s="10" customFormat="1" ht="18" customHeight="1">
      <c r="A6" s="10" t="s">
        <v>4984</v>
      </c>
      <c r="I6" s="10" t="s">
        <v>4985</v>
      </c>
      <c r="J6" s="123" t="str">
        <f>IF(shinsei_STRUCTRESULT_NOTIFY_NO="",IF(shinsei_STRIRAI_TEKIHAN_ACCEPT_NO="","",shinsei_STRIRAI_TEKIHAN_ACCEPT_NO),shinsei_STRUCTRESULT_NOTIFY_NO)</f>
        <v/>
      </c>
      <c r="K6" s="10" t="s">
        <v>4986</v>
      </c>
    </row>
    <row r="7" spans="1:12" s="10" customFormat="1" ht="18" customHeight="1">
      <c r="J7" s="81"/>
    </row>
    <row r="8" spans="1:12" s="10" customFormat="1" ht="18" customHeight="1">
      <c r="A8" s="12" t="s">
        <v>4987</v>
      </c>
      <c r="B8" s="12"/>
      <c r="C8" s="12"/>
      <c r="D8" s="12"/>
      <c r="E8" s="12"/>
      <c r="F8" s="12"/>
      <c r="G8" s="9"/>
      <c r="H8" s="9"/>
      <c r="I8" s="9"/>
      <c r="J8" s="9"/>
    </row>
    <row r="9" spans="1:12" s="10" customFormat="1" ht="18" customHeight="1">
      <c r="B9" s="12" t="s">
        <v>4988</v>
      </c>
      <c r="C9" s="12"/>
      <c r="D9" s="12"/>
      <c r="E9" s="12"/>
      <c r="F9" s="12"/>
      <c r="G9" s="9" t="s">
        <v>1298</v>
      </c>
      <c r="H9" s="20"/>
    </row>
    <row r="10" spans="1:12" s="10" customFormat="1" ht="18" customHeight="1">
      <c r="B10" s="12" t="s">
        <v>4989</v>
      </c>
      <c r="C10" s="12"/>
      <c r="D10" s="12"/>
      <c r="E10" s="12"/>
      <c r="F10" s="12"/>
      <c r="G10" s="9" t="s">
        <v>1299</v>
      </c>
      <c r="H10" s="20"/>
    </row>
    <row r="11" spans="1:12" s="10" customFormat="1" ht="18" customHeight="1">
      <c r="B11" s="12" t="s">
        <v>4990</v>
      </c>
      <c r="C11" s="12"/>
      <c r="D11" s="12"/>
      <c r="E11" s="12"/>
      <c r="F11" s="12"/>
      <c r="G11" s="9" t="s">
        <v>4991</v>
      </c>
      <c r="H11" s="20"/>
    </row>
    <row r="12" spans="1:12" s="10" customFormat="1" ht="18" customHeight="1">
      <c r="B12" s="12" t="s">
        <v>4992</v>
      </c>
      <c r="C12" s="12"/>
      <c r="D12" s="12"/>
      <c r="E12" s="12"/>
      <c r="F12" s="12"/>
      <c r="G12" s="9" t="s">
        <v>4993</v>
      </c>
      <c r="H12" s="20"/>
    </row>
    <row r="13" spans="1:12" s="10" customFormat="1" ht="18" customHeight="1">
      <c r="B13" s="12"/>
      <c r="C13" s="12" t="s">
        <v>4994</v>
      </c>
      <c r="G13" s="9" t="s">
        <v>4995</v>
      </c>
      <c r="H13" s="20"/>
    </row>
    <row r="14" spans="1:12" s="10" customFormat="1" ht="18" customHeight="1">
      <c r="B14" s="12" t="s">
        <v>4996</v>
      </c>
      <c r="C14" s="12"/>
      <c r="D14" s="12"/>
      <c r="E14" s="12"/>
      <c r="F14" s="12"/>
      <c r="G14" s="9" t="s">
        <v>4997</v>
      </c>
      <c r="H14" s="20"/>
    </row>
    <row r="15" spans="1:12" s="10" customFormat="1" ht="18" customHeight="1">
      <c r="B15" s="12" t="s">
        <v>4998</v>
      </c>
      <c r="C15" s="12"/>
      <c r="D15" s="12"/>
      <c r="E15" s="12"/>
      <c r="F15" s="12"/>
      <c r="G15" s="9" t="s">
        <v>4999</v>
      </c>
      <c r="H15" s="20"/>
    </row>
    <row r="16" spans="1:12" s="10" customFormat="1" ht="18" customHeight="1">
      <c r="B16" s="12" t="s">
        <v>5000</v>
      </c>
      <c r="C16" s="12"/>
      <c r="D16" s="12"/>
      <c r="E16" s="12"/>
      <c r="F16" s="12"/>
      <c r="G16" s="9" t="s">
        <v>5001</v>
      </c>
      <c r="H16" s="20"/>
      <c r="I16" s="10" t="s">
        <v>5002</v>
      </c>
      <c r="J16" s="25" t="str">
        <f>IF(shinsei_GENKAI_TAIRYOKU_FLAG=1,"■","□")</f>
        <v>□</v>
      </c>
      <c r="K16" s="10" t="s">
        <v>5003</v>
      </c>
    </row>
    <row r="17" spans="1:10" s="10" customFormat="1" ht="18" customHeight="1">
      <c r="B17" s="12" t="s">
        <v>5004</v>
      </c>
      <c r="C17" s="12"/>
      <c r="D17" s="12"/>
      <c r="E17" s="12"/>
      <c r="F17" s="12"/>
      <c r="G17" s="9" t="s">
        <v>1300</v>
      </c>
      <c r="H17" s="20"/>
    </row>
    <row r="18" spans="1:10" s="10" customFormat="1" ht="18" customHeight="1">
      <c r="B18" s="12" t="s">
        <v>1633</v>
      </c>
      <c r="C18" s="12"/>
      <c r="D18" s="12"/>
      <c r="E18" s="12"/>
      <c r="F18" s="12"/>
      <c r="G18" s="9" t="s">
        <v>1896</v>
      </c>
      <c r="H18" s="20"/>
      <c r="I18" s="10" t="s">
        <v>1634</v>
      </c>
      <c r="J18" s="25" t="str">
        <f>IF(shinsei_STR_SHINSEI_TOWERS="","",shinsei_STR_SHINSEI_TOWERS)</f>
        <v/>
      </c>
    </row>
    <row r="19" spans="1:10" s="10" customFormat="1" ht="18" customHeight="1">
      <c r="B19" s="12"/>
      <c r="C19" s="12"/>
      <c r="D19" s="12"/>
      <c r="E19" s="12"/>
      <c r="F19" s="12"/>
      <c r="G19" s="9"/>
      <c r="H19" s="9"/>
      <c r="I19" s="10" t="s">
        <v>5005</v>
      </c>
      <c r="J19" s="25" t="str">
        <f>IF(shinsei_STR_SHINSEI_TOWERS="","",shinsei_STR_SHINSEI_TOWERS&amp;"棟")</f>
        <v/>
      </c>
    </row>
    <row r="20" spans="1:10" s="10" customFormat="1" ht="18" customHeight="1">
      <c r="B20" s="10" t="s">
        <v>5006</v>
      </c>
      <c r="G20" s="10" t="s">
        <v>5007</v>
      </c>
      <c r="H20" s="20" t="s">
        <v>11840</v>
      </c>
      <c r="I20" s="10" t="s">
        <v>5008</v>
      </c>
      <c r="J20" s="25" t="str">
        <f>IF(shinsei_judgehist_accept_kouzou1_TANTO_USER_ID="","",shinsei_judgehist_accept_kouzou1_TANTO_USER_ID)</f>
        <v>新見 光夫</v>
      </c>
    </row>
    <row r="21" spans="1:10" s="10" customFormat="1" ht="18" customHeight="1">
      <c r="B21" s="10" t="s">
        <v>5009</v>
      </c>
      <c r="G21" s="10" t="s">
        <v>5010</v>
      </c>
      <c r="H21" s="20"/>
      <c r="I21" s="10" t="s">
        <v>5011</v>
      </c>
      <c r="J21" s="25" t="str">
        <f>IF(shinsei_judgehist_accept_kouzou2_TANTO_USER_ID="","",shinsei_judgehist_accept_kouzou2_TANTO_USER_ID)</f>
        <v/>
      </c>
    </row>
    <row r="22" spans="1:10" s="10" customFormat="1" ht="18" customHeight="1">
      <c r="B22" s="12"/>
      <c r="C22" s="12"/>
      <c r="D22" s="12"/>
      <c r="E22" s="12"/>
      <c r="F22" s="12"/>
      <c r="G22" s="9"/>
      <c r="H22" s="9"/>
    </row>
    <row r="23" spans="1:10" s="10" customFormat="1" ht="18" customHeight="1">
      <c r="B23" s="12" t="s">
        <v>5012</v>
      </c>
      <c r="C23" s="12"/>
      <c r="D23" s="12"/>
      <c r="E23" s="12"/>
      <c r="F23" s="12"/>
      <c r="G23" s="9"/>
      <c r="H23" s="9"/>
    </row>
    <row r="24" spans="1:10" s="10" customFormat="1" ht="18" customHeight="1">
      <c r="B24" s="12"/>
      <c r="C24" s="12" t="s">
        <v>2781</v>
      </c>
      <c r="D24" s="12"/>
      <c r="G24" s="9" t="s">
        <v>5013</v>
      </c>
      <c r="H24" s="13" t="s">
        <v>11787</v>
      </c>
      <c r="I24" s="9" t="s">
        <v>5014</v>
      </c>
      <c r="J24" s="25" t="str">
        <f>IF(shinsei_STR_SEKKEI_JIMU_NAME="","",shinsei_STR_SEKKEI_JIMU_NAME)</f>
        <v/>
      </c>
    </row>
    <row r="25" spans="1:10" s="10" customFormat="1" ht="18" customHeight="1">
      <c r="B25" s="12"/>
      <c r="C25" s="12" t="s">
        <v>5015</v>
      </c>
      <c r="D25" s="12"/>
      <c r="G25" s="9" t="s">
        <v>5016</v>
      </c>
      <c r="H25" s="13" t="s">
        <v>11787</v>
      </c>
      <c r="I25" s="9" t="s">
        <v>5017</v>
      </c>
      <c r="J25" s="25" t="str">
        <f>IF(shinsei_STR_SEKKEI_NAME="","",shinsei_STR_SEKKEI_NAME)</f>
        <v/>
      </c>
    </row>
    <row r="26" spans="1:10" s="10" customFormat="1" ht="18" customHeight="1">
      <c r="C26" s="12" t="s">
        <v>2768</v>
      </c>
      <c r="G26" s="9" t="s">
        <v>5018</v>
      </c>
      <c r="H26" s="20"/>
      <c r="I26" s="10" t="s">
        <v>5019</v>
      </c>
      <c r="J26" s="25" t="str">
        <f>IF(shinsei_STR_SEKKEI___address="","",shinsei_STR_SEKKEI___address)</f>
        <v/>
      </c>
    </row>
    <row r="27" spans="1:10" s="10" customFormat="1" ht="18" customHeight="1">
      <c r="C27" s="12" t="s">
        <v>5020</v>
      </c>
      <c r="G27" s="9" t="s">
        <v>5021</v>
      </c>
      <c r="H27" s="20"/>
      <c r="I27" s="10" t="s">
        <v>5022</v>
      </c>
      <c r="J27" s="25" t="str">
        <f>IF(shinsei_STR_SEKKEI_EMAIL="","",shinsei_STR_SEKKEI_EMAIL)</f>
        <v/>
      </c>
    </row>
    <row r="28" spans="1:10" s="10" customFormat="1" ht="18" customHeight="1">
      <c r="B28" s="12"/>
      <c r="C28" s="12" t="s">
        <v>2785</v>
      </c>
      <c r="D28" s="12"/>
      <c r="G28" s="9" t="s">
        <v>5023</v>
      </c>
      <c r="H28" s="13" t="s">
        <v>11787</v>
      </c>
      <c r="I28" s="9" t="s">
        <v>5024</v>
      </c>
      <c r="J28" s="25" t="str">
        <f>IF(shinsei_STR_SEKKEI_TEL="","",shinsei_STR_SEKKEI_TEL)</f>
        <v/>
      </c>
    </row>
    <row r="29" spans="1:10" s="10" customFormat="1" ht="18" customHeight="1">
      <c r="B29" s="12"/>
      <c r="C29" s="12" t="s">
        <v>2786</v>
      </c>
      <c r="D29" s="12"/>
      <c r="G29" s="9" t="s">
        <v>5025</v>
      </c>
      <c r="H29" s="13" t="s">
        <v>11787</v>
      </c>
      <c r="I29" s="10" t="s">
        <v>5026</v>
      </c>
      <c r="J29" s="25" t="str">
        <f>IF(shinsei_STR_SEKKEI_FAX="","",shinsei_STR_SEKKEI_FAX)</f>
        <v/>
      </c>
    </row>
    <row r="30" spans="1:10" s="10" customFormat="1" ht="18" customHeight="1">
      <c r="B30" s="12"/>
      <c r="C30" s="12"/>
      <c r="D30" s="12"/>
      <c r="E30" s="12"/>
      <c r="F30" s="12"/>
      <c r="G30" s="9"/>
      <c r="H30" s="9"/>
    </row>
    <row r="31" spans="1:10" s="10" customFormat="1" ht="18" customHeight="1">
      <c r="A31" s="10" t="s">
        <v>5027</v>
      </c>
      <c r="B31" s="12"/>
      <c r="C31" s="12"/>
      <c r="D31" s="12"/>
      <c r="E31" s="12"/>
      <c r="F31" s="12"/>
      <c r="G31" s="9"/>
      <c r="H31" s="9"/>
    </row>
    <row r="32" spans="1:10" s="10" customFormat="1" ht="18" customHeight="1">
      <c r="B32" s="12" t="s">
        <v>5028</v>
      </c>
      <c r="C32" s="12"/>
      <c r="D32" s="12"/>
      <c r="E32" s="12"/>
      <c r="F32" s="12"/>
      <c r="G32" s="9"/>
      <c r="H32" s="9"/>
    </row>
    <row r="33" spans="1:12" s="10" customFormat="1" ht="18" customHeight="1">
      <c r="B33" s="12"/>
      <c r="C33" s="12" t="s">
        <v>5029</v>
      </c>
      <c r="D33" s="12"/>
    </row>
    <row r="34" spans="1:12" s="10" customFormat="1" ht="18" customHeight="1">
      <c r="J34" s="81"/>
    </row>
    <row r="35" spans="1:12" s="10" customFormat="1" ht="18" customHeight="1">
      <c r="A35" s="12" t="s">
        <v>5030</v>
      </c>
      <c r="B35" s="12"/>
      <c r="C35" s="12"/>
      <c r="D35" s="12"/>
      <c r="E35" s="12"/>
      <c r="F35" s="12"/>
      <c r="G35" s="9"/>
      <c r="H35" s="9"/>
    </row>
    <row r="36" spans="1:12" s="10" customFormat="1" ht="18" customHeight="1">
      <c r="A36" s="12" t="s">
        <v>5031</v>
      </c>
      <c r="E36" s="12"/>
      <c r="F36" s="12"/>
      <c r="G36" s="9"/>
      <c r="H36" s="9"/>
    </row>
    <row r="37" spans="1:12" s="10" customFormat="1" ht="18" customHeight="1">
      <c r="A37" s="29"/>
      <c r="B37" s="12" t="s">
        <v>1641</v>
      </c>
      <c r="C37" s="12"/>
      <c r="D37" s="12"/>
      <c r="E37" s="12"/>
      <c r="F37" s="12"/>
      <c r="G37" s="9" t="s">
        <v>5032</v>
      </c>
      <c r="H37" s="74"/>
      <c r="I37" s="10" t="s">
        <v>5033</v>
      </c>
      <c r="J37" s="153" t="str">
        <f ca="1">IF(shinsei_STRPROVO_NOTIFY_DATE="",cst_DISP__date,shinsei_STRPROVO_NOTIFY_DATE)</f>
        <v>令和      年      月      日</v>
      </c>
      <c r="L37" s="10" t="s">
        <v>5034</v>
      </c>
    </row>
    <row r="38" spans="1:12" s="10" customFormat="1" ht="18" customHeight="1">
      <c r="A38" s="29"/>
      <c r="B38" s="12" t="s">
        <v>5035</v>
      </c>
      <c r="C38" s="12"/>
      <c r="D38" s="12"/>
      <c r="E38" s="12"/>
      <c r="F38" s="12"/>
      <c r="G38" s="9" t="s">
        <v>5036</v>
      </c>
      <c r="H38" s="74"/>
      <c r="I38" s="10" t="s">
        <v>5037</v>
      </c>
      <c r="J38" s="153" t="str">
        <f ca="1">IF(shinsei_STRPROVO_IRAIYOTEI_DATE="",cst_DISP__date,shinsei_STRPROVO_IRAIYOTEI_DATE)</f>
        <v>令和      年      月      日</v>
      </c>
      <c r="L38" s="10" t="s">
        <v>5034</v>
      </c>
    </row>
    <row r="39" spans="1:12" s="10" customFormat="1" ht="18" customHeight="1">
      <c r="A39" s="29"/>
      <c r="B39" s="12"/>
      <c r="C39" s="12"/>
      <c r="D39" s="12"/>
      <c r="E39" s="12"/>
      <c r="F39" s="12"/>
      <c r="G39" s="9"/>
      <c r="H39" s="80"/>
      <c r="I39" s="10" t="s">
        <v>5038</v>
      </c>
      <c r="J39" s="153" t="str">
        <f>IF(shinsei_STRPROVO_IRAIYOTEI_DATE="","",shinsei_STRPROVO_IRAIYOTEI_DATE)</f>
        <v/>
      </c>
    </row>
    <row r="40" spans="1:12" s="10" customFormat="1" ht="18" customHeight="1">
      <c r="A40" s="29"/>
      <c r="B40" s="12" t="s">
        <v>5039</v>
      </c>
      <c r="C40" s="12"/>
      <c r="D40" s="12"/>
      <c r="E40" s="12"/>
      <c r="F40" s="12"/>
    </row>
    <row r="41" spans="1:12" s="10" customFormat="1" ht="18" customHeight="1">
      <c r="A41" s="29"/>
      <c r="B41" s="12"/>
      <c r="C41" s="12"/>
      <c r="D41" s="12"/>
      <c r="E41" s="12" t="s">
        <v>5040</v>
      </c>
      <c r="F41" s="12"/>
      <c r="G41" s="9" t="s">
        <v>5041</v>
      </c>
      <c r="H41" s="74"/>
      <c r="I41" s="10" t="s">
        <v>5042</v>
      </c>
      <c r="J41" s="25" t="str">
        <f>IF(shinsei_STRPROVO_SEIGEN_BESSI=1,"■","□")</f>
        <v>□</v>
      </c>
      <c r="K41" s="10" t="s">
        <v>5043</v>
      </c>
    </row>
    <row r="42" spans="1:12" s="10" customFormat="1" ht="18" customHeight="1">
      <c r="A42" s="29"/>
      <c r="B42" s="12"/>
      <c r="C42" s="12"/>
      <c r="D42" s="12"/>
      <c r="E42" s="12" t="s">
        <v>5044</v>
      </c>
      <c r="F42" s="12"/>
      <c r="G42" s="9" t="s">
        <v>5045</v>
      </c>
      <c r="H42" s="74">
        <v>1</v>
      </c>
      <c r="I42" s="10" t="s">
        <v>5046</v>
      </c>
      <c r="J42" s="25" t="str">
        <f>IF(shinsei_STRPROVO_SEIGEN_MITEI=1,"■","□")</f>
        <v>■</v>
      </c>
      <c r="K42" s="10" t="s">
        <v>5047</v>
      </c>
    </row>
    <row r="43" spans="1:12" s="10" customFormat="1" ht="18" customHeight="1">
      <c r="A43" s="29"/>
      <c r="B43" s="12" t="s">
        <v>1699</v>
      </c>
      <c r="C43" s="12"/>
      <c r="D43" s="12"/>
      <c r="E43" s="12"/>
      <c r="F43" s="12"/>
      <c r="G43" s="9" t="s">
        <v>5048</v>
      </c>
      <c r="H43" s="74"/>
      <c r="I43" s="10" t="s">
        <v>5049</v>
      </c>
      <c r="J43" s="153" t="str">
        <f>IF(shinsei_STRPROVO_NOTE="","",shinsei_STRPROVO_NOTE)</f>
        <v/>
      </c>
    </row>
    <row r="44" spans="1:12" s="10" customFormat="1" ht="18" customHeight="1">
      <c r="A44" s="25"/>
      <c r="B44" s="12" t="s">
        <v>5050</v>
      </c>
      <c r="C44" s="12"/>
      <c r="D44" s="12"/>
      <c r="E44" s="12"/>
      <c r="F44" s="12"/>
      <c r="G44" s="9" t="s">
        <v>5051</v>
      </c>
      <c r="H44" s="20"/>
      <c r="K44" s="10" t="s">
        <v>5052</v>
      </c>
      <c r="L44" s="10" t="s">
        <v>5053</v>
      </c>
    </row>
    <row r="45" spans="1:12" s="10" customFormat="1" ht="18" customHeight="1">
      <c r="A45" s="25"/>
      <c r="B45" s="12" t="s">
        <v>5054</v>
      </c>
      <c r="C45" s="12"/>
      <c r="D45" s="12"/>
      <c r="E45" s="12"/>
      <c r="F45" s="12"/>
      <c r="G45" s="9" t="s">
        <v>5055</v>
      </c>
      <c r="H45" s="20"/>
      <c r="K45" s="10" t="s">
        <v>5052</v>
      </c>
      <c r="L45" s="10" t="s">
        <v>5053</v>
      </c>
    </row>
    <row r="46" spans="1:12" s="10" customFormat="1" ht="18" customHeight="1">
      <c r="J46" s="81"/>
    </row>
    <row r="47" spans="1:12" s="10" customFormat="1" ht="18" customHeight="1">
      <c r="A47" s="12" t="s">
        <v>1642</v>
      </c>
      <c r="E47" s="12"/>
      <c r="F47" s="12"/>
      <c r="G47" s="9"/>
      <c r="H47" s="9"/>
    </row>
    <row r="48" spans="1:12" s="10" customFormat="1" ht="18" customHeight="1">
      <c r="A48" s="8"/>
      <c r="B48" s="10" t="s">
        <v>5056</v>
      </c>
      <c r="E48" s="12"/>
      <c r="F48" s="12"/>
      <c r="G48" s="9" t="s">
        <v>5057</v>
      </c>
      <c r="H48" s="154"/>
      <c r="I48" s="10" t="s">
        <v>5058</v>
      </c>
      <c r="J48" s="155" t="str">
        <f>IF(shinsei_STRIRAI_DOCNO="","cst_Bunsho_NO_chouhyou__sign_part","GBRC建確第"&amp;TEXT(shinsei_STRIRAI_DOCNO,"0000")&amp;"号")</f>
        <v>cst_Bunsho_NO_chouhyou__sign_part</v>
      </c>
      <c r="K48" s="10" t="s">
        <v>5059</v>
      </c>
    </row>
    <row r="49" spans="1:12" s="10" customFormat="1" ht="18" customHeight="1">
      <c r="A49" s="29"/>
      <c r="B49" s="12" t="s">
        <v>1642</v>
      </c>
      <c r="C49" s="12"/>
      <c r="D49" s="12"/>
      <c r="E49" s="12"/>
      <c r="F49" s="12"/>
      <c r="G49" s="9" t="s">
        <v>5060</v>
      </c>
      <c r="H49" s="74"/>
      <c r="I49" s="10" t="s">
        <v>5061</v>
      </c>
      <c r="J49" s="153" t="str">
        <f ca="1">IF(shinsei_STRIRAI_DATE="",cst_DISP__date,shinsei_STRIRAI_DATE)</f>
        <v>令和      年      月      日</v>
      </c>
      <c r="L49" s="10" t="s">
        <v>5034</v>
      </c>
    </row>
    <row r="50" spans="1:12" s="10" customFormat="1" ht="18" customHeight="1">
      <c r="A50" s="29"/>
      <c r="B50" s="12" t="s">
        <v>1643</v>
      </c>
      <c r="C50" s="12"/>
      <c r="D50" s="12"/>
      <c r="E50" s="12"/>
      <c r="F50" s="12"/>
      <c r="G50" s="9" t="s">
        <v>5062</v>
      </c>
      <c r="H50" s="74"/>
      <c r="I50" s="10" t="s">
        <v>5063</v>
      </c>
      <c r="J50" s="153" t="str">
        <f ca="1">IF(shinsei_STRIRAI_TEKIHAN_ACCEPT_DATE="",cst_DISP__date,shinsei_STRIRAI_TEKIHAN_ACCEPT_DATE)</f>
        <v>令和      年      月      日</v>
      </c>
      <c r="L50" s="10" t="s">
        <v>5034</v>
      </c>
    </row>
    <row r="51" spans="1:12" s="10" customFormat="1" ht="18" customHeight="1">
      <c r="B51" s="12" t="s">
        <v>1645</v>
      </c>
      <c r="C51" s="12"/>
      <c r="D51" s="12"/>
      <c r="E51" s="12"/>
      <c r="F51" s="12"/>
      <c r="G51" s="9" t="s">
        <v>5064</v>
      </c>
      <c r="H51" s="13" t="s">
        <v>11787</v>
      </c>
      <c r="I51" s="10" t="s">
        <v>1646</v>
      </c>
      <c r="J51" s="25" t="str">
        <f>IF(shinsei_STRIRAI_TEKIHAN_ACCEPT_NO="","",shinsei_STRIRAI_TEKIHAN_ACCEPT_NO)</f>
        <v/>
      </c>
    </row>
    <row r="52" spans="1:12" s="10" customFormat="1" ht="18" customHeight="1">
      <c r="B52" s="12"/>
      <c r="C52" s="12"/>
      <c r="D52" s="12"/>
      <c r="E52" s="12" t="s">
        <v>5065</v>
      </c>
      <c r="F52" s="12"/>
      <c r="G52" s="9"/>
      <c r="H52" s="9"/>
      <c r="I52" s="10" t="s">
        <v>5066</v>
      </c>
      <c r="J52" s="25" t="str">
        <f>IF(shinsei_STRIRAI_TEKIHAN_ACCEPT_NO="",IF(shinsei_STRUCTRESULT_NOTIFY_NO="","",shinsei_STRUCTRESULT_NOTIFY_NO),shinsei_STRIRAI_TEKIHAN_ACCEPT_NO)</f>
        <v/>
      </c>
    </row>
    <row r="53" spans="1:12" s="10" customFormat="1" ht="18" customHeight="1">
      <c r="B53" s="12" t="s">
        <v>5067</v>
      </c>
      <c r="C53" s="12"/>
      <c r="D53" s="12"/>
      <c r="E53" s="12"/>
      <c r="F53" s="12"/>
      <c r="G53" s="9" t="s">
        <v>5068</v>
      </c>
      <c r="H53" s="13" t="s">
        <v>11787</v>
      </c>
      <c r="I53" s="10" t="s">
        <v>5069</v>
      </c>
      <c r="J53" s="25" t="str">
        <f>IF(shinsei_STRIRAI_TEKIHAN_LAST_NO="","",shinsei_STRIRAI_TEKIHAN_LAST_NO)</f>
        <v/>
      </c>
    </row>
    <row r="54" spans="1:12" s="10" customFormat="1" ht="18" customHeight="1">
      <c r="J54" s="81"/>
    </row>
    <row r="55" spans="1:12" s="10" customFormat="1" ht="18" customHeight="1">
      <c r="A55" s="12" t="s">
        <v>5070</v>
      </c>
      <c r="B55" s="12"/>
      <c r="C55" s="12"/>
      <c r="D55" s="12"/>
      <c r="E55" s="12"/>
      <c r="F55" s="12"/>
      <c r="G55" s="9"/>
      <c r="H55" s="9"/>
    </row>
    <row r="56" spans="1:12" s="10" customFormat="1" ht="18" customHeight="1">
      <c r="A56" s="8"/>
      <c r="B56" s="12" t="s">
        <v>5071</v>
      </c>
      <c r="C56" s="12"/>
      <c r="D56" s="12"/>
      <c r="E56" s="12"/>
      <c r="F56" s="12"/>
      <c r="G56" s="9" t="s">
        <v>5072</v>
      </c>
      <c r="H56" s="74"/>
      <c r="K56" s="10" t="s">
        <v>4361</v>
      </c>
      <c r="L56" s="10" t="s">
        <v>5034</v>
      </c>
    </row>
    <row r="57" spans="1:12" s="10" customFormat="1" ht="18" customHeight="1">
      <c r="A57" s="8"/>
      <c r="B57" s="12"/>
      <c r="C57" s="12"/>
      <c r="D57" s="12"/>
      <c r="E57" s="12" t="s">
        <v>5073</v>
      </c>
      <c r="F57" s="12"/>
      <c r="I57" s="9" t="s">
        <v>5074</v>
      </c>
      <c r="J57" s="153" t="str">
        <f ca="1">IF(shinsei_STR_EXCEEDED_DATE="",cst_DISP__date,shinsei_STR_EXCEEDED_DATE)</f>
        <v>令和      年      月      日</v>
      </c>
      <c r="L57" s="9" t="s">
        <v>5075</v>
      </c>
    </row>
    <row r="58" spans="1:12" s="10" customFormat="1" ht="18" customHeight="1">
      <c r="A58" s="12"/>
      <c r="B58" s="12" t="s">
        <v>5076</v>
      </c>
      <c r="C58" s="12"/>
      <c r="D58" s="12"/>
      <c r="E58" s="12"/>
      <c r="F58" s="12"/>
      <c r="G58" s="9"/>
      <c r="H58" s="9"/>
      <c r="K58" s="10" t="s">
        <v>4361</v>
      </c>
    </row>
    <row r="59" spans="1:12" s="10" customFormat="1" ht="18" customHeight="1">
      <c r="A59" s="12"/>
      <c r="B59" s="12" t="s">
        <v>5077</v>
      </c>
      <c r="C59" s="12"/>
      <c r="D59" s="12"/>
      <c r="E59" s="12"/>
      <c r="F59" s="12"/>
      <c r="G59" s="9"/>
      <c r="H59" s="9"/>
      <c r="K59" s="10" t="s">
        <v>4361</v>
      </c>
    </row>
    <row r="60" spans="1:12" s="10" customFormat="1" ht="18" customHeight="1">
      <c r="A60" s="13"/>
      <c r="B60" s="12" t="s">
        <v>5078</v>
      </c>
      <c r="C60" s="12"/>
      <c r="D60" s="12"/>
      <c r="E60" s="12"/>
      <c r="F60" s="12"/>
      <c r="G60" s="9" t="s">
        <v>5079</v>
      </c>
      <c r="H60" s="20"/>
      <c r="L60" s="10" t="s">
        <v>5080</v>
      </c>
    </row>
    <row r="61" spans="1:12" s="10" customFormat="1" ht="18" customHeight="1">
      <c r="A61" s="13"/>
      <c r="B61" s="12" t="s">
        <v>5081</v>
      </c>
      <c r="C61" s="12"/>
      <c r="D61" s="12"/>
      <c r="E61" s="12"/>
      <c r="F61" s="12"/>
      <c r="G61" s="9" t="s">
        <v>5082</v>
      </c>
      <c r="H61" s="20"/>
    </row>
    <row r="62" spans="1:12" s="10" customFormat="1" ht="18" customHeight="1">
      <c r="A62" s="12"/>
      <c r="B62" s="12"/>
      <c r="C62" s="12"/>
      <c r="D62" s="12"/>
      <c r="E62" s="12"/>
      <c r="F62" s="12"/>
      <c r="G62" s="9"/>
      <c r="H62" s="9"/>
      <c r="L62" s="10" t="s">
        <v>5083</v>
      </c>
    </row>
    <row r="63" spans="1:12" s="10" customFormat="1" ht="18" customHeight="1">
      <c r="A63" s="13"/>
      <c r="B63" s="12" t="s">
        <v>1665</v>
      </c>
      <c r="C63" s="12"/>
      <c r="D63" s="12"/>
      <c r="E63" s="12"/>
      <c r="F63" s="12"/>
      <c r="G63" s="9" t="s">
        <v>5084</v>
      </c>
      <c r="H63" s="20"/>
    </row>
    <row r="64" spans="1:12" s="10" customFormat="1" ht="18" customHeight="1">
      <c r="J64" s="81"/>
    </row>
    <row r="65" spans="1:12" s="10" customFormat="1" ht="18" customHeight="1">
      <c r="A65" s="13" t="s">
        <v>5085</v>
      </c>
      <c r="B65" s="12"/>
      <c r="C65" s="12"/>
      <c r="D65" s="12"/>
      <c r="E65" s="12"/>
      <c r="F65" s="12"/>
      <c r="G65" s="9"/>
      <c r="H65" s="9"/>
    </row>
    <row r="66" spans="1:12" s="10" customFormat="1" ht="18" customHeight="1">
      <c r="A66" s="8"/>
      <c r="B66" s="12" t="s">
        <v>5086</v>
      </c>
      <c r="C66" s="12"/>
      <c r="D66" s="12"/>
      <c r="E66" s="12"/>
      <c r="F66" s="12"/>
      <c r="G66" s="9" t="s">
        <v>5087</v>
      </c>
      <c r="H66" s="74"/>
      <c r="I66" s="10" t="s">
        <v>3732</v>
      </c>
      <c r="J66" s="153" t="str">
        <f ca="1">IF(shinsei_STRTORISAGE_TEISYUTU_DATE="",cst_DISP__date,shinsei_STRTORISAGE_TEISYUTU_DATE)</f>
        <v>令和      年      月      日</v>
      </c>
    </row>
    <row r="67" spans="1:12" s="10" customFormat="1" ht="18" customHeight="1">
      <c r="A67" s="8"/>
      <c r="B67" s="12" t="s">
        <v>3733</v>
      </c>
      <c r="C67" s="12"/>
      <c r="D67" s="12"/>
      <c r="E67" s="12"/>
      <c r="F67" s="12"/>
      <c r="G67" s="9" t="s">
        <v>3734</v>
      </c>
      <c r="H67" s="13" t="s">
        <v>11787</v>
      </c>
      <c r="I67" s="10" t="s">
        <v>3735</v>
      </c>
      <c r="J67" s="153" t="str">
        <f>IF(shinsei_STRTORISAGE_CAUSE="","",shinsei_STRTORISAGE_CAUSE)</f>
        <v/>
      </c>
    </row>
    <row r="68" spans="1:12" s="10" customFormat="1" ht="18" customHeight="1">
      <c r="A68" s="12"/>
      <c r="B68" s="12"/>
      <c r="C68" s="12"/>
      <c r="D68" s="12"/>
      <c r="E68" s="12"/>
      <c r="F68" s="12"/>
      <c r="G68" s="9"/>
      <c r="H68" s="9"/>
    </row>
    <row r="69" spans="1:12" s="10" customFormat="1" ht="18" customHeight="1">
      <c r="A69" s="12" t="s">
        <v>1655</v>
      </c>
      <c r="B69" s="12"/>
      <c r="C69" s="12"/>
      <c r="D69" s="12"/>
      <c r="E69" s="12"/>
      <c r="F69" s="12"/>
      <c r="G69" s="9"/>
      <c r="H69" s="9"/>
    </row>
    <row r="70" spans="1:12" s="10" customFormat="1" ht="18" customHeight="1">
      <c r="A70" s="12"/>
      <c r="B70" s="12" t="s">
        <v>4405</v>
      </c>
      <c r="C70" s="12"/>
      <c r="D70" s="12"/>
      <c r="E70" s="12"/>
      <c r="F70" s="12"/>
      <c r="G70" s="9"/>
      <c r="H70" s="9"/>
      <c r="K70" s="9"/>
    </row>
    <row r="71" spans="1:12" s="10" customFormat="1" ht="18" customHeight="1">
      <c r="A71" s="13"/>
      <c r="B71" s="11"/>
      <c r="C71" s="11"/>
      <c r="D71" s="11"/>
      <c r="E71" s="12" t="s">
        <v>3736</v>
      </c>
      <c r="F71" s="9" t="s">
        <v>9935</v>
      </c>
      <c r="H71" s="9"/>
      <c r="K71" s="10" t="s">
        <v>4361</v>
      </c>
    </row>
    <row r="72" spans="1:12" s="10" customFormat="1" ht="18" customHeight="1">
      <c r="A72" s="13"/>
      <c r="B72" s="12" t="s">
        <v>1658</v>
      </c>
      <c r="C72" s="12"/>
      <c r="D72" s="12"/>
      <c r="E72" s="12"/>
      <c r="F72" s="9" t="s">
        <v>9936</v>
      </c>
      <c r="H72" s="9"/>
    </row>
    <row r="73" spans="1:12" s="10" customFormat="1" ht="18" customHeight="1">
      <c r="A73" s="13"/>
      <c r="B73" s="12" t="s">
        <v>3737</v>
      </c>
      <c r="C73" s="12"/>
      <c r="D73" s="12"/>
      <c r="E73" s="12"/>
      <c r="F73" s="10" t="s">
        <v>9932</v>
      </c>
      <c r="H73" s="9"/>
      <c r="L73" s="10" t="s">
        <v>2766</v>
      </c>
    </row>
    <row r="74" spans="1:12" s="10" customFormat="1" ht="18" customHeight="1">
      <c r="A74" s="13"/>
      <c r="B74" s="12" t="s">
        <v>1661</v>
      </c>
      <c r="C74" s="12"/>
      <c r="D74" s="12"/>
      <c r="E74" s="12"/>
      <c r="F74" s="9" t="s">
        <v>9933</v>
      </c>
      <c r="H74" s="9"/>
    </row>
    <row r="75" spans="1:12" s="10" customFormat="1" ht="18" customHeight="1">
      <c r="A75" s="13"/>
      <c r="B75" s="12" t="s">
        <v>1665</v>
      </c>
      <c r="C75" s="12"/>
      <c r="D75" s="12"/>
      <c r="E75" s="12"/>
      <c r="F75" s="9" t="s">
        <v>9934</v>
      </c>
      <c r="H75" s="9"/>
    </row>
    <row r="76" spans="1:12" s="18" customFormat="1" ht="18" customHeight="1">
      <c r="A76" s="5"/>
      <c r="B76" s="5"/>
      <c r="C76" s="5"/>
      <c r="D76" s="5"/>
      <c r="E76" s="5"/>
      <c r="F76" s="5"/>
      <c r="G76" s="5"/>
      <c r="H76" s="9"/>
      <c r="I76" s="16"/>
    </row>
    <row r="77" spans="1:12" s="18" customFormat="1" ht="18" customHeight="1">
      <c r="A77" s="14" t="s">
        <v>3738</v>
      </c>
      <c r="B77" s="14"/>
      <c r="C77" s="14"/>
      <c r="D77" s="14"/>
      <c r="E77" s="14"/>
      <c r="F77" s="14"/>
      <c r="G77" s="14"/>
      <c r="H77" s="27"/>
      <c r="J77" s="27" t="str">
        <f>cst__button_kind</f>
        <v/>
      </c>
    </row>
    <row r="78" spans="1:12" s="18" customFormat="1" ht="18" customHeight="1">
      <c r="A78" s="14"/>
      <c r="B78" s="14" t="s">
        <v>1730</v>
      </c>
      <c r="C78" s="14"/>
      <c r="D78" s="14"/>
      <c r="E78" s="14"/>
      <c r="F78" s="14"/>
      <c r="G78" s="14"/>
      <c r="I78" s="7" t="s">
        <v>3739</v>
      </c>
      <c r="J78" s="153" t="str">
        <f>IF(cst__button_kind="","",IF(cst_shinsei_xx_STRUCT_NOTIFT_DATE="","",cst_shinsei_xx_STRUCT_NOTIFT_DATE))</f>
        <v/>
      </c>
    </row>
    <row r="79" spans="1:12" s="18" customFormat="1" ht="18" customHeight="1">
      <c r="A79" s="5"/>
      <c r="B79" s="5"/>
      <c r="C79" s="5"/>
      <c r="D79" s="5"/>
      <c r="E79" s="5"/>
      <c r="F79" s="5"/>
      <c r="G79" s="5"/>
      <c r="H79" s="7"/>
      <c r="I79" s="16" t="s">
        <v>3740</v>
      </c>
      <c r="J79" s="156" t="str">
        <f>IF(cst_shinsei_STRUCT_NOTIFT_DATE="","",TEXT(cst_shinsei_STRUCT_NOTIFT_DATE,"m"))</f>
        <v/>
      </c>
    </row>
    <row r="80" spans="1:12" s="18" customFormat="1" ht="18" customHeight="1">
      <c r="A80" s="5"/>
      <c r="B80" s="5"/>
      <c r="C80" s="5"/>
      <c r="D80" s="5"/>
      <c r="E80" s="5"/>
      <c r="F80" s="5"/>
      <c r="G80" s="5"/>
      <c r="H80" s="7"/>
      <c r="I80" s="7" t="s">
        <v>3741</v>
      </c>
      <c r="J80" s="156" t="str">
        <f>IF(cst_shinsei_STRUCT_NOTIFT_DATE="","",TEXT(cst_shinsei_STRUCT_NOTIFT_DATE,"d"))</f>
        <v/>
      </c>
    </row>
    <row r="81" spans="1:12" s="18" customFormat="1" ht="18" customHeight="1">
      <c r="A81" s="5"/>
      <c r="B81" s="5"/>
      <c r="C81" s="5"/>
      <c r="D81" s="5"/>
      <c r="E81" s="5"/>
      <c r="F81" s="5"/>
      <c r="G81" s="5"/>
      <c r="H81" s="7"/>
      <c r="I81" s="16"/>
    </row>
    <row r="82" spans="1:12" s="18" customFormat="1" ht="18" customHeight="1">
      <c r="A82" s="14"/>
      <c r="B82" s="14"/>
      <c r="C82" s="14"/>
      <c r="D82" s="14"/>
      <c r="E82" s="14"/>
      <c r="F82" s="14"/>
      <c r="G82" s="14"/>
      <c r="H82" s="27"/>
      <c r="I82" s="7" t="s">
        <v>3742</v>
      </c>
      <c r="J82" s="153" t="str">
        <f ca="1">IF(cst__button_kind="",cst_DATE__dsp,IF(cst_shinsei_xx_STRUCT_NOTIFT_DATE="",cst_DATE__dsp,cst_shinsei_xx_STRUCT_NOTIFT_DATE))</f>
        <v>令和    年    月    日</v>
      </c>
    </row>
    <row r="83" spans="1:12" s="18" customFormat="1" ht="18" customHeight="1">
      <c r="A83" s="14"/>
      <c r="B83" s="14"/>
      <c r="C83" s="14"/>
      <c r="D83" s="14"/>
      <c r="E83" s="14" t="s">
        <v>3743</v>
      </c>
      <c r="F83" s="14"/>
      <c r="G83" s="14"/>
      <c r="H83" s="27"/>
      <c r="I83" s="7" t="s">
        <v>3744</v>
      </c>
      <c r="J83" s="40" t="str">
        <f ca="1">IF(cst_shinsei_STRUCT_NOTIFT_DATE="",cst_DATE__dsp,TEXT(cst_shinsei_STRUCT_NOTIFT_DATE__dsp,"ggg")&amp;" "&amp;TEXT(cst_shinsei_STRUCT_NOTIFT_DATE__dsp,"ee")&amp;" 年 "
&amp;IF(LEN(cst_shinsei_STRUCT_NOTIFT_DATE__month)&gt;1,""," ")&amp;TEXT(cst_shinsei_STRUCT_NOTIFT_DATE__dsp,"m")&amp;" 月 "&amp;IF(LEN(cst_shinsei_STRUCT_NOTIFT_DATE__day)&gt;1,""," ")&amp;TEXT(cst_shinsei_STRUCT_NOTIFT_DATE__dsp,"d")&amp;" 日")</f>
        <v>令和    年    月    日</v>
      </c>
      <c r="K83" s="157" t="str">
        <f ca="1">IF(cst_shinsei_STRUCT_NOTIFT_DATE="",cst_DATE__dsp,TEXT(cst_shinsei_STRUCT_NOTIFT_DATE__dsp,"ggge年")&amp;TEXT(cst_shinsei_STRUCT_NOTIFT_DATE__dsp,"m月")&amp;TEXT(cst_shinsei_STRUCT_NOTIFT_DATE__dsp,"d日"))</f>
        <v>令和    年    月    日</v>
      </c>
    </row>
    <row r="84" spans="1:12" s="18" customFormat="1" ht="18" customHeight="1">
      <c r="A84" s="5"/>
      <c r="B84" s="5"/>
      <c r="C84" s="5"/>
      <c r="D84" s="5"/>
      <c r="E84" s="5"/>
      <c r="F84" s="5"/>
      <c r="G84" s="5"/>
      <c r="H84" s="7"/>
      <c r="I84" s="16"/>
    </row>
    <row r="85" spans="1:12" s="18" customFormat="1" ht="18" customHeight="1">
      <c r="A85" s="5" t="s">
        <v>3745</v>
      </c>
      <c r="B85" s="5"/>
      <c r="C85" s="5"/>
      <c r="D85" s="5"/>
      <c r="E85" s="5"/>
      <c r="F85" s="5"/>
      <c r="G85" s="5"/>
      <c r="H85" s="7"/>
      <c r="I85" s="16"/>
      <c r="J85" s="7"/>
    </row>
    <row r="86" spans="1:12" s="18" customFormat="1" ht="18" customHeight="1">
      <c r="A86" s="5"/>
      <c r="B86" s="5" t="s">
        <v>1730</v>
      </c>
      <c r="C86" s="5"/>
      <c r="D86" s="5"/>
      <c r="E86" s="5"/>
      <c r="F86" s="5"/>
      <c r="G86" s="5"/>
      <c r="H86" s="7"/>
      <c r="I86" s="16" t="s">
        <v>3746</v>
      </c>
      <c r="J86" s="153" t="str">
        <f>IF(cst__button_kind="","",IF(cst_shinsei_xx_STRUCT_TUIKA_NOTIFT_DATE="","",cst_shinsei_xx_STRUCT_TUIKA_NOTIFT_DATE))</f>
        <v/>
      </c>
    </row>
    <row r="87" spans="1:12" s="18" customFormat="1" ht="18" customHeight="1">
      <c r="A87" s="5"/>
      <c r="B87" s="5"/>
      <c r="C87" s="5"/>
      <c r="D87" s="5"/>
      <c r="E87" s="5"/>
      <c r="F87" s="5"/>
      <c r="G87" s="5"/>
      <c r="H87" s="7"/>
      <c r="I87" s="16" t="s">
        <v>3747</v>
      </c>
      <c r="J87" s="153" t="str">
        <f ca="1">IF(cst__button_kind="",cst_DISP__date,IF(cst_shinsei_xx_STRUCT_TUIKA_NOTIFT_DATE="",cst_DISP__date,cst_shinsei_xx_STRUCT_TUIKA_NOTIFT_DATE))</f>
        <v>令和      年      月      日</v>
      </c>
    </row>
    <row r="88" spans="1:12" s="18" customFormat="1" ht="18" customHeight="1">
      <c r="A88" s="5"/>
      <c r="B88" s="5" t="s">
        <v>3748</v>
      </c>
      <c r="C88" s="5"/>
      <c r="D88" s="5"/>
      <c r="E88" s="5"/>
      <c r="F88" s="5"/>
      <c r="G88" s="5"/>
      <c r="H88" s="7"/>
      <c r="I88" s="16" t="s">
        <v>1653</v>
      </c>
      <c r="J88" s="153" t="str">
        <f>IF(OR(cst__button_kind="",cst__button_kind="impossx"),"",IF(cst_shinsei_xx_STRUCT_HENKOU_NOTIFT_DATE="","",cst_shinsei_xx_STRUCT_HENKOU_NOTIFT_DATE))</f>
        <v/>
      </c>
    </row>
    <row r="89" spans="1:12" s="18" customFormat="1" ht="18" customHeight="1">
      <c r="A89" s="5"/>
      <c r="B89" s="5" t="s">
        <v>3749</v>
      </c>
      <c r="C89" s="5"/>
      <c r="D89" s="5"/>
      <c r="E89" s="5"/>
      <c r="F89" s="5"/>
      <c r="G89" s="5"/>
      <c r="H89" s="7"/>
      <c r="I89" s="16" t="s">
        <v>3750</v>
      </c>
      <c r="J89" s="153" t="str">
        <f>IF(OR(cst__button_kind="",cst__button_kind="impossx"),"",IF(cst_shinsei_xx_STRUCT_HENKOU_LIMIT_DATE="","",cst_shinsei_xx_STRUCT_HENKOU_LIMIT_DATE))</f>
        <v/>
      </c>
    </row>
    <row r="90" spans="1:12" s="18" customFormat="1" ht="18" customHeight="1">
      <c r="A90" s="5"/>
      <c r="B90" s="5"/>
      <c r="C90" s="5"/>
      <c r="D90" s="5"/>
      <c r="E90" s="5"/>
      <c r="F90" s="5"/>
      <c r="G90" s="5"/>
      <c r="H90" s="7"/>
      <c r="I90" s="16"/>
      <c r="J90" s="7"/>
    </row>
    <row r="91" spans="1:12" s="18" customFormat="1" ht="18" customHeight="1">
      <c r="A91" s="5"/>
      <c r="B91" s="5"/>
      <c r="C91" s="5"/>
      <c r="D91" s="5"/>
      <c r="E91" s="5"/>
      <c r="F91" s="5"/>
      <c r="G91" s="5"/>
      <c r="H91" s="7"/>
      <c r="I91" s="16"/>
      <c r="J91" s="7"/>
    </row>
    <row r="92" spans="1:12" s="18" customFormat="1" ht="18" customHeight="1">
      <c r="A92" s="5"/>
      <c r="B92" s="5"/>
      <c r="C92" s="5"/>
      <c r="D92" s="5"/>
      <c r="E92" s="5"/>
      <c r="F92" s="5"/>
      <c r="G92" s="5"/>
      <c r="H92" s="7"/>
      <c r="I92" s="16"/>
      <c r="J92" s="7"/>
    </row>
    <row r="93" spans="1:12" s="10" customFormat="1" ht="18" customHeight="1">
      <c r="A93" s="11"/>
      <c r="B93" s="12"/>
      <c r="C93" s="12"/>
      <c r="D93" s="12"/>
      <c r="E93" s="11"/>
      <c r="F93" s="11"/>
    </row>
    <row r="94" spans="1:12" s="10" customFormat="1" ht="18" customHeight="1">
      <c r="A94" s="31" t="s">
        <v>3751</v>
      </c>
      <c r="B94" s="8"/>
      <c r="C94" s="8"/>
      <c r="D94" s="8"/>
      <c r="E94" s="31"/>
      <c r="F94" s="31"/>
      <c r="G94" s="29"/>
      <c r="H94" s="29"/>
    </row>
    <row r="95" spans="1:12" s="16" customFormat="1" ht="18" customHeight="1">
      <c r="A95" s="5" t="s">
        <v>3752</v>
      </c>
      <c r="B95" s="5"/>
      <c r="C95" s="5"/>
      <c r="D95" s="5"/>
      <c r="E95" s="5"/>
      <c r="F95" s="5"/>
      <c r="G95" s="5"/>
      <c r="H95" s="7"/>
      <c r="I95" s="16" t="s">
        <v>3753</v>
      </c>
      <c r="J95" s="40" t="str">
        <f>IF(OR(cst_shinsei_strtower01_JUDGE=1,cst_shinsei_strtower02_JUDGE=1,cst_shinsei_strtower03_JUDGE=1,cst_shinsei_strtower04_JUDGE=1,cst_shinsei_strtower05_JUDGE=1),"有","")</f>
        <v/>
      </c>
      <c r="L95" s="16" t="s">
        <v>3754</v>
      </c>
    </row>
    <row r="97" spans="1:12" ht="18" customHeight="1">
      <c r="A97" s="12" t="s">
        <v>2503</v>
      </c>
      <c r="E97" s="10"/>
      <c r="F97" s="10"/>
      <c r="G97" s="9"/>
      <c r="J97" s="136" t="str">
        <f>cst_shinsei_STR_TOTAL_CHARGE</f>
        <v/>
      </c>
      <c r="K97" s="19" t="s">
        <v>2504</v>
      </c>
    </row>
    <row r="98" spans="1:12" ht="18" customHeight="1">
      <c r="A98" s="12"/>
      <c r="E98" s="10"/>
      <c r="F98" s="10"/>
      <c r="G98" s="9"/>
      <c r="I98" s="9" t="s">
        <v>3755</v>
      </c>
      <c r="J98" s="158">
        <f>IF(cst_shinsei_STR_TOTAL_CHARGE="",0,cst_shinsei_STR_TOTAL_CHARGE)</f>
        <v>0</v>
      </c>
      <c r="L98" s="100" t="s">
        <v>3756</v>
      </c>
    </row>
    <row r="99" spans="1:12" ht="18" customHeight="1">
      <c r="A99" s="100" t="s">
        <v>3757</v>
      </c>
      <c r="I99" s="100" t="s">
        <v>3759</v>
      </c>
      <c r="J99" s="158" t="e">
        <f>shinsei_strtower01_CHARGE_TOTAL+shinsei_strtower02_CHARGE_TOTAL+shinsei_strtower03_CHARGE_TOTAL+shinsei_strtower04_CHARGE_TOTAL+shinsei_strtower05_CHARGE_TOTAL+shinsei_strtower06_CHARGE_TOTAL+shinsei_strtower07_CHARGE_TOTAL+shinsei_strtower08_CHARGE_TOTAL+shinsei_strtower09_CHARGE_TOTAL+shinsei_strtower10_CHARGE_TOTAL+shinsei_strtower11_CHARGE_TOTAL+shinsei_strtower12_CHARGE_TOTAL+shinsei_strtower13_CHARGE_TOTAL+shinsei_strtower14_CHARGE_TOTAL+shinsei_strtower15_CHARGE_TOTAL+shinsei_strtower16_CHARGE_TOTAL+shinsei_strtower17_CHARGE_TOTAL+shinsei_strtower18_CHARGE_TOTAL+shinsei_strtower19_CHARGE_TOTAL</f>
        <v>#NAME?</v>
      </c>
    </row>
    <row r="100" spans="1:12" ht="18" customHeight="1">
      <c r="B100" s="100" t="s">
        <v>3758</v>
      </c>
    </row>
    <row r="101" spans="1:12" ht="18" customHeight="1">
      <c r="C101" s="100" t="s">
        <v>3760</v>
      </c>
    </row>
    <row r="102" spans="1:12" ht="18" customHeight="1">
      <c r="C102" s="100" t="s">
        <v>4390</v>
      </c>
      <c r="I102" s="100" t="s">
        <v>3761</v>
      </c>
      <c r="J102" s="159">
        <f ca="1">IF(_button_no="",0,INDIRECT("cst_shinsei_strtower"&amp;TEXT(_button_no,"00")&amp;"_MAX_TAKASA"))</f>
        <v>0</v>
      </c>
    </row>
    <row r="103" spans="1:12" ht="18" customHeight="1">
      <c r="C103" s="100" t="s">
        <v>3762</v>
      </c>
      <c r="I103" s="100" t="s">
        <v>3763</v>
      </c>
      <c r="J103" s="159">
        <f ca="1">IF(cst_shinsei_STR_SHINSEI_TOWERS&gt;1,cst_shinsei_build_NOBE_MENSEKI_BILL_SHINSEI,IF(_button_no="",0,INDIRECT("cst_shinsei_strtower"&amp;TEXT(_button_no,"00")&amp;"_MENSEKI")))</f>
        <v>254.07</v>
      </c>
    </row>
    <row r="104" spans="1:12" ht="18" customHeight="1">
      <c r="C104" s="100" t="s">
        <v>3764</v>
      </c>
      <c r="I104" s="100" t="s">
        <v>3765</v>
      </c>
      <c r="J104" s="159" t="str">
        <f ca="1">IF(cst_shinsei_STR_SHINSEI_TOWERS&gt;1,cst_shinsei_build_kouzou,IF(_button_no="","",INDIRECT("cst_shinsei_strtower"&amp;TEXT(_button_no,"00")&amp;"_KOUZOU")))</f>
        <v>鉄骨造</v>
      </c>
    </row>
    <row r="105" spans="1:12" ht="18" customHeight="1">
      <c r="C105" s="100" t="s">
        <v>3766</v>
      </c>
      <c r="I105" s="100" t="s">
        <v>3767</v>
      </c>
      <c r="J105" s="159" t="str">
        <f ca="1">IF(_button_no="","",INDIRECT("cst_shinsei_strtower"&amp;TEXT(_button_no,"00")&amp;"_REI80_2_KOKUJI"))</f>
        <v/>
      </c>
    </row>
    <row r="106" spans="1:12" ht="18" customHeight="1">
      <c r="C106" s="100" t="s">
        <v>3768</v>
      </c>
      <c r="I106" s="100" t="s">
        <v>3769</v>
      </c>
      <c r="J106" s="159" t="str">
        <f ca="1">IF(cst_shinsei_strtower_REI80_2_KOKUJI__select="","□","■")</f>
        <v>□</v>
      </c>
    </row>
    <row r="107" spans="1:12" ht="18" customHeight="1">
      <c r="C107" s="100" t="s">
        <v>3770</v>
      </c>
      <c r="I107" s="100" t="s">
        <v>3771</v>
      </c>
      <c r="J107" s="159" t="str">
        <f ca="1">IF(_button_no="","",INDIRECT("cst_shinsei_strtower"&amp;TEXT(_button_no,"00")&amp;"_PROGRAM_KIND"))</f>
        <v/>
      </c>
    </row>
    <row r="108" spans="1:12" ht="18" customHeight="1">
      <c r="J108" s="149"/>
    </row>
    <row r="109" spans="1:12" s="149" customFormat="1" ht="18" customHeight="1">
      <c r="A109" s="149" t="s">
        <v>3772</v>
      </c>
    </row>
    <row r="110" spans="1:12" ht="18" customHeight="1">
      <c r="A110" s="149"/>
      <c r="B110" s="149" t="s">
        <v>3773</v>
      </c>
      <c r="C110" s="149"/>
      <c r="I110" s="149" t="s">
        <v>3774</v>
      </c>
      <c r="J110" s="159">
        <f ca="1">IF(_button_no="",0,INDIRECT("cst_shinsei_strtower"&amp;TEXT(_button_no,"00")&amp;"__TOWER_NO_STR_TOWERS"))</f>
        <v>0</v>
      </c>
    </row>
    <row r="111" spans="1:12" ht="18" customHeight="1">
      <c r="A111" s="149"/>
      <c r="B111" s="149" t="s">
        <v>3775</v>
      </c>
      <c r="C111" s="149"/>
      <c r="I111" s="149" t="s">
        <v>3776</v>
      </c>
      <c r="J111" s="159" t="str">
        <f ca="1">IF(_button_no="","",INDIRECT("cst_shinsei_strtower"&amp;TEXT(_button_no,"00")&amp;"_STR_TOWER_NO"))</f>
        <v/>
      </c>
    </row>
    <row r="112" spans="1:12" ht="18" customHeight="1">
      <c r="B112" s="149" t="s">
        <v>3777</v>
      </c>
      <c r="C112" s="149"/>
      <c r="I112" s="100" t="s">
        <v>3778</v>
      </c>
      <c r="J112" s="159">
        <f ca="1">IF(_button_no="",0,INDIRECT("cst_shinsei_strtower"&amp;TEXT(_button_no,"00")&amp;"_STR_TOWER_NAME"))</f>
        <v>0</v>
      </c>
    </row>
    <row r="113" spans="2:11" ht="18" customHeight="1">
      <c r="B113" s="149" t="s">
        <v>3779</v>
      </c>
      <c r="C113" s="149"/>
      <c r="I113" s="100" t="s">
        <v>3780</v>
      </c>
      <c r="J113" s="159">
        <f ca="1">IF(_button_no="",0,INDIRECT("cst_shinsei_strtower"&amp;TEXT(_button_no,"00")&amp;"_MENSEKI"))</f>
        <v>0</v>
      </c>
    </row>
    <row r="114" spans="2:11" ht="18" customHeight="1">
      <c r="B114" s="149" t="s">
        <v>4390</v>
      </c>
      <c r="C114" s="149"/>
      <c r="I114" s="100" t="s">
        <v>3781</v>
      </c>
      <c r="J114" s="159">
        <f ca="1">IF(_button_no="",0,INDIRECT("cst_shinsei_strtower"&amp;TEXT(_button_no,"00")&amp;"_MAX_TAKASA"))</f>
        <v>0</v>
      </c>
    </row>
    <row r="115" spans="2:11" ht="18" customHeight="1">
      <c r="B115" s="149" t="s">
        <v>3782</v>
      </c>
      <c r="C115" s="149"/>
      <c r="J115" s="149"/>
    </row>
    <row r="116" spans="2:11" ht="18" customHeight="1">
      <c r="B116" s="149"/>
      <c r="C116" s="149" t="s">
        <v>3783</v>
      </c>
      <c r="I116" s="100" t="s">
        <v>3784</v>
      </c>
      <c r="J116" s="159">
        <f ca="1">IF(_button_no="",0,INDIRECT("cst_shinsei_strtower"&amp;TEXT(_button_no,"00")&amp;"_KAISU_TIJYOU"))</f>
        <v>0</v>
      </c>
    </row>
    <row r="117" spans="2:11" ht="18" customHeight="1">
      <c r="B117" s="149"/>
      <c r="C117" s="149" t="s">
        <v>3785</v>
      </c>
      <c r="I117" s="100" t="s">
        <v>3786</v>
      </c>
      <c r="J117" s="159">
        <f ca="1">IF(_button_no="",0,INDIRECT("cst_shinsei_strtower"&amp;TEXT(_button_no,"00")&amp;"_KAISU_TIKA"))</f>
        <v>0</v>
      </c>
    </row>
    <row r="118" spans="2:11" ht="18" customHeight="1">
      <c r="B118" s="149"/>
      <c r="C118" s="149" t="s">
        <v>3787</v>
      </c>
      <c r="I118" s="100" t="s">
        <v>3788</v>
      </c>
      <c r="J118" s="159">
        <f ca="1">IF(_button_no="",0,INDIRECT("cst_shinsei_strtower"&amp;TEXT(_button_no,"00")&amp;"_KAISU_TOUYA"))</f>
        <v>0</v>
      </c>
    </row>
    <row r="119" spans="2:11" ht="18" customHeight="1">
      <c r="B119" s="149" t="s">
        <v>4441</v>
      </c>
      <c r="C119" s="149"/>
      <c r="I119" s="100" t="s">
        <v>3789</v>
      </c>
      <c r="J119" s="159">
        <f ca="1">IF(_button_no="",0,INDIRECT("cst_shinsei_strtower"&amp;TEXT(_button_no,"00")&amp;"_STR_TOWER_YOUTO_TEXT"))</f>
        <v>0</v>
      </c>
    </row>
    <row r="120" spans="2:11" ht="18" customHeight="1">
      <c r="B120" s="149" t="s">
        <v>3790</v>
      </c>
      <c r="C120" s="149"/>
      <c r="I120" s="100" t="s">
        <v>3791</v>
      </c>
      <c r="J120" s="159" t="str">
        <f ca="1">IF(_button_no="","",INDIRECT("cst_shinsei_strtower"&amp;TEXT(_button_no,"00")&amp;"_KOUJI_TEXT"))</f>
        <v/>
      </c>
    </row>
    <row r="121" spans="2:11" ht="18" customHeight="1">
      <c r="B121" s="149"/>
      <c r="C121" s="149"/>
      <c r="I121" s="100" t="s">
        <v>3792</v>
      </c>
      <c r="J121" s="159" t="str">
        <f ca="1">IF(cst_shinsei_strtower_KOUJI_TEXT__KKS_select="新築","■","□")</f>
        <v>□</v>
      </c>
      <c r="K121" s="100" t="s">
        <v>3793</v>
      </c>
    </row>
    <row r="122" spans="2:11" ht="18" customHeight="1">
      <c r="B122" s="149"/>
      <c r="C122" s="149"/>
      <c r="I122" s="100" t="s">
        <v>3794</v>
      </c>
      <c r="J122" s="159" t="str">
        <f ca="1">IF(cst_shinsei_strtower_KOUJI_TEXT__KKS_select="増築","■","□")</f>
        <v>□</v>
      </c>
      <c r="K122" s="100" t="s">
        <v>3795</v>
      </c>
    </row>
    <row r="123" spans="2:11" ht="18" customHeight="1">
      <c r="B123" s="149"/>
      <c r="C123" s="149"/>
      <c r="I123" s="100" t="s">
        <v>3796</v>
      </c>
      <c r="J123" s="159" t="str">
        <f ca="1">IF(cst_shinsei_strtower_KOUJI_TEXT__KKS_select="改築","■","□")</f>
        <v>□</v>
      </c>
      <c r="K123" s="100" t="s">
        <v>3797</v>
      </c>
    </row>
    <row r="124" spans="2:11" ht="18" customHeight="1">
      <c r="B124" s="149"/>
      <c r="C124" s="149"/>
      <c r="I124" s="100" t="s">
        <v>3798</v>
      </c>
      <c r="J124" s="159" t="str">
        <f ca="1">IF(cst_shinsei_strtower_KOUJI_TEXT__KKS_select="移転","■","□")</f>
        <v>□</v>
      </c>
      <c r="K124" s="100" t="s">
        <v>3799</v>
      </c>
    </row>
    <row r="125" spans="2:11" ht="18" customHeight="1">
      <c r="B125" s="149" t="s">
        <v>3764</v>
      </c>
      <c r="C125" s="149"/>
      <c r="I125" s="100" t="s">
        <v>3800</v>
      </c>
      <c r="J125" s="159">
        <f ca="1">IF(_button_no="",0,INDIRECT("cst_shinsei_strtower"&amp;TEXT(_button_no,"00")&amp;"_KOUZOU_TEXT"))</f>
        <v>0</v>
      </c>
    </row>
    <row r="126" spans="2:11" ht="18" customHeight="1">
      <c r="B126" s="149" t="s">
        <v>3801</v>
      </c>
      <c r="C126" s="149"/>
      <c r="I126" s="149" t="s">
        <v>3802</v>
      </c>
      <c r="J126" s="159">
        <f ca="1">IF(_button_no="",0,INDIRECT("cst_shinsei_strtower"&amp;TEXT(_button_no,"00")&amp;"_HOU20_2_select"))</f>
        <v>0</v>
      </c>
    </row>
    <row r="127" spans="2:11" ht="18" customHeight="1">
      <c r="B127" s="149" t="s">
        <v>3803</v>
      </c>
      <c r="C127" s="149"/>
      <c r="I127" s="149" t="s">
        <v>3804</v>
      </c>
      <c r="J127" s="159">
        <f ca="1">IF(_button_no="",0,INDIRECT("cst_shinsei_strtower"&amp;TEXT(_button_no,"00")&amp;"_HOU20_3_select"))</f>
        <v>0</v>
      </c>
    </row>
    <row r="128" spans="2:11" ht="18" customHeight="1">
      <c r="B128" s="149" t="s">
        <v>3805</v>
      </c>
      <c r="C128" s="149"/>
      <c r="I128" s="149" t="s">
        <v>3806</v>
      </c>
      <c r="J128" s="159">
        <f ca="1">IF(_button_no="",0,INDIRECT("cst_shinsei_strtower"&amp;TEXT(_button_no,"00")&amp;"_XY_select"))</f>
        <v>0</v>
      </c>
    </row>
    <row r="129" spans="1:11" ht="18" customHeight="1">
      <c r="B129" s="100" t="s">
        <v>3807</v>
      </c>
      <c r="I129" s="149" t="s">
        <v>3808</v>
      </c>
      <c r="J129" s="159" t="str">
        <f ca="1">IF(_button_no="","",INDIRECT("cst_shinsei_strtower"&amp;TEXT(_button_no,"00")&amp;"_KEISAN_X_ROUTE"))</f>
        <v/>
      </c>
    </row>
    <row r="130" spans="1:11" ht="18" customHeight="1">
      <c r="B130" s="100" t="s">
        <v>3809</v>
      </c>
      <c r="I130" s="149" t="s">
        <v>3810</v>
      </c>
      <c r="J130" s="159" t="str">
        <f ca="1">IF(_button_no="","",INDIRECT("cst_shinsei_strtower"&amp;TEXT(_button_no,"00")&amp;"_KEISAN_Y_ROUTE"))</f>
        <v/>
      </c>
    </row>
    <row r="131" spans="1:11" ht="18" customHeight="1">
      <c r="B131" s="100" t="s">
        <v>3811</v>
      </c>
      <c r="I131" s="149" t="s">
        <v>3812</v>
      </c>
      <c r="J131" s="159" t="str">
        <f ca="1">IF(_button_no="","",INDIRECT("cst_shinsei_strtower"&amp;TEXT(_button_no,"00")&amp;"_PROGRAM_KIND_SONOTA"))</f>
        <v/>
      </c>
    </row>
    <row r="133" spans="1:11" ht="18" customHeight="1">
      <c r="A133" s="100" t="s">
        <v>3813</v>
      </c>
      <c r="I133" s="100" t="s">
        <v>3814</v>
      </c>
      <c r="J133" s="159" t="str">
        <f ca="1">IF(_button_no="","",INDIRECT("cst_shinsei_strtower"&amp;TEXT(_button_no,"00")&amp;"_KOUZOU_KEISAN_TEXT"))</f>
        <v/>
      </c>
    </row>
    <row r="134" spans="1:11" ht="18" customHeight="1">
      <c r="B134" s="100" t="s">
        <v>3815</v>
      </c>
      <c r="I134" s="100" t="s">
        <v>3816</v>
      </c>
      <c r="J134" s="159" t="str">
        <f ca="1">IF(cst_shinsei_strtower_KOUZOU_KEISAN_TEXT__KKS_select="建築基準法施行令第81条第２項第１号イに規定する構造計算","■","□")</f>
        <v>□</v>
      </c>
      <c r="K134" s="100" t="s">
        <v>3817</v>
      </c>
    </row>
    <row r="135" spans="1:11" ht="18" customHeight="1">
      <c r="B135" s="100" t="s">
        <v>3818</v>
      </c>
      <c r="I135" s="100" t="s">
        <v>3819</v>
      </c>
      <c r="J135" s="159" t="str">
        <f ca="1">IF(cst_shinsei_strtower_KOUZOU_KEISAN_TEXT__KKS_select="建築基準法施行令第81条第２項第１号ロに規定する構造計算","■","□")</f>
        <v>□</v>
      </c>
      <c r="K135" s="100" t="s">
        <v>3820</v>
      </c>
    </row>
    <row r="136" spans="1:11" ht="18" customHeight="1">
      <c r="B136" s="100" t="s">
        <v>3821</v>
      </c>
      <c r="I136" s="100" t="s">
        <v>3822</v>
      </c>
      <c r="J136" s="159" t="str">
        <f ca="1">IF(cst_shinsei_strtower_KOUZOU_KEISAN_TEXT__KKS_select="建築基準法施行令第81条第２項第２号イに規定する構造計算","■","□")</f>
        <v>□</v>
      </c>
      <c r="K136" s="100" t="s">
        <v>3823</v>
      </c>
    </row>
    <row r="137" spans="1:11" ht="18" customHeight="1">
      <c r="B137" s="100" t="s">
        <v>3824</v>
      </c>
      <c r="I137" s="100" t="s">
        <v>3825</v>
      </c>
      <c r="J137" s="159" t="str">
        <f ca="1">IF(cst_shinsei_strtower_KOUZOU_KEISAN_TEXT__KKS_select="建築基準法施行令第81条第３項に定める基準に従った構造計算","■","□")</f>
        <v>□</v>
      </c>
      <c r="K137" s="100" t="s">
        <v>3826</v>
      </c>
    </row>
    <row r="138" spans="1:11" ht="18" customHeight="1">
      <c r="B138" s="100" t="s">
        <v>3828</v>
      </c>
    </row>
    <row r="139" spans="1:11" ht="18" customHeight="1">
      <c r="A139" s="160"/>
      <c r="C139" s="149" t="s">
        <v>3829</v>
      </c>
      <c r="H139" s="100" t="s">
        <v>3830</v>
      </c>
      <c r="I139" s="100" t="s">
        <v>3831</v>
      </c>
      <c r="J139" s="159" t="str">
        <f ca="1">IF(_button_no="","",INDIRECT("cst_shinsei_STRTOWER"&amp;TEXT(_button_no,"00")&amp;"_PROG_NAME_VER__CHAR"))</f>
        <v/>
      </c>
    </row>
    <row r="140" spans="1:11" ht="18" customHeight="1">
      <c r="A140" s="160"/>
      <c r="C140" s="149" t="s">
        <v>3832</v>
      </c>
      <c r="H140" s="100" t="s">
        <v>3830</v>
      </c>
      <c r="I140" s="100" t="s">
        <v>3833</v>
      </c>
      <c r="J140" s="159" t="str">
        <f ca="1">IF(_button_no="","",INDIRECT("cst_shinsei_STRTOWER"&amp;TEXT(_button_no,"00")&amp;"_PROG_NAME_VER__CHAR__SP"))</f>
        <v/>
      </c>
    </row>
    <row r="141" spans="1:11" ht="18" customHeight="1">
      <c r="C141" s="149" t="s">
        <v>3834</v>
      </c>
      <c r="I141" s="100" t="s">
        <v>3835</v>
      </c>
      <c r="J141" s="159" t="str">
        <f ca="1">IF(_button_no="","",INDIRECT("cst_shinsei_STRTOWER"&amp;TEXT(_button_no,"00")&amp;"_prgo01_NAME"))</f>
        <v/>
      </c>
    </row>
    <row r="142" spans="1:11" ht="18" customHeight="1">
      <c r="C142" s="149" t="s">
        <v>3836</v>
      </c>
      <c r="J142" s="161" t="s">
        <v>3837</v>
      </c>
      <c r="K142" s="100" t="s">
        <v>3838</v>
      </c>
    </row>
    <row r="143" spans="1:11" ht="18" customHeight="1">
      <c r="C143" s="149" t="s">
        <v>3839</v>
      </c>
      <c r="I143" s="100" t="s">
        <v>3840</v>
      </c>
      <c r="J143" s="159" t="str">
        <f ca="1">IF(_button_no="","",INDIRECT("cst_shinsei_strtower"&amp;TEXT(_button_no,"00")&amp;"_prgo01_NINTEI_NO"))</f>
        <v/>
      </c>
    </row>
    <row r="144" spans="1:11" ht="18" customHeight="1">
      <c r="B144" s="149"/>
      <c r="C144" s="149"/>
      <c r="I144" s="149"/>
    </row>
    <row r="145" spans="1:11" ht="18" customHeight="1">
      <c r="B145" s="100" t="s">
        <v>3841</v>
      </c>
      <c r="C145" s="149"/>
      <c r="J145" s="149"/>
    </row>
    <row r="146" spans="1:11" ht="18" customHeight="1">
      <c r="A146" s="160"/>
      <c r="C146" s="149" t="s">
        <v>3842</v>
      </c>
      <c r="H146" s="100" t="s">
        <v>3830</v>
      </c>
      <c r="I146" s="100" t="s">
        <v>3843</v>
      </c>
      <c r="J146" s="159">
        <f ca="1">IF(_button_no="",0,INDIRECT("cst_shinsei_STRTOWER"&amp;TEXT(_button_no,"00")&amp;"_PROG_MAKER__NINTEI_ari_SP"))</f>
        <v>0</v>
      </c>
    </row>
    <row r="147" spans="1:11" ht="18" customHeight="1">
      <c r="A147" s="160"/>
      <c r="C147" s="149" t="s">
        <v>3844</v>
      </c>
      <c r="H147" s="100" t="s">
        <v>3830</v>
      </c>
      <c r="I147" s="100" t="s">
        <v>3845</v>
      </c>
      <c r="J147" s="159">
        <f ca="1">IF(_button_no="",0,INDIRECT("cst_shinsei_STRTOWER"&amp;TEXT(_button_no,"00")&amp;"_PROG_NAME_VER__NINTEI_ari_SP"))</f>
        <v>0</v>
      </c>
    </row>
    <row r="148" spans="1:11" ht="18" customHeight="1">
      <c r="C148" s="149" t="s">
        <v>3846</v>
      </c>
      <c r="J148" s="161" t="s">
        <v>3837</v>
      </c>
      <c r="K148" s="100" t="s">
        <v>3847</v>
      </c>
    </row>
    <row r="149" spans="1:11" ht="18" customHeight="1">
      <c r="C149" s="149" t="s">
        <v>3848</v>
      </c>
      <c r="J149" s="161" t="s">
        <v>3837</v>
      </c>
      <c r="K149" s="100" t="s">
        <v>3849</v>
      </c>
    </row>
    <row r="150" spans="1:11" ht="18" customHeight="1">
      <c r="A150" s="160"/>
      <c r="C150" s="149" t="s">
        <v>3850</v>
      </c>
      <c r="H150" s="100" t="s">
        <v>3830</v>
      </c>
      <c r="I150" s="100" t="s">
        <v>3851</v>
      </c>
      <c r="J150" s="159">
        <f ca="1">IF(_button_no="",0,INDIRECT("cst_shinsei_STRTOWER"&amp;TEXT(_button_no,"00")&amp;"_PROG_NINTEI_DATE_SP"))</f>
        <v>0</v>
      </c>
    </row>
    <row r="151" spans="1:11" ht="18" customHeight="1">
      <c r="B151" s="100" t="s">
        <v>3852</v>
      </c>
      <c r="C151" s="149"/>
      <c r="J151" s="149"/>
    </row>
    <row r="152" spans="1:11" ht="18" customHeight="1">
      <c r="A152" s="160"/>
      <c r="C152" s="149" t="s">
        <v>3842</v>
      </c>
      <c r="H152" s="100" t="s">
        <v>3830</v>
      </c>
      <c r="I152" s="100" t="s">
        <v>3853</v>
      </c>
      <c r="J152" s="159">
        <f ca="1">IF(_button_no="",0,INDIRECT("cst_shinsei_STRTOWER"&amp;TEXT(_button_no,"00")&amp;"_PROG_MAKER__NINTEI_no_SP"))</f>
        <v>0</v>
      </c>
    </row>
    <row r="153" spans="1:11" ht="18" customHeight="1">
      <c r="A153" s="160"/>
      <c r="C153" s="149" t="s">
        <v>3844</v>
      </c>
      <c r="H153" s="100" t="s">
        <v>3830</v>
      </c>
      <c r="I153" s="100" t="s">
        <v>3854</v>
      </c>
      <c r="J153" s="159">
        <f ca="1">IF(_button_no="",0,INDIRECT("cst_shinsei_STRTOWER"&amp;TEXT(_button_no,"00")&amp;"_PROG_NAME_VER__NINTEI_non_SP"))</f>
        <v>0</v>
      </c>
    </row>
    <row r="154" spans="1:11" ht="18" customHeight="1">
      <c r="C154" s="149" t="s">
        <v>3846</v>
      </c>
      <c r="H154" s="149"/>
      <c r="J154" s="161" t="s">
        <v>3837</v>
      </c>
      <c r="K154" s="100" t="s">
        <v>3855</v>
      </c>
    </row>
    <row r="155" spans="1:11" ht="18" customHeight="1">
      <c r="C155" s="100" t="s">
        <v>3848</v>
      </c>
      <c r="H155" s="149"/>
      <c r="J155" s="161" t="s">
        <v>3837</v>
      </c>
      <c r="K155" s="100" t="s">
        <v>3856</v>
      </c>
    </row>
    <row r="158" spans="1:11" ht="18" customHeight="1">
      <c r="A158" s="161" t="s">
        <v>3857</v>
      </c>
      <c r="B158" s="161"/>
      <c r="C158" s="161"/>
      <c r="D158" s="161"/>
      <c r="E158" s="161"/>
      <c r="F158" s="161"/>
      <c r="G158" s="161"/>
      <c r="H158" s="161"/>
    </row>
    <row r="160" spans="1:11" s="10" customFormat="1" ht="18" customHeight="1">
      <c r="A160" s="162" t="s">
        <v>3858</v>
      </c>
      <c r="B160" s="162"/>
      <c r="C160" s="162"/>
      <c r="D160" s="162"/>
      <c r="E160" s="163"/>
      <c r="F160" s="163"/>
      <c r="G160" s="164"/>
      <c r="H160" s="165"/>
      <c r="I160" s="9"/>
    </row>
    <row r="161" spans="1:12" s="10" customFormat="1" ht="18" customHeight="1">
      <c r="A161" s="12"/>
      <c r="B161" s="12" t="s">
        <v>3859</v>
      </c>
      <c r="C161" s="12"/>
      <c r="D161" s="12"/>
      <c r="E161" s="11"/>
      <c r="F161" s="11"/>
      <c r="G161" s="10" t="s">
        <v>3860</v>
      </c>
      <c r="H161" s="13" t="s">
        <v>11787</v>
      </c>
      <c r="I161" s="9" t="s">
        <v>3861</v>
      </c>
      <c r="J161" s="25" t="str">
        <f>IF(shinsei_strtower01_TOWER_NO="","",shinsei_strtower01_TOWER_NO)</f>
        <v/>
      </c>
      <c r="K161" s="10" t="s">
        <v>3863</v>
      </c>
      <c r="L161" s="24" t="str">
        <f>IF(shinsei_strtower01_JUDGE&lt;&gt;1,"",IF(shinsei_strtower01_TOWER_NO="","",shinsei_strtower01_TOWER_NO))</f>
        <v/>
      </c>
    </row>
    <row r="162" spans="1:12" s="10" customFormat="1" ht="18" customHeight="1">
      <c r="A162" s="12"/>
      <c r="B162" s="12" t="s">
        <v>3864</v>
      </c>
      <c r="C162" s="12"/>
      <c r="D162" s="12"/>
      <c r="E162" s="11"/>
      <c r="F162" s="11"/>
      <c r="G162" s="9" t="s">
        <v>3865</v>
      </c>
      <c r="H162" s="13" t="s">
        <v>11787</v>
      </c>
      <c r="I162" s="9" t="s">
        <v>3866</v>
      </c>
      <c r="J162" s="25" t="str">
        <f>IF(shinsei_strtower01_STR_TOWER_NO="","",shinsei_strtower01_STR_TOWER_NO)</f>
        <v/>
      </c>
      <c r="K162" s="10" t="s">
        <v>3867</v>
      </c>
      <c r="L162" s="24" t="str">
        <f>IF(shinsei_strtower01_JUDGE&lt;&gt;1,"",IF(shinsei_strtower01_STR_TOWER_NO="","",shinsei_strtower01_STR_TOWER_NO))</f>
        <v/>
      </c>
    </row>
    <row r="163" spans="1:12" s="166" customFormat="1" ht="18" customHeight="1">
      <c r="B163" s="12" t="s">
        <v>3868</v>
      </c>
      <c r="I163" s="9" t="s">
        <v>3869</v>
      </c>
      <c r="J163" s="167" t="str">
        <f>CONCATENATE(cst_shinsei_strtower01_TOWER_NO," - ",cst_shinsei_strtower01_STR_TOWER_NO)</f>
        <v xml:space="preserve"> - </v>
      </c>
    </row>
    <row r="164" spans="1:12" s="166" customFormat="1" ht="18" customHeight="1">
      <c r="B164" s="12" t="s">
        <v>3870</v>
      </c>
      <c r="I164" s="9" t="s">
        <v>3871</v>
      </c>
      <c r="J164" s="167" t="str">
        <f>CONCATENATE(cst_shinsei_strtower01_STR_TOWER_NO," ／ ",cst_shinsei_STR_SHINSEI_TOWERS)</f>
        <v xml:space="preserve"> ／ </v>
      </c>
    </row>
    <row r="165" spans="1:12" s="10" customFormat="1" ht="18" customHeight="1">
      <c r="A165" s="12"/>
      <c r="B165" s="12" t="s">
        <v>3872</v>
      </c>
      <c r="C165" s="11"/>
      <c r="D165" s="11"/>
      <c r="E165" s="11"/>
      <c r="F165" s="11"/>
      <c r="G165" s="9" t="s">
        <v>3873</v>
      </c>
      <c r="H165" s="13" t="s">
        <v>11787</v>
      </c>
      <c r="I165" s="9" t="s">
        <v>3874</v>
      </c>
      <c r="J165" s="25" t="str">
        <f>IF(shinsei_strtower01_STR_TOWER_NAME="","",shinsei_strtower01_STR_TOWER_NAME)</f>
        <v/>
      </c>
    </row>
    <row r="166" spans="1:12" s="10" customFormat="1" ht="18" customHeight="1">
      <c r="A166" s="12"/>
      <c r="B166" s="12" t="s">
        <v>3875</v>
      </c>
      <c r="C166" s="12"/>
      <c r="D166" s="12"/>
      <c r="E166" s="11"/>
      <c r="F166" s="11"/>
      <c r="G166" s="9" t="s">
        <v>3876</v>
      </c>
      <c r="H166" s="20"/>
      <c r="I166" s="9" t="s">
        <v>3877</v>
      </c>
      <c r="J166" s="25" t="str">
        <f>IF(shinsei_strtower01_JUDGE="","",shinsei_strtower01_JUDGE)</f>
        <v/>
      </c>
      <c r="K166" s="10" t="s">
        <v>3878</v>
      </c>
      <c r="L166" s="10" t="s">
        <v>3879</v>
      </c>
    </row>
    <row r="167" spans="1:12" s="10" customFormat="1" ht="18" customHeight="1">
      <c r="A167" s="12"/>
      <c r="B167" s="12" t="s">
        <v>4441</v>
      </c>
      <c r="C167" s="12"/>
      <c r="D167" s="12"/>
      <c r="E167" s="11"/>
      <c r="F167" s="11"/>
      <c r="G167" s="9" t="s">
        <v>3880</v>
      </c>
      <c r="H167" s="13" t="s">
        <v>11787</v>
      </c>
      <c r="I167" s="9" t="s">
        <v>3881</v>
      </c>
      <c r="J167" s="25" t="str">
        <f>IF(shinsei_strtower01_STR_TOWER_YOUTO_TEXT="","",shinsei_strtower01_STR_TOWER_YOUTO_TEXT)</f>
        <v/>
      </c>
      <c r="K167" s="10" t="s">
        <v>3862</v>
      </c>
      <c r="L167" s="10" t="s">
        <v>3879</v>
      </c>
    </row>
    <row r="168" spans="1:12" s="10" customFormat="1" ht="18" customHeight="1">
      <c r="A168" s="12"/>
      <c r="B168" s="12" t="s">
        <v>3790</v>
      </c>
      <c r="C168" s="12"/>
      <c r="D168" s="12"/>
      <c r="E168" s="11"/>
      <c r="F168" s="11"/>
      <c r="G168" s="9" t="s">
        <v>3882</v>
      </c>
      <c r="H168" s="13" t="s">
        <v>11787</v>
      </c>
      <c r="I168" s="9" t="s">
        <v>3883</v>
      </c>
      <c r="J168" s="25" t="str">
        <f>IF(shinsei_strtower01_KOUJI_TEXT="","",shinsei_strtower01_KOUJI_TEXT)</f>
        <v/>
      </c>
      <c r="K168" s="10" t="s">
        <v>3862</v>
      </c>
      <c r="L168" s="10" t="s">
        <v>3879</v>
      </c>
    </row>
    <row r="169" spans="1:12" s="10" customFormat="1" ht="18" customHeight="1">
      <c r="A169" s="12"/>
      <c r="B169" s="12"/>
      <c r="C169" s="12"/>
      <c r="D169" s="12"/>
      <c r="E169" s="11"/>
      <c r="F169" s="11"/>
      <c r="G169" s="9"/>
      <c r="H169" s="12"/>
      <c r="I169" s="100" t="s">
        <v>3884</v>
      </c>
      <c r="J169" s="25" t="str">
        <f>IF(cst_shinsei_strtower01_KOUJI_TEXT="新築","■","□")</f>
        <v>□</v>
      </c>
    </row>
    <row r="170" spans="1:12" s="10" customFormat="1" ht="18" customHeight="1">
      <c r="A170" s="12"/>
      <c r="B170" s="12"/>
      <c r="C170" s="12"/>
      <c r="D170" s="12"/>
      <c r="E170" s="11"/>
      <c r="F170" s="11"/>
      <c r="G170" s="9"/>
      <c r="H170" s="12"/>
      <c r="I170" s="100" t="s">
        <v>3885</v>
      </c>
      <c r="J170" s="25" t="str">
        <f>IF(cst_shinsei_strtower01_KOUJI_TEXT="増築","■","□")</f>
        <v>□</v>
      </c>
    </row>
    <row r="171" spans="1:12" s="10" customFormat="1" ht="18" customHeight="1">
      <c r="A171" s="12"/>
      <c r="B171" s="12"/>
      <c r="C171" s="12"/>
      <c r="D171" s="12"/>
      <c r="E171" s="11"/>
      <c r="F171" s="11"/>
      <c r="G171" s="9"/>
      <c r="H171" s="12"/>
      <c r="I171" s="100" t="s">
        <v>3886</v>
      </c>
      <c r="J171" s="25" t="str">
        <f>IF(cst_shinsei_strtower01_KOUJI_TEXT="改築","■","□")</f>
        <v>□</v>
      </c>
    </row>
    <row r="172" spans="1:12" s="10" customFormat="1" ht="18" customHeight="1">
      <c r="A172" s="12"/>
      <c r="B172" s="12"/>
      <c r="C172" s="12"/>
      <c r="D172" s="12"/>
      <c r="E172" s="11"/>
      <c r="F172" s="11"/>
      <c r="G172" s="9"/>
      <c r="H172" s="12"/>
      <c r="I172" s="100" t="s">
        <v>3887</v>
      </c>
      <c r="J172" s="25" t="str">
        <f>IF(cst_shinsei_strtower01_KOUJI_TEXT="移転","■","□")</f>
        <v>□</v>
      </c>
    </row>
    <row r="173" spans="1:12" s="10" customFormat="1" ht="18" customHeight="1">
      <c r="A173" s="12"/>
      <c r="B173" s="12" t="s">
        <v>3888</v>
      </c>
      <c r="C173" s="11"/>
      <c r="D173" s="11"/>
      <c r="E173" s="11"/>
      <c r="F173" s="11"/>
      <c r="G173" s="9" t="s">
        <v>3889</v>
      </c>
      <c r="H173" s="13"/>
      <c r="I173" s="9" t="s">
        <v>3890</v>
      </c>
      <c r="J173" s="25" t="str">
        <f>IF(shinsei_strtower01_KOUZOU_TEXT="","",shinsei_strtower01_KOUZOU_TEXT)</f>
        <v/>
      </c>
    </row>
    <row r="174" spans="1:12" s="10" customFormat="1" ht="18" customHeight="1">
      <c r="A174" s="12"/>
      <c r="B174" s="12" t="s">
        <v>3888</v>
      </c>
      <c r="C174" s="12"/>
      <c r="D174" s="12"/>
      <c r="E174" s="11"/>
      <c r="F174" s="11"/>
      <c r="G174" s="9" t="s">
        <v>3891</v>
      </c>
      <c r="H174" s="13" t="s">
        <v>11787</v>
      </c>
      <c r="I174" s="9" t="s">
        <v>3892</v>
      </c>
      <c r="J174" s="25" t="str">
        <f>IF(shinsei_strtower01_KOUZOU_TEXT="","",shinsei_strtower01_KOUZOU_TEXT)</f>
        <v/>
      </c>
    </row>
    <row r="175" spans="1:12" s="10" customFormat="1" ht="18" customHeight="1">
      <c r="A175" s="12"/>
      <c r="B175" s="12" t="s">
        <v>3893</v>
      </c>
      <c r="C175" s="11"/>
      <c r="D175" s="11"/>
      <c r="E175" s="11"/>
      <c r="F175" s="11"/>
      <c r="G175" s="9" t="s">
        <v>3894</v>
      </c>
      <c r="H175" s="13"/>
      <c r="I175" s="9" t="s">
        <v>3895</v>
      </c>
      <c r="J175" s="25" t="str">
        <f>IF(shinsei_strtower01_KOUZOU_KEISAN_TEXT="","",shinsei_strtower01_KOUZOU_KEISAN_TEXT)</f>
        <v/>
      </c>
    </row>
    <row r="176" spans="1:12" s="10" customFormat="1" ht="18" customHeight="1">
      <c r="A176" s="12"/>
      <c r="B176" s="12" t="s">
        <v>3893</v>
      </c>
      <c r="C176" s="12"/>
      <c r="D176" s="12"/>
      <c r="E176" s="11"/>
      <c r="F176" s="11"/>
      <c r="G176" s="9" t="s">
        <v>3896</v>
      </c>
      <c r="H176" s="13" t="s">
        <v>11787</v>
      </c>
      <c r="I176" s="10" t="s">
        <v>3897</v>
      </c>
      <c r="J176" s="25" t="str">
        <f>IF(shinsei_strtower01_KOUZOU_KEISAN_TEXT="","",shinsei_strtower01_KOUZOU_KEISAN_TEXT)</f>
        <v/>
      </c>
    </row>
    <row r="177" spans="1:12" s="10" customFormat="1" ht="18" customHeight="1">
      <c r="A177" s="12"/>
      <c r="B177" s="100" t="s">
        <v>3815</v>
      </c>
      <c r="C177" s="100"/>
      <c r="D177" s="12"/>
      <c r="E177" s="11"/>
      <c r="F177" s="11"/>
      <c r="G177" s="9"/>
      <c r="H177" s="12"/>
      <c r="I177" s="10" t="s">
        <v>3898</v>
      </c>
      <c r="J177" s="25" t="str">
        <f>IF(cst_shinsei_strtower01_KOUZOU_KEISAN_TEXT="建築基準法施行令第81条第２項第１号イに規定する構造計算","■","□")</f>
        <v>□</v>
      </c>
      <c r="K177" s="100" t="s">
        <v>3817</v>
      </c>
    </row>
    <row r="178" spans="1:12" s="10" customFormat="1" ht="18" customHeight="1">
      <c r="A178" s="12"/>
      <c r="B178" s="100" t="s">
        <v>3818</v>
      </c>
      <c r="C178" s="100"/>
      <c r="D178" s="12"/>
      <c r="E178" s="11"/>
      <c r="F178" s="11"/>
      <c r="G178" s="9"/>
      <c r="H178" s="12"/>
      <c r="I178" s="100" t="s">
        <v>3899</v>
      </c>
      <c r="J178" s="159" t="str">
        <f>IF(cst_shinsei_strtower01_KOUZOU_KEISAN_TEXT="建築基準法施行令第81条第２項第１号ロに規定する構造計算","■","□")</f>
        <v>□</v>
      </c>
      <c r="K178" s="100" t="s">
        <v>3820</v>
      </c>
    </row>
    <row r="179" spans="1:12" s="10" customFormat="1" ht="18" customHeight="1">
      <c r="A179" s="12"/>
      <c r="B179" s="100" t="s">
        <v>3821</v>
      </c>
      <c r="C179" s="100"/>
      <c r="D179" s="12"/>
      <c r="E179" s="11"/>
      <c r="F179" s="11"/>
      <c r="G179" s="9"/>
      <c r="H179" s="12"/>
      <c r="I179" s="100" t="s">
        <v>3900</v>
      </c>
      <c r="J179" s="159" t="str">
        <f>IF(cst_shinsei_strtower01_KOUZOU_KEISAN_TEXT="建築基準法施行令第81条第２項第２号イに規定する構造計算","■","□")</f>
        <v>□</v>
      </c>
      <c r="K179" s="100" t="s">
        <v>3823</v>
      </c>
    </row>
    <row r="180" spans="1:12" s="10" customFormat="1" ht="18" customHeight="1">
      <c r="A180" s="12"/>
      <c r="B180" s="100" t="s">
        <v>3824</v>
      </c>
      <c r="C180" s="100"/>
      <c r="D180" s="12"/>
      <c r="E180" s="11"/>
      <c r="F180" s="11"/>
      <c r="G180" s="9"/>
      <c r="H180" s="12"/>
      <c r="I180" s="100" t="s">
        <v>3901</v>
      </c>
      <c r="J180" s="159" t="str">
        <f>IF(cst_shinsei_strtower01_KOUZOU_KEISAN_TEXT="建築基準法施行令第81条第３項に定める基準に従った構造計算","■","□")</f>
        <v>□</v>
      </c>
      <c r="K180" s="100" t="s">
        <v>3826</v>
      </c>
    </row>
    <row r="181" spans="1:12" s="10" customFormat="1" ht="18" customHeight="1">
      <c r="A181" s="12"/>
      <c r="B181" s="12"/>
      <c r="C181" s="12"/>
      <c r="D181" s="12"/>
      <c r="E181" s="11"/>
      <c r="F181" s="11"/>
      <c r="G181" s="9"/>
      <c r="H181" s="12"/>
    </row>
    <row r="182" spans="1:12" s="10" customFormat="1" ht="18" customHeight="1">
      <c r="A182" s="12"/>
      <c r="B182" s="12" t="s">
        <v>3903</v>
      </c>
      <c r="C182" s="12"/>
      <c r="D182" s="12"/>
      <c r="E182" s="11"/>
      <c r="F182" s="11"/>
      <c r="G182" s="9" t="s">
        <v>3904</v>
      </c>
      <c r="H182" s="65"/>
      <c r="I182" s="9" t="s">
        <v>3905</v>
      </c>
      <c r="J182" s="168" t="str">
        <f>IF(shinsei_strtower01_MENSEKI="","",shinsei_strtower01_MENSEKI)</f>
        <v/>
      </c>
      <c r="K182" s="10" t="s">
        <v>3906</v>
      </c>
      <c r="L182" s="169" t="str">
        <f>IF(shinsei_strtower01_JUDGE&lt;&gt;1,"",IF(shinsei_strtower01_MENSEKI="","",shinsei_strtower01_MENSEKI))</f>
        <v/>
      </c>
    </row>
    <row r="183" spans="1:12" s="10" customFormat="1" ht="18" customHeight="1">
      <c r="A183" s="12"/>
      <c r="B183" s="12"/>
      <c r="C183" s="12"/>
      <c r="D183" s="12"/>
      <c r="E183" s="12" t="s">
        <v>3907</v>
      </c>
      <c r="F183" s="12"/>
      <c r="G183" s="9"/>
      <c r="H183" s="9"/>
      <c r="I183" s="9" t="s">
        <v>3908</v>
      </c>
      <c r="J183" s="168" t="str">
        <f>IF(shinsei_strtower01_MENSEKI="","",TEXT(shinsei_strtower01_MENSEKI,"#,##0.00_ ")&amp;"㎡")</f>
        <v/>
      </c>
    </row>
    <row r="184" spans="1:12" s="10" customFormat="1" ht="18" customHeight="1">
      <c r="A184" s="12"/>
      <c r="B184" s="12" t="s">
        <v>4390</v>
      </c>
      <c r="C184" s="12"/>
      <c r="D184" s="12"/>
      <c r="E184" s="11"/>
      <c r="F184" s="11"/>
      <c r="G184" s="9" t="s">
        <v>3909</v>
      </c>
      <c r="H184" s="93"/>
      <c r="I184" s="9" t="s">
        <v>3910</v>
      </c>
      <c r="J184" s="170" t="str">
        <f>IF(shinsei_strtower01_MAX_TAKASA="","",shinsei_strtower01_MAX_TAKASA)</f>
        <v/>
      </c>
      <c r="K184" s="10" t="s">
        <v>3911</v>
      </c>
      <c r="L184" s="10" t="s">
        <v>3911</v>
      </c>
    </row>
    <row r="185" spans="1:12" s="10" customFormat="1" ht="18" customHeight="1">
      <c r="A185" s="12"/>
      <c r="B185" s="12" t="s">
        <v>4388</v>
      </c>
      <c r="C185" s="11"/>
      <c r="D185" s="11"/>
      <c r="E185" s="11"/>
      <c r="F185" s="11"/>
      <c r="G185" s="9" t="s">
        <v>3912</v>
      </c>
      <c r="H185" s="93"/>
      <c r="I185" s="9" t="s">
        <v>3913</v>
      </c>
      <c r="J185" s="170" t="str">
        <f>IF(shinsei_strtower01_MAX_NOKI_TAKASA="","",shinsei_strtower01_MAX_NOKI_TAKASA)</f>
        <v/>
      </c>
    </row>
    <row r="186" spans="1:12" s="10" customFormat="1" ht="18" customHeight="1">
      <c r="A186" s="12"/>
      <c r="B186" s="12" t="s">
        <v>3782</v>
      </c>
      <c r="C186" s="12"/>
      <c r="D186" s="12"/>
      <c r="E186" s="11"/>
      <c r="F186" s="11"/>
      <c r="G186" s="9"/>
      <c r="H186" s="9"/>
      <c r="I186" s="9"/>
    </row>
    <row r="187" spans="1:12" s="10" customFormat="1" ht="18" customHeight="1">
      <c r="A187" s="12"/>
      <c r="B187" s="12"/>
      <c r="C187" s="11" t="s">
        <v>3783</v>
      </c>
      <c r="D187" s="12"/>
      <c r="G187" s="9" t="s">
        <v>3914</v>
      </c>
      <c r="H187" s="136"/>
      <c r="I187" s="9" t="s">
        <v>3915</v>
      </c>
      <c r="J187" s="171" t="str">
        <f>IF(shinsei_strtower01_KAISU_TIJYOU="","",shinsei_strtower01_KAISU_TIJYOU)</f>
        <v/>
      </c>
      <c r="K187" s="10" t="s">
        <v>3917</v>
      </c>
      <c r="L187" s="10" t="s">
        <v>3917</v>
      </c>
    </row>
    <row r="188" spans="1:12" s="10" customFormat="1" ht="18" customHeight="1">
      <c r="A188" s="12"/>
      <c r="B188" s="12"/>
      <c r="C188" s="11" t="s">
        <v>3785</v>
      </c>
      <c r="D188" s="12"/>
      <c r="G188" s="9" t="s">
        <v>3918</v>
      </c>
      <c r="H188" s="136"/>
      <c r="I188" s="9" t="s">
        <v>3919</v>
      </c>
      <c r="J188" s="171" t="str">
        <f>IF(shinsei_strtower01_KAISU_TIKA="","",shinsei_strtower01_KAISU_TIKA)</f>
        <v/>
      </c>
      <c r="K188" s="10" t="s">
        <v>3920</v>
      </c>
      <c r="L188" s="10" t="s">
        <v>3920</v>
      </c>
    </row>
    <row r="189" spans="1:12" s="10" customFormat="1" ht="18" customHeight="1">
      <c r="A189" s="12"/>
      <c r="B189" s="12"/>
      <c r="C189" s="11" t="s">
        <v>3787</v>
      </c>
      <c r="D189" s="12"/>
      <c r="G189" s="9" t="s">
        <v>3921</v>
      </c>
      <c r="H189" s="136"/>
      <c r="I189" s="9" t="s">
        <v>3922</v>
      </c>
      <c r="J189" s="171" t="str">
        <f>IF(shinsei_strtower01_KAISU_TOUYA="","",shinsei_strtower01_KAISU_TOUYA)</f>
        <v/>
      </c>
      <c r="K189" s="10" t="s">
        <v>3917</v>
      </c>
      <c r="L189" s="10" t="s">
        <v>3917</v>
      </c>
    </row>
    <row r="190" spans="1:12" s="10" customFormat="1" ht="18" customHeight="1">
      <c r="B190" s="12" t="s">
        <v>3923</v>
      </c>
      <c r="G190" s="9" t="s">
        <v>3924</v>
      </c>
      <c r="H190" s="13"/>
      <c r="I190" s="10" t="s">
        <v>3925</v>
      </c>
      <c r="J190" s="25" t="str">
        <f>IF(shinsei_strtower01_BUILD_KUBUN_TEXT="","",shinsei_strtower01_BUILD_KUBUN_TEXT)</f>
        <v/>
      </c>
      <c r="K190" s="10" t="s">
        <v>3862</v>
      </c>
    </row>
    <row r="191" spans="1:12" s="10" customFormat="1" ht="18" customHeight="1">
      <c r="B191" s="12" t="s">
        <v>3923</v>
      </c>
      <c r="C191" s="12"/>
      <c r="D191" s="12"/>
      <c r="G191" s="9" t="s">
        <v>3926</v>
      </c>
      <c r="H191" s="13" t="s">
        <v>11787</v>
      </c>
      <c r="I191" s="10" t="s">
        <v>3927</v>
      </c>
      <c r="J191" s="25" t="str">
        <f>IF(shinsei_strtower01_BUILD_KUBUN_TEXT="","",shinsei_strtower01_BUILD_KUBUN_TEXT)</f>
        <v/>
      </c>
      <c r="K191" s="10" t="s">
        <v>3862</v>
      </c>
    </row>
    <row r="192" spans="1:12" s="149" customFormat="1" ht="18" customHeight="1">
      <c r="C192" s="149" t="s">
        <v>3801</v>
      </c>
      <c r="H192" s="12"/>
      <c r="I192" s="149" t="s">
        <v>3928</v>
      </c>
      <c r="J192" s="20" t="str">
        <f>IF(shinsei_strtower01_BUILD_KUBUN_TEXT="建築基準法第20条第２号に掲げる建築物","■","□")</f>
        <v>□</v>
      </c>
      <c r="K192" s="10" t="s">
        <v>3929</v>
      </c>
      <c r="L192" s="10"/>
    </row>
    <row r="193" spans="1:12" s="149" customFormat="1" ht="18" customHeight="1">
      <c r="C193" s="149" t="s">
        <v>3803</v>
      </c>
      <c r="H193" s="12"/>
      <c r="I193" s="149" t="s">
        <v>3930</v>
      </c>
      <c r="J193" s="20" t="str">
        <f>IF(shinsei_strtower01_BUILD_KUBUN_TEXT="建築基準法第20条第３号に掲げる建築物","■","□")</f>
        <v>□</v>
      </c>
      <c r="K193" s="10" t="s">
        <v>3931</v>
      </c>
      <c r="L193" s="10"/>
    </row>
    <row r="194" spans="1:12" s="10" customFormat="1" ht="18" customHeight="1">
      <c r="A194" s="12"/>
      <c r="B194" s="12" t="s">
        <v>3932</v>
      </c>
      <c r="C194" s="12"/>
      <c r="D194" s="12"/>
      <c r="E194" s="11"/>
      <c r="F194" s="11"/>
      <c r="G194" s="9" t="s">
        <v>3933</v>
      </c>
      <c r="H194" s="13" t="s">
        <v>11787</v>
      </c>
      <c r="I194" s="9" t="s">
        <v>3934</v>
      </c>
      <c r="J194" s="25" t="str">
        <f>IF(shinsei_strtower01_MENJYO_TEXT="","",shinsei_strtower01_MENJYO_TEXT)</f>
        <v/>
      </c>
      <c r="K194" s="10" t="s">
        <v>3862</v>
      </c>
    </row>
    <row r="195" spans="1:12" s="10" customFormat="1" ht="18" customHeight="1">
      <c r="A195" s="12"/>
      <c r="B195" s="12" t="s">
        <v>3935</v>
      </c>
      <c r="C195" s="12"/>
      <c r="D195" s="12"/>
      <c r="E195" s="11"/>
      <c r="F195" s="11"/>
      <c r="G195" s="9" t="s">
        <v>3936</v>
      </c>
      <c r="H195" s="20"/>
      <c r="I195" s="9" t="s">
        <v>3937</v>
      </c>
      <c r="J195" s="25" t="str">
        <f>IF(shinsei_strtower01_PROGRAM_KIND="","",shinsei_strtower01_PROGRAM_KIND)</f>
        <v/>
      </c>
      <c r="K195" s="10" t="s">
        <v>3938</v>
      </c>
    </row>
    <row r="196" spans="1:12" s="10" customFormat="1" ht="18" customHeight="1">
      <c r="B196" s="12" t="s">
        <v>3939</v>
      </c>
      <c r="C196" s="12"/>
      <c r="D196" s="12"/>
      <c r="G196" s="9" t="s">
        <v>3940</v>
      </c>
      <c r="H196" s="13" t="s">
        <v>11787</v>
      </c>
      <c r="I196" s="10" t="s">
        <v>3941</v>
      </c>
      <c r="J196" s="25" t="str">
        <f>IF(shinsei_strtower01_REI80_2_KOKUJI_TEXT="","",shinsei_strtower01_REI80_2_KOKUJI_TEXT)</f>
        <v/>
      </c>
    </row>
    <row r="197" spans="1:12" s="10" customFormat="1" ht="18" customHeight="1">
      <c r="B197" s="12"/>
      <c r="C197" s="12"/>
      <c r="D197" s="12"/>
      <c r="G197" s="9"/>
      <c r="H197" s="13"/>
      <c r="I197" s="10" t="s">
        <v>3942</v>
      </c>
      <c r="J197" s="25" t="str">
        <f>IF(shinsei_strtower01_REI80_2_KOKUJI_TEXT="","□","■")</f>
        <v>□</v>
      </c>
    </row>
    <row r="198" spans="1:12" s="10" customFormat="1" ht="18" customHeight="1">
      <c r="B198" s="12" t="s">
        <v>3943</v>
      </c>
      <c r="C198" s="12"/>
      <c r="D198" s="12"/>
      <c r="G198" s="9" t="s">
        <v>3944</v>
      </c>
      <c r="H198" s="13" t="s">
        <v>11814</v>
      </c>
      <c r="I198" s="10" t="s">
        <v>3945</v>
      </c>
      <c r="J198" s="25">
        <f>IF(shinsei_strtower01_PROGRAM_KIND__nintei__box="■",2,IF(OR(shinsei_strtower01_PROGRAM_KIND__hyouka__box="■",shinsei_strtower01_PROGRAM_KIND__sonota__box="■"),1,0))</f>
        <v>0</v>
      </c>
      <c r="K198" s="10" t="s">
        <v>3946</v>
      </c>
    </row>
    <row r="199" spans="1:12" s="10" customFormat="1" ht="18" customHeight="1">
      <c r="B199" s="12" t="s">
        <v>3947</v>
      </c>
      <c r="C199" s="12"/>
      <c r="D199" s="12"/>
      <c r="G199" s="9" t="s">
        <v>3948</v>
      </c>
      <c r="H199" s="13" t="s">
        <v>11814</v>
      </c>
    </row>
    <row r="200" spans="1:12" s="10" customFormat="1" ht="18" customHeight="1">
      <c r="B200" s="12" t="s">
        <v>4305</v>
      </c>
      <c r="C200" s="12"/>
      <c r="D200" s="12"/>
      <c r="G200" s="9" t="s">
        <v>3949</v>
      </c>
      <c r="H200" s="13" t="s">
        <v>11814</v>
      </c>
    </row>
    <row r="201" spans="1:12" s="10" customFormat="1" ht="18" customHeight="1">
      <c r="B201" s="105" t="s">
        <v>3950</v>
      </c>
      <c r="C201" s="105"/>
      <c r="D201" s="105"/>
      <c r="E201" s="24"/>
      <c r="F201" s="24"/>
      <c r="G201" s="9"/>
      <c r="H201" s="12"/>
    </row>
    <row r="202" spans="1:12" s="10" customFormat="1" ht="18" customHeight="1">
      <c r="C202" s="10" t="s">
        <v>3951</v>
      </c>
      <c r="D202" s="12"/>
      <c r="G202" s="9" t="s">
        <v>3952</v>
      </c>
      <c r="H202" s="13" t="s">
        <v>11787</v>
      </c>
      <c r="I202" s="10" t="s">
        <v>3953</v>
      </c>
      <c r="J202" s="25" t="str">
        <f>IF(shinsei_strtower01_prgo01_NAME="","",shinsei_strtower01_prgo01_NAME)</f>
        <v/>
      </c>
      <c r="K202" s="10" t="s">
        <v>3862</v>
      </c>
      <c r="L202" s="10" t="s">
        <v>3879</v>
      </c>
    </row>
    <row r="203" spans="1:12" s="10" customFormat="1" ht="18" customHeight="1">
      <c r="C203" s="12" t="s">
        <v>3954</v>
      </c>
      <c r="D203" s="12"/>
      <c r="E203" s="12"/>
      <c r="F203" s="12"/>
      <c r="G203" s="9" t="s">
        <v>3955</v>
      </c>
      <c r="H203" s="13" t="s">
        <v>11787</v>
      </c>
      <c r="I203" s="10" t="s">
        <v>3956</v>
      </c>
      <c r="J203" s="25" t="str">
        <f>IF(shinsei_strtower01_prgo01_VER="","","Ver."&amp;shinsei_strtower01_prgo01_VER)</f>
        <v/>
      </c>
    </row>
    <row r="204" spans="1:12" s="10" customFormat="1" ht="18" customHeight="1">
      <c r="C204" s="12" t="s">
        <v>3957</v>
      </c>
      <c r="D204" s="12"/>
      <c r="G204" s="9"/>
      <c r="H204" s="9"/>
      <c r="I204" s="10" t="s">
        <v>3958</v>
      </c>
      <c r="J204" s="25" t="str">
        <f>IF(shinsei_strtower01_prgo01_NAME="","",IF(shinsei_strtower01_prgo01_NINTEI_NO="","無","有"))</f>
        <v/>
      </c>
      <c r="K204" s="10" t="s">
        <v>3959</v>
      </c>
      <c r="L204" s="10" t="s">
        <v>3879</v>
      </c>
    </row>
    <row r="205" spans="1:12" s="10" customFormat="1" ht="18" customHeight="1">
      <c r="C205" s="12" t="s">
        <v>3960</v>
      </c>
      <c r="D205" s="12"/>
      <c r="G205" s="9" t="s">
        <v>3961</v>
      </c>
      <c r="H205" s="13" t="s">
        <v>11787</v>
      </c>
      <c r="I205" s="10" t="s">
        <v>3962</v>
      </c>
      <c r="J205" s="25" t="str">
        <f>IF(shinsei_strtower01_prgo01_NINTEI_NO="","",shinsei_strtower01_prgo01_NINTEI_NO)</f>
        <v/>
      </c>
      <c r="K205" s="10" t="s">
        <v>3963</v>
      </c>
      <c r="L205" s="10" t="s">
        <v>3879</v>
      </c>
    </row>
    <row r="206" spans="1:12" s="10" customFormat="1" ht="18" customHeight="1">
      <c r="C206" s="12" t="s">
        <v>3964</v>
      </c>
      <c r="D206" s="12"/>
      <c r="G206" s="9" t="s">
        <v>3965</v>
      </c>
      <c r="H206" s="74"/>
      <c r="I206" s="10" t="s">
        <v>3966</v>
      </c>
      <c r="J206" s="25" t="str">
        <f>IF(shinsei_strtower01_prgo01_NINTEI_DATE="","",TEXT(shinsei_strtower01_prgo01_NINTEI_DATE,"ggge年m月d日")&amp;"  ")</f>
        <v/>
      </c>
    </row>
    <row r="207" spans="1:12" s="10" customFormat="1" ht="18" customHeight="1">
      <c r="C207" s="12" t="s">
        <v>3968</v>
      </c>
      <c r="D207" s="12"/>
      <c r="G207" s="9" t="s">
        <v>3969</v>
      </c>
      <c r="H207" s="13" t="s">
        <v>11787</v>
      </c>
    </row>
    <row r="208" spans="1:12" s="10" customFormat="1" ht="18" customHeight="1">
      <c r="C208" s="12" t="s">
        <v>3970</v>
      </c>
      <c r="D208" s="12"/>
      <c r="G208" s="9"/>
      <c r="H208" s="12"/>
      <c r="I208" s="9" t="s">
        <v>3971</v>
      </c>
      <c r="J208" s="25" t="str">
        <f>IF(shinsei_strtower01_prgo01_NAME="","",shinsei_strtower01_prgo01_NAME)&amp;CHAR(10)&amp;IF(shinsei_strtower01_prgo01_VER="","","Ver."&amp;shinsei_strtower01_prgo01_VER&amp;CHAR(10))</f>
        <v xml:space="preserve">
</v>
      </c>
    </row>
    <row r="209" spans="1:12" s="10" customFormat="1" ht="18" customHeight="1">
      <c r="C209" s="12" t="s">
        <v>3972</v>
      </c>
      <c r="D209" s="12"/>
      <c r="G209" s="9"/>
      <c r="H209" s="12"/>
      <c r="I209" s="9" t="s">
        <v>3973</v>
      </c>
      <c r="J209" s="25" t="str">
        <f>IF(shinsei_strtower01_prgo01_NAME="","",shinsei_strtower01_prgo01_NAME&amp;" ")&amp;IF(shinsei_strtower01_prgo01_VER="","","Ver."&amp;shinsei_strtower01_prgo01_VER&amp;"  ")</f>
        <v/>
      </c>
    </row>
    <row r="210" spans="1:12" s="10" customFormat="1" ht="18" customHeight="1">
      <c r="C210" s="12" t="s">
        <v>3974</v>
      </c>
      <c r="D210" s="12"/>
      <c r="G210" s="9"/>
      <c r="H210" s="12"/>
    </row>
    <row r="211" spans="1:12" s="10" customFormat="1" ht="18" customHeight="1">
      <c r="D211" s="12" t="s">
        <v>3976</v>
      </c>
      <c r="F211" s="172" t="s">
        <v>3978</v>
      </c>
      <c r="I211" s="9" t="s">
        <v>3979</v>
      </c>
      <c r="J211" s="173" t="str">
        <f>IF(cst_shinsei_strtower01_prgo01_NINTEI__umu="有",shinsei_strtower01_prgo01_MAKER_NAME,"")</f>
        <v/>
      </c>
    </row>
    <row r="212" spans="1:12" s="10" customFormat="1" ht="18" customHeight="1">
      <c r="B212" s="12"/>
      <c r="D212" s="12" t="s">
        <v>3972</v>
      </c>
      <c r="G212" s="9"/>
      <c r="H212" s="12"/>
      <c r="I212" s="9" t="s">
        <v>3980</v>
      </c>
      <c r="J212" s="25" t="str">
        <f>IF(cst_shinsei_strtower01_prgo01_NINTEI__umu="有",IF(shinsei_strtower01_prgo01_NAME="","",shinsei_strtower01_prgo01_NAME&amp;" ")&amp;IF(shinsei_strtower01_prgo01_VER="","","Ver."&amp;shinsei_strtower01_prgo01_VER&amp;"  "),"")</f>
        <v/>
      </c>
    </row>
    <row r="213" spans="1:12" s="10" customFormat="1" ht="18" customHeight="1">
      <c r="C213" s="12" t="s">
        <v>3981</v>
      </c>
      <c r="D213" s="12"/>
      <c r="G213" s="9"/>
      <c r="H213" s="12"/>
    </row>
    <row r="214" spans="1:12" s="10" customFormat="1" ht="18" customHeight="1">
      <c r="B214" s="12"/>
      <c r="D214" s="12" t="s">
        <v>3982</v>
      </c>
      <c r="G214" s="9"/>
      <c r="H214" s="12"/>
      <c r="I214" s="9" t="s">
        <v>3983</v>
      </c>
      <c r="J214" s="173" t="str">
        <f>IF(cst_shinsei_strtower01_prgo01_NINTEI__umu="無",IF(shinsei_strtower01_prgo01_MAKER_NAME="","",shinsei_strtower01_prgo01_MAKER_NAME&amp;"  "),"")</f>
        <v/>
      </c>
    </row>
    <row r="215" spans="1:12" s="10" customFormat="1" ht="18" customHeight="1">
      <c r="B215" s="12"/>
      <c r="D215" s="12" t="s">
        <v>3972</v>
      </c>
      <c r="G215" s="9"/>
      <c r="H215" s="12"/>
      <c r="I215" s="9" t="s">
        <v>3984</v>
      </c>
      <c r="J215" s="25" t="str">
        <f>IF(cst_shinsei_strtower01_prgo01_NINTEI__umu="無",IF(shinsei_strtower01_prgo01_NAME="","",shinsei_strtower01_prgo01_NAME&amp;" ")&amp;IF(shinsei_strtower01_prgo01_VER="","","Ver."&amp;shinsei_strtower01_prgo01_VER&amp;"  "),"")</f>
        <v/>
      </c>
    </row>
    <row r="216" spans="1:12" s="166" customFormat="1" ht="18" customHeight="1">
      <c r="A216" s="174"/>
      <c r="C216" s="172" t="s">
        <v>3985</v>
      </c>
      <c r="D216" s="172"/>
      <c r="E216" s="172"/>
      <c r="F216" s="172"/>
      <c r="G216" s="172"/>
      <c r="I216" s="166" t="s">
        <v>3986</v>
      </c>
      <c r="J216" s="173" t="str">
        <f>IF(cst_shinsei_strtower01_prgo01_NINTEI__umu="有",cst_shinsei_strtower01_prgo01_NAME,"")</f>
        <v/>
      </c>
    </row>
    <row r="217" spans="1:12" s="166" customFormat="1" ht="18" customHeight="1">
      <c r="A217" s="174"/>
      <c r="C217" s="172" t="s">
        <v>3988</v>
      </c>
      <c r="D217" s="172"/>
      <c r="E217" s="172"/>
      <c r="F217" s="172"/>
      <c r="G217" s="172"/>
      <c r="I217" s="10" t="s">
        <v>3989</v>
      </c>
      <c r="J217" s="173" t="str">
        <f>IF(cst_shinsei_strtower01_prgo01_NINTEI__umu="有",cst_shinsei_strtower01_prgo01_VER,"")</f>
        <v/>
      </c>
    </row>
    <row r="218" spans="1:12" s="166" customFormat="1" ht="18" customHeight="1">
      <c r="A218" s="174"/>
      <c r="C218" s="172" t="s">
        <v>3991</v>
      </c>
      <c r="D218" s="172"/>
      <c r="E218" s="172"/>
      <c r="F218" s="172"/>
      <c r="G218" s="172"/>
      <c r="I218" s="166" t="s">
        <v>3992</v>
      </c>
      <c r="J218" s="173" t="str">
        <f>IF(cst_shinsei_strtower01_prgo01_NINTEI__umu="有",shinsei_strtower01_prgo01_NINTEI_DATE,"")</f>
        <v/>
      </c>
    </row>
    <row r="219" spans="1:12" s="166" customFormat="1" ht="18" customHeight="1">
      <c r="A219" s="174"/>
      <c r="C219" s="172" t="s">
        <v>3993</v>
      </c>
      <c r="D219" s="172"/>
      <c r="E219" s="172"/>
      <c r="F219" s="172"/>
      <c r="G219" s="172"/>
      <c r="I219" s="166" t="s">
        <v>3994</v>
      </c>
      <c r="J219" s="173" t="str">
        <f>IF(cst_shinsei_strtower01_prgo01_NINTEI__umu="無",shinsei_strtower01_prgo01_MAKER_NAME,"")</f>
        <v/>
      </c>
    </row>
    <row r="220" spans="1:12" s="166" customFormat="1" ht="18" customHeight="1">
      <c r="A220" s="174"/>
      <c r="C220" s="172" t="s">
        <v>3995</v>
      </c>
      <c r="D220" s="172"/>
      <c r="E220" s="172"/>
      <c r="F220" s="172"/>
      <c r="G220" s="172"/>
      <c r="I220" s="166" t="s">
        <v>3996</v>
      </c>
      <c r="J220" s="173" t="str">
        <f>IF(cst_shinsei_strtower01_prgo01_NINTEI__umu="無",cst_shinsei_strtower01_prgo01_NAME,"")</f>
        <v/>
      </c>
    </row>
    <row r="221" spans="1:12" s="166" customFormat="1" ht="18" customHeight="1">
      <c r="A221" s="174"/>
      <c r="C221" s="172" t="s">
        <v>3998</v>
      </c>
      <c r="D221" s="172"/>
      <c r="E221" s="172"/>
      <c r="F221" s="172"/>
      <c r="G221" s="172"/>
      <c r="I221" s="10" t="s">
        <v>3999</v>
      </c>
      <c r="J221" s="173" t="str">
        <f>IF(cst_shinsei_strtower01_prgo01_NINTEI__umu="無",cst_shinsei_strtower01_prgo01_VER,"")</f>
        <v/>
      </c>
    </row>
    <row r="222" spans="1:12" s="10" customFormat="1" ht="18" customHeight="1">
      <c r="B222" s="105" t="s">
        <v>4001</v>
      </c>
      <c r="C222" s="105"/>
      <c r="D222" s="105"/>
      <c r="E222" s="24"/>
      <c r="F222" s="24"/>
      <c r="G222" s="9"/>
      <c r="H222" s="12"/>
    </row>
    <row r="223" spans="1:12" s="10" customFormat="1" ht="18" customHeight="1">
      <c r="C223" s="10" t="s">
        <v>3951</v>
      </c>
      <c r="D223" s="12"/>
      <c r="G223" s="9" t="s">
        <v>4002</v>
      </c>
      <c r="H223" s="13"/>
      <c r="K223" s="10" t="s">
        <v>3867</v>
      </c>
      <c r="L223" s="10" t="s">
        <v>3879</v>
      </c>
    </row>
    <row r="224" spans="1:12" s="10" customFormat="1" ht="18" customHeight="1">
      <c r="C224" s="12" t="s">
        <v>4003</v>
      </c>
      <c r="D224" s="12"/>
      <c r="G224" s="9" t="s">
        <v>4004</v>
      </c>
      <c r="H224" s="13"/>
    </row>
    <row r="225" spans="2:12" s="10" customFormat="1" ht="18" customHeight="1">
      <c r="C225" s="12" t="s">
        <v>3957</v>
      </c>
      <c r="D225" s="12"/>
      <c r="G225" s="9"/>
      <c r="H225" s="9"/>
      <c r="I225" s="10" t="s">
        <v>4005</v>
      </c>
      <c r="J225" s="25" t="str">
        <f>IF(shinsei_strtower01_prgo02_NAME="","",IF(shinsei_strtower01_prgo02_NINTEI_NO="","無","有"))</f>
        <v/>
      </c>
      <c r="K225" s="10" t="s">
        <v>2941</v>
      </c>
      <c r="L225" s="10" t="s">
        <v>3879</v>
      </c>
    </row>
    <row r="226" spans="2:12" s="10" customFormat="1" ht="18" customHeight="1">
      <c r="C226" s="12" t="s">
        <v>3960</v>
      </c>
      <c r="D226" s="12"/>
      <c r="G226" s="9" t="s">
        <v>4006</v>
      </c>
      <c r="H226" s="13"/>
      <c r="K226" s="10" t="s">
        <v>3862</v>
      </c>
      <c r="L226" s="10" t="s">
        <v>3879</v>
      </c>
    </row>
    <row r="227" spans="2:12" s="10" customFormat="1" ht="18" customHeight="1">
      <c r="C227" s="12" t="s">
        <v>3964</v>
      </c>
      <c r="D227" s="12"/>
      <c r="G227" s="9" t="s">
        <v>4007</v>
      </c>
      <c r="H227" s="74"/>
      <c r="I227" s="10" t="s">
        <v>4008</v>
      </c>
      <c r="J227" s="25" t="str">
        <f>IF(shinsei_strtower01_prgo02_NINTEI_DATE="","",TEXT(shinsei_strtower01_prgo02_NINTEI_DATE,"ggge年m月d日")&amp;"  ")</f>
        <v/>
      </c>
    </row>
    <row r="228" spans="2:12" s="10" customFormat="1" ht="18" customHeight="1">
      <c r="C228" s="12" t="s">
        <v>3967</v>
      </c>
      <c r="D228" s="12"/>
      <c r="G228" s="9" t="s">
        <v>4009</v>
      </c>
      <c r="H228" s="13"/>
    </row>
    <row r="229" spans="2:12" s="10" customFormat="1" ht="18" customHeight="1">
      <c r="C229" s="12" t="s">
        <v>3970</v>
      </c>
      <c r="D229" s="12"/>
      <c r="G229" s="9"/>
      <c r="H229" s="12"/>
      <c r="I229" s="9" t="s">
        <v>4010</v>
      </c>
      <c r="J229" s="25" t="str">
        <f>IF(shinsei_strtower01_prgo02_NAME="","",shinsei_strtower01_prgo02_NAME)&amp;CHAR(10)&amp;IF(shinsei_strtower01_prgo02_VER="","","Ver."&amp;shinsei_strtower01_prgo02_VER&amp;CHAR(10))</f>
        <v xml:space="preserve">
</v>
      </c>
    </row>
    <row r="230" spans="2:12" s="10" customFormat="1" ht="18" customHeight="1">
      <c r="C230" s="12" t="s">
        <v>3972</v>
      </c>
      <c r="D230" s="12"/>
      <c r="G230" s="9"/>
      <c r="H230" s="12"/>
      <c r="I230" s="9" t="s">
        <v>4011</v>
      </c>
      <c r="J230" s="25" t="str">
        <f>IF(shinsei_strtower01_prgo02_NAME="","",shinsei_strtower01_prgo02_NAME&amp;" ")&amp;IF(shinsei_strtower01_prgo02_VER="","","Ver."&amp;shinsei_strtower01_prgo02_VER&amp;"  ")</f>
        <v/>
      </c>
    </row>
    <row r="231" spans="2:12" s="10" customFormat="1" ht="18" customHeight="1">
      <c r="C231" s="12" t="s">
        <v>3974</v>
      </c>
      <c r="D231" s="12"/>
      <c r="G231" s="9"/>
      <c r="H231" s="12"/>
    </row>
    <row r="232" spans="2:12" s="10" customFormat="1" ht="18" customHeight="1">
      <c r="D232" s="12" t="s">
        <v>3975</v>
      </c>
      <c r="G232" s="9"/>
      <c r="H232" s="12"/>
      <c r="I232" s="9" t="s">
        <v>4012</v>
      </c>
      <c r="J232" s="173" t="str">
        <f>IF(cst_shinsei_strtower01_prgo02_NINTEI__umu="有",IF(shinsei_strtower01_prgo02_MAKER_NAME="","",shinsei_strtower01_prgo02_MAKER_NAME&amp;"  "),"")</f>
        <v/>
      </c>
    </row>
    <row r="233" spans="2:12" s="10" customFormat="1" ht="18" customHeight="1">
      <c r="D233" s="12" t="s">
        <v>3972</v>
      </c>
      <c r="G233" s="9"/>
      <c r="H233" s="12"/>
      <c r="I233" s="9" t="s">
        <v>4013</v>
      </c>
      <c r="J233" s="25" t="str">
        <f>IF(cst_shinsei_strtower01_prgo02_NINTEI__umu="有",IF(shinsei_strtower01_prgo02_NAME="","",shinsei_strtower01_prgo02_NAME&amp;" ")&amp;IF(shinsei_strtower01_prgo02_VER="","","Ver."&amp;shinsei_strtower01_prgo02_VER&amp;"  "),"")</f>
        <v/>
      </c>
    </row>
    <row r="234" spans="2:12" s="10" customFormat="1" ht="18" customHeight="1">
      <c r="C234" s="12" t="s">
        <v>3981</v>
      </c>
      <c r="D234" s="12"/>
      <c r="G234" s="9"/>
      <c r="H234" s="12"/>
    </row>
    <row r="235" spans="2:12" s="10" customFormat="1" ht="18" customHeight="1">
      <c r="D235" s="12" t="s">
        <v>3975</v>
      </c>
      <c r="G235" s="9"/>
      <c r="H235" s="12"/>
      <c r="I235" s="9" t="s">
        <v>4014</v>
      </c>
      <c r="J235" s="173" t="str">
        <f>IF(cst_shinsei_strtower01_prgo02_NINTEI__umu="無",IF(shinsei_strtower01_prgo02_MAKER_NAME="","",shinsei_strtower01_prgo02_MAKER_NAME&amp;"  "),"")</f>
        <v/>
      </c>
    </row>
    <row r="236" spans="2:12" s="10" customFormat="1" ht="18" customHeight="1">
      <c r="D236" s="12" t="s">
        <v>3972</v>
      </c>
      <c r="G236" s="9"/>
      <c r="H236" s="12"/>
      <c r="I236" s="9" t="s">
        <v>4015</v>
      </c>
      <c r="J236" s="25" t="str">
        <f>IF(cst_shinsei_strtower01_prgo02_NINTEI__umu="無",IF(shinsei_strtower01_prgo02_NAME="","",shinsei_strtower01_prgo02_NAME&amp;" ")&amp;IF(shinsei_strtower01_prgo02_VER="","","Ver."&amp;shinsei_strtower01_prgo02_VER&amp;"  "),"")</f>
        <v/>
      </c>
    </row>
    <row r="237" spans="2:12" s="10" customFormat="1" ht="18" customHeight="1">
      <c r="B237" s="105" t="s">
        <v>4016</v>
      </c>
      <c r="C237" s="105"/>
      <c r="D237" s="105"/>
      <c r="E237" s="24"/>
      <c r="F237" s="24"/>
      <c r="G237" s="9"/>
      <c r="H237" s="12"/>
    </row>
    <row r="238" spans="2:12" s="10" customFormat="1" ht="18" customHeight="1">
      <c r="C238" s="10" t="s">
        <v>3951</v>
      </c>
      <c r="D238" s="12"/>
      <c r="G238" s="9" t="s">
        <v>4017</v>
      </c>
      <c r="H238" s="13"/>
      <c r="K238" s="10" t="s">
        <v>3862</v>
      </c>
      <c r="L238" s="10" t="s">
        <v>3879</v>
      </c>
    </row>
    <row r="239" spans="2:12" s="10" customFormat="1" ht="18" customHeight="1">
      <c r="C239" s="12" t="s">
        <v>3954</v>
      </c>
      <c r="D239" s="12"/>
      <c r="G239" s="9" t="s">
        <v>4018</v>
      </c>
      <c r="H239" s="13"/>
    </row>
    <row r="240" spans="2:12" s="10" customFormat="1" ht="18" customHeight="1">
      <c r="C240" s="12" t="s">
        <v>3957</v>
      </c>
      <c r="D240" s="12"/>
      <c r="G240" s="9"/>
      <c r="H240" s="9"/>
      <c r="I240" s="10" t="s">
        <v>4019</v>
      </c>
      <c r="J240" s="25" t="str">
        <f>IF(shinsei_strtower01_prgo03_NAME="","",IF(shinsei_strtower01_prgo03_NINTEI_NO="","無","有"))</f>
        <v/>
      </c>
      <c r="K240" s="10" t="s">
        <v>2941</v>
      </c>
      <c r="L240" s="10" t="s">
        <v>3879</v>
      </c>
    </row>
    <row r="241" spans="2:12" s="10" customFormat="1" ht="18" customHeight="1">
      <c r="C241" s="12" t="s">
        <v>3960</v>
      </c>
      <c r="D241" s="12"/>
      <c r="G241" s="9" t="s">
        <v>4020</v>
      </c>
      <c r="H241" s="13"/>
      <c r="K241" s="10" t="s">
        <v>3862</v>
      </c>
      <c r="L241" s="10" t="s">
        <v>3879</v>
      </c>
    </row>
    <row r="242" spans="2:12" s="10" customFormat="1" ht="18" customHeight="1">
      <c r="C242" s="12" t="s">
        <v>3964</v>
      </c>
      <c r="D242" s="12"/>
      <c r="G242" s="9" t="s">
        <v>4021</v>
      </c>
      <c r="H242" s="74"/>
      <c r="I242" s="10" t="s">
        <v>4022</v>
      </c>
      <c r="J242" s="25" t="str">
        <f>IF(shinsei_strtower01_prgo03_NINTEI_DATE="","",TEXT(shinsei_strtower01_prgo03_NINTEI_DATE,"ggge年m月d日")&amp;"  ")</f>
        <v/>
      </c>
    </row>
    <row r="243" spans="2:12" s="10" customFormat="1" ht="18" customHeight="1">
      <c r="C243" s="12" t="s">
        <v>3968</v>
      </c>
      <c r="D243" s="12"/>
      <c r="G243" s="9" t="s">
        <v>4023</v>
      </c>
      <c r="H243" s="13"/>
      <c r="I243" s="9"/>
      <c r="J243" s="9"/>
    </row>
    <row r="244" spans="2:12" s="10" customFormat="1" ht="18" customHeight="1">
      <c r="C244" s="12" t="s">
        <v>3970</v>
      </c>
      <c r="D244" s="12"/>
      <c r="G244" s="9"/>
      <c r="H244" s="12"/>
      <c r="I244" s="9" t="s">
        <v>4024</v>
      </c>
      <c r="J244" s="25" t="str">
        <f>IF(shinsei_strtower01_prgo03_NAME="","",shinsei_strtower01_prgo03_NAME)&amp;CHAR(10)&amp;IF(shinsei_strtower01_prgo03_VER="","","Ver."&amp;shinsei_strtower01_prgo03_VER&amp;CHAR(10))</f>
        <v xml:space="preserve">
</v>
      </c>
    </row>
    <row r="245" spans="2:12" s="10" customFormat="1" ht="18" customHeight="1">
      <c r="C245" s="12" t="s">
        <v>3972</v>
      </c>
      <c r="D245" s="12"/>
      <c r="G245" s="9"/>
      <c r="H245" s="12"/>
      <c r="I245" s="9" t="s">
        <v>4025</v>
      </c>
      <c r="J245" s="25" t="str">
        <f>IF(shinsei_strtower01_prgo03_NAME="","",shinsei_strtower01_prgo03_NAME&amp;" ")&amp;IF(shinsei_strtower01_prgo03_VER="","","Ver."&amp;shinsei_strtower01_prgo03_VER&amp;"  ")</f>
        <v/>
      </c>
    </row>
    <row r="246" spans="2:12" s="10" customFormat="1" ht="18" customHeight="1">
      <c r="C246" s="12" t="s">
        <v>3974</v>
      </c>
      <c r="D246" s="12"/>
      <c r="G246" s="9"/>
      <c r="H246" s="12"/>
    </row>
    <row r="247" spans="2:12" s="10" customFormat="1" ht="18" customHeight="1">
      <c r="D247" s="12" t="s">
        <v>4026</v>
      </c>
      <c r="G247" s="9"/>
      <c r="H247" s="12"/>
      <c r="I247" s="9" t="s">
        <v>4027</v>
      </c>
      <c r="J247" s="173" t="str">
        <f>IF(cst_shinsei_strtower01_prgo03_NINTEI__umu="有",IF(shinsei_strtower01_prgo03_MAKER_NAME="","",shinsei_strtower01_prgo03_MAKER_NAME&amp;"  "),"")</f>
        <v/>
      </c>
    </row>
    <row r="248" spans="2:12" s="10" customFormat="1" ht="18" customHeight="1">
      <c r="D248" s="12" t="s">
        <v>3972</v>
      </c>
      <c r="G248" s="9"/>
      <c r="H248" s="12"/>
      <c r="I248" s="9" t="s">
        <v>4028</v>
      </c>
      <c r="J248" s="25" t="str">
        <f>IF(cst_shinsei_strtower01_prgo03_NINTEI__umu="有",IF(shinsei_strtower01_prgo03_NAME="","",shinsei_strtower01_prgo03_NAME&amp;" ")&amp;IF(shinsei_strtower01_prgo03_VER="","","Ver."&amp;shinsei_strtower01_prgo03_VER&amp;"  "),"")</f>
        <v/>
      </c>
    </row>
    <row r="249" spans="2:12" s="10" customFormat="1" ht="18" customHeight="1">
      <c r="C249" s="12" t="s">
        <v>3981</v>
      </c>
      <c r="D249" s="12"/>
      <c r="G249" s="9"/>
      <c r="H249" s="12"/>
    </row>
    <row r="250" spans="2:12" s="10" customFormat="1" ht="18" customHeight="1">
      <c r="D250" s="12" t="s">
        <v>3976</v>
      </c>
      <c r="G250" s="9"/>
      <c r="H250" s="12"/>
      <c r="I250" s="9" t="s">
        <v>4029</v>
      </c>
      <c r="J250" s="173" t="str">
        <f>IF(cst_shinsei_strtower01_prgo03_NINTEI__umu="無",IF(shinsei_strtower01_prgo03_MAKER_NAME="","",shinsei_strtower01_prgo03_MAKER_NAME&amp;"  "),"")</f>
        <v/>
      </c>
    </row>
    <row r="251" spans="2:12" s="10" customFormat="1" ht="18" customHeight="1">
      <c r="D251" s="12" t="s">
        <v>3972</v>
      </c>
      <c r="G251" s="9"/>
      <c r="H251" s="12"/>
      <c r="I251" s="9" t="s">
        <v>4030</v>
      </c>
      <c r="J251" s="25" t="str">
        <f>IF(cst_shinsei_strtower01_prgo03_NINTEI__umu="無",IF(shinsei_strtower01_prgo03_NAME="","",shinsei_strtower01_prgo03_NAME&amp;" ")&amp;IF(shinsei_strtower01_prgo03_VER="","","Ver."&amp;shinsei_strtower01_prgo03_VER&amp;"  "),"")</f>
        <v/>
      </c>
    </row>
    <row r="252" spans="2:12" s="10" customFormat="1" ht="18" customHeight="1">
      <c r="B252" s="105" t="s">
        <v>4032</v>
      </c>
      <c r="C252" s="105"/>
      <c r="D252" s="105"/>
      <c r="E252" s="24"/>
      <c r="F252" s="24"/>
      <c r="G252" s="9"/>
      <c r="H252" s="12"/>
    </row>
    <row r="253" spans="2:12" s="10" customFormat="1" ht="18" customHeight="1">
      <c r="C253" s="10" t="s">
        <v>3951</v>
      </c>
      <c r="D253" s="12"/>
      <c r="G253" s="9" t="s">
        <v>4033</v>
      </c>
      <c r="H253" s="13"/>
      <c r="K253" s="10" t="s">
        <v>3863</v>
      </c>
      <c r="L253" s="10" t="s">
        <v>3879</v>
      </c>
    </row>
    <row r="254" spans="2:12" s="10" customFormat="1" ht="18" customHeight="1">
      <c r="C254" s="12" t="s">
        <v>4034</v>
      </c>
      <c r="D254" s="12"/>
      <c r="G254" s="9" t="s">
        <v>4035</v>
      </c>
      <c r="H254" s="13"/>
    </row>
    <row r="255" spans="2:12" s="10" customFormat="1" ht="18" customHeight="1">
      <c r="C255" s="12" t="s">
        <v>3957</v>
      </c>
      <c r="D255" s="12"/>
      <c r="G255" s="9"/>
      <c r="H255" s="9"/>
      <c r="I255" s="10" t="s">
        <v>4036</v>
      </c>
      <c r="J255" s="25" t="str">
        <f>IF(shinsei_strtower01_prgo04_NAME="","",IF(shinsei_strtower01_prgo04_NINTEI_NO="","無","有"))</f>
        <v/>
      </c>
      <c r="K255" s="10" t="s">
        <v>2941</v>
      </c>
      <c r="L255" s="10" t="s">
        <v>3879</v>
      </c>
    </row>
    <row r="256" spans="2:12" s="10" customFormat="1" ht="18" customHeight="1">
      <c r="C256" s="12" t="s">
        <v>3960</v>
      </c>
      <c r="D256" s="12"/>
      <c r="G256" s="9" t="s">
        <v>4037</v>
      </c>
      <c r="H256" s="13"/>
      <c r="K256" s="10" t="s">
        <v>3863</v>
      </c>
      <c r="L256" s="10" t="s">
        <v>3879</v>
      </c>
    </row>
    <row r="257" spans="2:12" s="10" customFormat="1" ht="18" customHeight="1">
      <c r="C257" s="12" t="s">
        <v>3964</v>
      </c>
      <c r="D257" s="12"/>
      <c r="G257" s="9" t="s">
        <v>4038</v>
      </c>
      <c r="H257" s="74"/>
      <c r="I257" s="10" t="s">
        <v>4039</v>
      </c>
      <c r="J257" s="25" t="str">
        <f>IF(shinsei_strtower01_prgo04_NINTEI_DATE="","",TEXT(shinsei_strtower01_prgo04_NINTEI_DATE,"ggge年m月d日")&amp;"  ")</f>
        <v/>
      </c>
    </row>
    <row r="258" spans="2:12" s="10" customFormat="1" ht="18" customHeight="1">
      <c r="C258" s="12" t="s">
        <v>4040</v>
      </c>
      <c r="D258" s="12"/>
      <c r="G258" s="9" t="s">
        <v>4041</v>
      </c>
      <c r="H258" s="13"/>
      <c r="I258" s="9"/>
      <c r="J258" s="9"/>
    </row>
    <row r="259" spans="2:12" s="10" customFormat="1" ht="18" customHeight="1">
      <c r="C259" s="12" t="s">
        <v>3970</v>
      </c>
      <c r="D259" s="12"/>
      <c r="G259" s="9"/>
      <c r="H259" s="12"/>
      <c r="I259" s="9" t="s">
        <v>4042</v>
      </c>
      <c r="J259" s="25" t="str">
        <f>IF(shinsei_strtower01_prgo04_NAME="","",shinsei_strtower01_prgo04_NAME)&amp;CHAR(10)&amp;IF(shinsei_strtower01_prgo04_VER="","","Ver."&amp;shinsei_strtower01_prgo04_VER&amp;CHAR(10))</f>
        <v xml:space="preserve">
</v>
      </c>
    </row>
    <row r="260" spans="2:12" s="10" customFormat="1" ht="18" customHeight="1">
      <c r="C260" s="12" t="s">
        <v>3972</v>
      </c>
      <c r="D260" s="12"/>
      <c r="G260" s="9"/>
      <c r="H260" s="12"/>
      <c r="I260" s="9" t="s">
        <v>4043</v>
      </c>
      <c r="J260" s="25" t="str">
        <f>IF(shinsei_strtower01_prgo04_NAME="","",shinsei_strtower01_prgo04_NAME&amp;" ")&amp;IF(shinsei_strtower01_prgo04_VER="","","Ver."&amp;shinsei_strtower01_prgo04_VER&amp;"  ")</f>
        <v/>
      </c>
    </row>
    <row r="261" spans="2:12" s="10" customFormat="1" ht="18" customHeight="1">
      <c r="C261" s="12" t="s">
        <v>3974</v>
      </c>
      <c r="D261" s="12"/>
      <c r="G261" s="9"/>
      <c r="H261" s="12"/>
    </row>
    <row r="262" spans="2:12" s="10" customFormat="1" ht="18" customHeight="1">
      <c r="D262" s="12" t="s">
        <v>3975</v>
      </c>
      <c r="G262" s="9"/>
      <c r="H262" s="12"/>
      <c r="I262" s="9" t="s">
        <v>4044</v>
      </c>
      <c r="J262" s="173" t="str">
        <f>IF(cst_shinsei_strtower01_prgo04_NINTEI__umu="有",IF(shinsei_strtower01_prgo04_MAKER_NAME="","",shinsei_strtower01_prgo04_MAKER_NAME&amp;"  "),"")</f>
        <v/>
      </c>
    </row>
    <row r="263" spans="2:12" s="10" customFormat="1" ht="18" customHeight="1">
      <c r="D263" s="12" t="s">
        <v>3972</v>
      </c>
      <c r="G263" s="9"/>
      <c r="H263" s="12"/>
      <c r="I263" s="9" t="s">
        <v>4045</v>
      </c>
      <c r="J263" s="25" t="str">
        <f>IF(cst_shinsei_strtower01_prgo04_NINTEI__umu="有",IF(shinsei_strtower01_prgo04_NAME="","",shinsei_strtower01_prgo04_NAME&amp;" ")&amp;IF(shinsei_strtower01_prgo04_VER="","","Ver."&amp;shinsei_strtower01_prgo04_VER&amp;"  "),"")</f>
        <v/>
      </c>
    </row>
    <row r="264" spans="2:12" s="10" customFormat="1" ht="18" customHeight="1">
      <c r="C264" s="12" t="s">
        <v>3981</v>
      </c>
      <c r="D264" s="12"/>
      <c r="G264" s="9"/>
      <c r="H264" s="12"/>
    </row>
    <row r="265" spans="2:12" s="10" customFormat="1" ht="18" customHeight="1">
      <c r="D265" s="12" t="s">
        <v>4046</v>
      </c>
      <c r="G265" s="9"/>
      <c r="H265" s="12"/>
      <c r="I265" s="9" t="s">
        <v>4047</v>
      </c>
      <c r="J265" s="173" t="str">
        <f>IF(cst_shinsei_strtower01_prgo04_NINTEI__umu="無",IF(shinsei_strtower01_prgo04_MAKER_NAME="","",shinsei_strtower01_prgo04_MAKER_NAME&amp;"  "),"")</f>
        <v/>
      </c>
    </row>
    <row r="266" spans="2:12" s="10" customFormat="1" ht="18" customHeight="1">
      <c r="D266" s="12" t="s">
        <v>3972</v>
      </c>
      <c r="G266" s="9"/>
      <c r="H266" s="12"/>
      <c r="I266" s="9" t="s">
        <v>4048</v>
      </c>
      <c r="J266" s="25" t="str">
        <f>IF(cst_shinsei_strtower01_prgo04_NINTEI__umu="無",IF(shinsei_strtower01_prgo04_NAME="","",shinsei_strtower01_prgo04_NAME&amp;" ")&amp;IF(shinsei_strtower01_prgo04_VER="","","Ver."&amp;shinsei_strtower01_prgo04_VER&amp;"  "),"")</f>
        <v/>
      </c>
    </row>
    <row r="267" spans="2:12" s="10" customFormat="1" ht="18" customHeight="1">
      <c r="B267" s="105" t="s">
        <v>4050</v>
      </c>
      <c r="C267" s="105"/>
      <c r="D267" s="105"/>
      <c r="E267" s="24"/>
      <c r="F267" s="24"/>
      <c r="G267" s="9"/>
      <c r="H267" s="12"/>
    </row>
    <row r="268" spans="2:12" s="10" customFormat="1" ht="18" customHeight="1">
      <c r="C268" s="10" t="s">
        <v>3951</v>
      </c>
      <c r="D268" s="12"/>
      <c r="G268" s="9" t="s">
        <v>4051</v>
      </c>
      <c r="H268" s="13"/>
      <c r="K268" s="10" t="s">
        <v>4052</v>
      </c>
      <c r="L268" s="10" t="s">
        <v>3879</v>
      </c>
    </row>
    <row r="269" spans="2:12" s="10" customFormat="1" ht="18" customHeight="1">
      <c r="C269" s="12" t="s">
        <v>4053</v>
      </c>
      <c r="D269" s="12"/>
      <c r="G269" s="9" t="s">
        <v>4054</v>
      </c>
      <c r="H269" s="13"/>
    </row>
    <row r="270" spans="2:12" s="10" customFormat="1" ht="18" customHeight="1">
      <c r="C270" s="12" t="s">
        <v>3957</v>
      </c>
      <c r="D270" s="12"/>
      <c r="G270" s="9"/>
      <c r="H270" s="9"/>
      <c r="I270" s="10" t="s">
        <v>4055</v>
      </c>
      <c r="J270" s="25" t="str">
        <f>IF(shinsei_strtower01_prgo05_NAME="","",IF(shinsei_strtower01_prgo05_NINTEI_NO="","無","有"))</f>
        <v/>
      </c>
      <c r="K270" s="10" t="s">
        <v>2941</v>
      </c>
      <c r="L270" s="10" t="s">
        <v>3879</v>
      </c>
    </row>
    <row r="271" spans="2:12" s="10" customFormat="1" ht="18" customHeight="1">
      <c r="C271" s="12" t="s">
        <v>3960</v>
      </c>
      <c r="D271" s="12"/>
      <c r="G271" s="9" t="s">
        <v>4056</v>
      </c>
      <c r="H271" s="13"/>
      <c r="K271" s="10" t="s">
        <v>3862</v>
      </c>
      <c r="L271" s="10" t="s">
        <v>3879</v>
      </c>
    </row>
    <row r="272" spans="2:12" s="10" customFormat="1" ht="18" customHeight="1">
      <c r="C272" s="12" t="s">
        <v>3964</v>
      </c>
      <c r="D272" s="12"/>
      <c r="G272" s="9" t="s">
        <v>4057</v>
      </c>
      <c r="H272" s="74"/>
      <c r="I272" s="10" t="s">
        <v>4058</v>
      </c>
      <c r="J272" s="25" t="str">
        <f>IF(shinsei_strtower01_prgo05_NINTEI_DATE="","",TEXT(shinsei_strtower01_prgo05_NINTEI_DATE,"ggge年m月d日")&amp;"  ")</f>
        <v/>
      </c>
    </row>
    <row r="273" spans="2:10" s="10" customFormat="1" ht="18" customHeight="1">
      <c r="C273" s="12" t="s">
        <v>3967</v>
      </c>
      <c r="D273" s="12"/>
      <c r="G273" s="9" t="s">
        <v>4059</v>
      </c>
      <c r="H273" s="13"/>
    </row>
    <row r="274" spans="2:10" s="10" customFormat="1" ht="18" customHeight="1">
      <c r="C274" s="12" t="s">
        <v>3970</v>
      </c>
      <c r="D274" s="12"/>
      <c r="G274" s="9"/>
      <c r="H274" s="12"/>
      <c r="I274" s="9" t="s">
        <v>4060</v>
      </c>
      <c r="J274" s="25" t="str">
        <f>IF(shinsei_strtower01_prgo05_NAME="","",shinsei_strtower01_prgo05_NAME)&amp;CHAR(10)&amp;IF(shinsei_strtower01_prgo05_VER="","","Ver."&amp;shinsei_strtower01_prgo05_VER&amp;CHAR(10))</f>
        <v xml:space="preserve">
</v>
      </c>
    </row>
    <row r="275" spans="2:10" s="10" customFormat="1" ht="18" customHeight="1">
      <c r="C275" s="12" t="s">
        <v>3972</v>
      </c>
      <c r="D275" s="12"/>
      <c r="G275" s="9"/>
      <c r="H275" s="12"/>
      <c r="I275" s="9" t="s">
        <v>4061</v>
      </c>
      <c r="J275" s="25" t="str">
        <f>IF(shinsei_strtower01_prgo05_NAME="","",shinsei_strtower01_prgo05_NAME&amp;" ")&amp;IF(shinsei_strtower01_prgo05_VER="","","Ver."&amp;shinsei_strtower01_prgo05_VER&amp;"  ")</f>
        <v/>
      </c>
    </row>
    <row r="276" spans="2:10" s="10" customFormat="1" ht="18" customHeight="1">
      <c r="C276" s="12" t="s">
        <v>3974</v>
      </c>
      <c r="D276" s="12"/>
      <c r="G276" s="9"/>
      <c r="H276" s="12"/>
    </row>
    <row r="277" spans="2:10" s="10" customFormat="1" ht="18" customHeight="1">
      <c r="D277" s="12" t="s">
        <v>3975</v>
      </c>
      <c r="G277" s="9"/>
      <c r="H277" s="12"/>
      <c r="I277" s="9" t="s">
        <v>4062</v>
      </c>
      <c r="J277" s="173" t="str">
        <f>IF(cst_shinsei_strtower01_prgo05_NINTEI__umu="有",IF(shinsei_strtower01_prgo05_MAKER_NAME="","",shinsei_strtower01_prgo05_MAKER_NAME&amp;"  "),"")</f>
        <v/>
      </c>
    </row>
    <row r="278" spans="2:10" s="10" customFormat="1" ht="18" customHeight="1">
      <c r="D278" s="12" t="s">
        <v>3972</v>
      </c>
      <c r="G278" s="9"/>
      <c r="H278" s="12"/>
      <c r="I278" s="9" t="s">
        <v>4063</v>
      </c>
      <c r="J278" s="25" t="str">
        <f>IF(cst_shinsei_strtower01_prgo05_NINTEI__umu="有",IF(shinsei_strtower01_prgo05_NAME="","",shinsei_strtower01_prgo05_NAME&amp;" ")&amp;IF(shinsei_strtower01_prgo05_VER="","","Ver."&amp;shinsei_strtower01_prgo05_VER&amp;"  "),"")</f>
        <v/>
      </c>
    </row>
    <row r="279" spans="2:10" s="10" customFormat="1" ht="18" customHeight="1">
      <c r="C279" s="12" t="s">
        <v>3981</v>
      </c>
      <c r="D279" s="12"/>
      <c r="G279" s="9"/>
      <c r="H279" s="12"/>
    </row>
    <row r="280" spans="2:10" s="10" customFormat="1" ht="18" customHeight="1">
      <c r="D280" s="12" t="s">
        <v>3975</v>
      </c>
      <c r="G280" s="9"/>
      <c r="H280" s="12"/>
      <c r="I280" s="9" t="s">
        <v>4064</v>
      </c>
      <c r="J280" s="173" t="str">
        <f>IF(cst_shinsei_strtower01_prgo05_NINTEI__umu="無",IF(shinsei_strtower01_prgo05_MAKER_NAME="","",shinsei_strtower01_prgo05_MAKER_NAME&amp;"  "),"")</f>
        <v/>
      </c>
    </row>
    <row r="281" spans="2:10" s="10" customFormat="1" ht="18" customHeight="1">
      <c r="D281" s="12" t="s">
        <v>3972</v>
      </c>
      <c r="G281" s="9"/>
      <c r="H281" s="12"/>
      <c r="I281" s="9" t="s">
        <v>4065</v>
      </c>
      <c r="J281" s="25" t="str">
        <f>IF(cst_shinsei_strtower01_prgo05_NINTEI__umu="無",IF(shinsei_strtower01_prgo05_NAME="","",shinsei_strtower01_prgo05_NAME&amp;" ")&amp;IF(shinsei_strtower01_prgo05_VER="","","Ver."&amp;shinsei_strtower01_prgo05_VER&amp;"  "),"")</f>
        <v/>
      </c>
    </row>
    <row r="282" spans="2:10" s="10" customFormat="1" ht="18" customHeight="1">
      <c r="B282" s="13" t="s">
        <v>3827</v>
      </c>
      <c r="C282" s="13"/>
      <c r="D282" s="13"/>
      <c r="E282" s="25"/>
      <c r="F282" s="25"/>
      <c r="G282" s="9"/>
      <c r="H282" s="80"/>
      <c r="I282" s="9"/>
      <c r="J282" s="80"/>
    </row>
    <row r="283" spans="2:10" s="10" customFormat="1" ht="18" customHeight="1">
      <c r="C283" s="12" t="s">
        <v>3970</v>
      </c>
      <c r="D283" s="12"/>
      <c r="G283" s="9"/>
      <c r="H283" s="80"/>
      <c r="I283" s="166" t="s">
        <v>4066</v>
      </c>
      <c r="J283" s="74" t="str">
        <f>cst_shinsei_strtower01_prgo01_NAME_VER&amp;cst_shinsei_strtower01_prgo02_NAME_VER&amp;cst_shinsei_strtower01_prgo03_NAME_VER&amp;cst_shinsei_strtower01_prgo04_NAME_VER&amp;cst_shinsei_strtower01_prgo05_NAME_VER</f>
        <v xml:space="preserve">
</v>
      </c>
    </row>
    <row r="284" spans="2:10" s="10" customFormat="1" ht="18" customHeight="1">
      <c r="C284" s="12" t="s">
        <v>3972</v>
      </c>
      <c r="D284" s="12"/>
      <c r="G284" s="9"/>
      <c r="H284" s="80"/>
      <c r="I284" s="166" t="s">
        <v>4067</v>
      </c>
      <c r="J284" s="74" t="str">
        <f>cst_shinsei_strtower01_prgo01_NAME_VER__SP&amp;cst_shinsei_strtower01_prgo02_NAME_VER__SP&amp;cst_shinsei_strtower01_prgo03_NAME_VER__SP&amp;cst_shinsei_strtower01_prgo04_NAME_VER__SP&amp;cst_shinsei_strtower01_prgo05_NAME_VER__SP</f>
        <v/>
      </c>
    </row>
    <row r="285" spans="2:10" s="10" customFormat="1" ht="18" customHeight="1">
      <c r="B285" s="13" t="s">
        <v>4068</v>
      </c>
      <c r="C285" s="13"/>
      <c r="D285" s="13"/>
      <c r="E285" s="25"/>
      <c r="F285" s="25"/>
      <c r="G285" s="9"/>
      <c r="H285" s="80"/>
      <c r="I285" s="9"/>
      <c r="J285" s="80"/>
    </row>
    <row r="286" spans="2:10" s="10" customFormat="1" ht="18" customHeight="1">
      <c r="C286" s="12" t="s">
        <v>3975</v>
      </c>
      <c r="D286" s="12"/>
      <c r="G286" s="9"/>
      <c r="H286" s="80"/>
      <c r="I286" s="166" t="s">
        <v>4069</v>
      </c>
      <c r="J286" s="74" t="str">
        <f>cst_shinsei_strtower01_prgo01_MAKER__nintei_ari&amp;cst_shinsei_strtower01_prgo02_MAKER__NINTEI_ari&amp;cst_shinsei_strtower01_prgo03_MAKER__NINTEI_ari&amp;cst_shinsei_strtower01_prgo04_MAKER__NINTEI_ari&amp;cst_shinsei_strtower01_prgo05_MAKER__NINTEI_ari</f>
        <v/>
      </c>
    </row>
    <row r="287" spans="2:10" s="10" customFormat="1" ht="18" customHeight="1">
      <c r="C287" s="12" t="s">
        <v>3972</v>
      </c>
      <c r="D287" s="12"/>
      <c r="G287" s="9"/>
      <c r="H287" s="80"/>
      <c r="I287" s="166" t="s">
        <v>4070</v>
      </c>
      <c r="J287" s="173" t="str">
        <f>cst_shinsei_strtower01_prgo01_NAME_VER__NINTEI_ari&amp;cst_shinsei_strtower01_prgo02_NAME_VER__NINTEI_ari&amp;cst_shinsei_strtower01_prgo03_NAME_VER__NINTEI_ari&amp;cst_shinsei_strtower01_prgo04_NAME_VER__NINTEI_ari&amp;cst_shinsei_strtower01_prgo05_NAME_VER__NINTEI_ari</f>
        <v/>
      </c>
    </row>
    <row r="288" spans="2:10" s="10" customFormat="1" ht="18" customHeight="1">
      <c r="C288" s="12" t="s">
        <v>3964</v>
      </c>
      <c r="D288" s="12"/>
      <c r="G288" s="9"/>
      <c r="H288" s="80"/>
      <c r="I288" s="166" t="s">
        <v>4071</v>
      </c>
      <c r="J288" s="74" t="str">
        <f>cst_shinsei_strtower01_prgo01_NINTEI_DATE_dsp&amp;cst_shinsei_strtower01_prgo02_NINTEI_DATE_dsp&amp;cst_shinsei_strtower01_prgo03_NINTEI_DATE_dsp&amp;cst_shinsei_strtower01_prgo04_NINTEI_DATE_dsp&amp;cst_shinsei_strtower01_prgo05_NINTEI_DATE_dsp</f>
        <v/>
      </c>
    </row>
    <row r="289" spans="1:12" s="10" customFormat="1" ht="18" customHeight="1">
      <c r="B289" s="13" t="s">
        <v>4072</v>
      </c>
      <c r="C289" s="13"/>
      <c r="D289" s="13"/>
      <c r="E289" s="25"/>
      <c r="F289" s="25"/>
      <c r="G289" s="9"/>
      <c r="H289" s="80"/>
      <c r="I289" s="9"/>
      <c r="J289" s="80"/>
    </row>
    <row r="290" spans="1:12" s="10" customFormat="1" ht="18" customHeight="1">
      <c r="C290" s="12" t="s">
        <v>3975</v>
      </c>
      <c r="D290" s="12"/>
      <c r="G290" s="9"/>
      <c r="H290" s="80"/>
      <c r="I290" s="166" t="s">
        <v>4073</v>
      </c>
      <c r="J290" s="74" t="str">
        <f>cst_shinsei_strtower01_prgo01_MAKER__NINTEI_non&amp;cst_shinsei_strtower01_prgo02_MAKER__NINTEI_non&amp;cst_shinsei_strtower01_prgo03_MAKER__NINTEI_non&amp;cst_shinsei_strtower01_prgo04_MAKER__NINTEI_non&amp;cst_shinsei_strtower01_prgo05_MAKER__NINTEI_non</f>
        <v/>
      </c>
    </row>
    <row r="291" spans="1:12" s="10" customFormat="1" ht="18" customHeight="1">
      <c r="C291" s="12" t="s">
        <v>3972</v>
      </c>
      <c r="D291" s="12"/>
      <c r="G291" s="9"/>
      <c r="H291" s="80"/>
      <c r="I291" s="166" t="s">
        <v>4074</v>
      </c>
      <c r="J291" s="173" t="str">
        <f>cst_shinsei_strtower01_prgo01_NAME_VER__NINTEI_non&amp;cst_shinsei_strtower01_prgo02_NAME_VER__NINTEI_non&amp;cst_shinsei_strtower01_prgo03_NAME_VER__NINTEI_non&amp;cst_shinsei_strtower01_prgo04_NAME_VER__NINTEI_non&amp;cst_shinsei_strtower01_prgo05_NAME_VER__NINTEI_non</f>
        <v/>
      </c>
    </row>
    <row r="292" spans="1:12" s="10" customFormat="1" ht="18" customHeight="1">
      <c r="B292" s="12" t="s">
        <v>4075</v>
      </c>
      <c r="G292" s="9" t="s">
        <v>4076</v>
      </c>
      <c r="H292" s="20"/>
      <c r="I292" s="9" t="s">
        <v>4077</v>
      </c>
      <c r="J292" s="20" t="str">
        <f>IF(shinsei_strtower01_DISK_FLAG="","",IF(shinsei_strtower01_DISK_FLAG=1,"有","無"))</f>
        <v/>
      </c>
    </row>
    <row r="293" spans="1:12" s="10" customFormat="1" ht="18" customHeight="1">
      <c r="A293" s="9"/>
      <c r="B293" s="9" t="s">
        <v>2955</v>
      </c>
      <c r="C293" s="9"/>
      <c r="D293" s="9"/>
      <c r="E293" s="9"/>
      <c r="F293" s="9"/>
      <c r="G293" s="9" t="s">
        <v>4078</v>
      </c>
      <c r="H293" s="136"/>
      <c r="I293" s="9" t="s">
        <v>4079</v>
      </c>
      <c r="J293" s="171" t="str">
        <f>IF(shinsei_strtower01_CHARGE="","",shinsei_strtower01_CHARGE)</f>
        <v/>
      </c>
      <c r="K293" s="9" t="s">
        <v>2528</v>
      </c>
      <c r="L293" s="175" t="str">
        <f>IF(shinsei_strtower01_JUDGE&lt;&gt;1,"",IF(shinsei_strtower01_CHARGE="","",shinsei_strtower01_CHARGE))</f>
        <v/>
      </c>
    </row>
    <row r="294" spans="1:12" ht="18" customHeight="1">
      <c r="A294" s="149"/>
      <c r="B294" s="149"/>
      <c r="C294" s="149"/>
      <c r="D294" s="149"/>
      <c r="E294" s="12" t="s">
        <v>3907</v>
      </c>
      <c r="F294" s="12"/>
      <c r="G294" s="149"/>
      <c r="I294" s="149" t="s">
        <v>4080</v>
      </c>
      <c r="J294" s="171" t="str">
        <f>IF(shinsei_strtower01_CHARGE="","",TEXT(shinsei_strtower01_CHARGE,"#,##0_ ")&amp;"円")</f>
        <v/>
      </c>
      <c r="K294" s="9"/>
      <c r="L294" s="9"/>
    </row>
    <row r="295" spans="1:12" ht="18" customHeight="1">
      <c r="A295" s="149"/>
      <c r="B295" s="149" t="s">
        <v>3041</v>
      </c>
      <c r="C295" s="149"/>
      <c r="D295" s="149"/>
      <c r="E295" s="149"/>
      <c r="F295" s="149"/>
      <c r="G295" s="149" t="s">
        <v>4081</v>
      </c>
      <c r="H295" s="136"/>
      <c r="I295" s="149" t="s">
        <v>4082</v>
      </c>
      <c r="J295" s="136" t="str">
        <f>IF(shinsei_strtower01_CHARGE_WARIMASHI="","",shinsei_strtower01_CHARGE_WARIMASHI)</f>
        <v/>
      </c>
      <c r="K295" s="9" t="s">
        <v>2528</v>
      </c>
      <c r="L295" s="9" t="s">
        <v>2528</v>
      </c>
    </row>
    <row r="296" spans="1:12" ht="18" customHeight="1">
      <c r="A296" s="149"/>
      <c r="B296" s="149" t="s">
        <v>3043</v>
      </c>
      <c r="C296" s="149"/>
      <c r="D296" s="149"/>
      <c r="E296" s="149"/>
      <c r="F296" s="149"/>
      <c r="G296" s="149" t="s">
        <v>4083</v>
      </c>
      <c r="H296" s="136"/>
      <c r="I296" s="149" t="s">
        <v>4084</v>
      </c>
      <c r="J296" s="136" t="str">
        <f>IF(shinsei_strtower01_CHARGE_TOTAL="","",shinsei_strtower01_CHARGE_TOTAL)</f>
        <v/>
      </c>
      <c r="K296" s="9" t="s">
        <v>2528</v>
      </c>
      <c r="L296" s="9" t="s">
        <v>2528</v>
      </c>
    </row>
    <row r="297" spans="1:12" ht="18" customHeight="1">
      <c r="A297" s="149"/>
      <c r="B297" s="149" t="s">
        <v>4085</v>
      </c>
      <c r="C297" s="149"/>
      <c r="D297" s="149"/>
      <c r="E297" s="149"/>
      <c r="F297" s="149"/>
      <c r="G297" s="149" t="s">
        <v>1301</v>
      </c>
      <c r="H297" s="136"/>
      <c r="I297" s="149" t="s">
        <v>5636</v>
      </c>
      <c r="J297" s="136" t="str">
        <f>IF(shinsei_strtower01_CHARGE_SANTEI_MENSEKI="","",shinsei_strtower01_CHARGE_SANTEI_MENSEKI)</f>
        <v/>
      </c>
      <c r="K297" s="9" t="s">
        <v>2528</v>
      </c>
      <c r="L297" s="9" t="s">
        <v>2528</v>
      </c>
    </row>
    <row r="298" spans="1:12" ht="18" customHeight="1">
      <c r="A298" s="149"/>
      <c r="B298" s="149" t="s">
        <v>5637</v>
      </c>
      <c r="C298" s="149"/>
      <c r="D298" s="149"/>
      <c r="E298" s="149"/>
      <c r="F298" s="149"/>
      <c r="G298" s="149" t="s">
        <v>5638</v>
      </c>
      <c r="H298" s="13" t="s">
        <v>11787</v>
      </c>
      <c r="I298" s="149" t="s">
        <v>5639</v>
      </c>
      <c r="J298" s="20" t="str">
        <f>IF(shinsei_strtower01_CHARGE_KEISAN_NOTE="","",shinsei_strtower01_CHARGE_KEISAN_NOTE)</f>
        <v/>
      </c>
      <c r="K298" s="10" t="s">
        <v>3862</v>
      </c>
      <c r="L298" s="19" t="str">
        <f>IF(shinsei_strtower01_JUDGE&lt;&gt;1,"",IF(shinsei_strtower01_CHARGE_KEISAN_NOTE="","",shinsei_strtower01_CHARGE_KEISAN_NOTE))</f>
        <v/>
      </c>
    </row>
    <row r="299" spans="1:12" ht="18" customHeight="1">
      <c r="A299" s="149"/>
      <c r="B299" s="149"/>
      <c r="C299" s="149"/>
      <c r="D299" s="149"/>
      <c r="E299" s="149" t="s">
        <v>5640</v>
      </c>
      <c r="F299" s="149"/>
      <c r="G299" s="149"/>
      <c r="I299" s="100" t="s">
        <v>5641</v>
      </c>
      <c r="J299" s="20" t="str">
        <f>IF(shinsei_INSPECTION_TYPE="計画変更",IF(shinsei_strtower01_CHARGE="","","延べ面積×1/2により算出"),IF(shinsei_strtower01_CHARGE_KEISAN_NOTE="","",shinsei_strtower01_CHARGE_KEISAN_NOTE))</f>
        <v/>
      </c>
    </row>
    <row r="300" spans="1:12" s="149" customFormat="1" ht="18" customHeight="1">
      <c r="B300" s="149" t="s">
        <v>5642</v>
      </c>
      <c r="G300" s="149" t="s">
        <v>5643</v>
      </c>
      <c r="H300" s="13" t="s">
        <v>11787</v>
      </c>
      <c r="I300" s="149" t="s">
        <v>5644</v>
      </c>
      <c r="J300" s="20" t="str">
        <f>IF(shinsei_strtower01_KEISAN_X_ROUTE="","",shinsei_strtower01_KEISAN_X_ROUTE)</f>
        <v/>
      </c>
      <c r="K300" s="10"/>
      <c r="L300" s="10"/>
    </row>
    <row r="301" spans="1:12" s="149" customFormat="1" ht="18" customHeight="1">
      <c r="B301" s="149" t="s">
        <v>5645</v>
      </c>
      <c r="G301" s="149" t="s">
        <v>5646</v>
      </c>
      <c r="H301" s="13" t="s">
        <v>11787</v>
      </c>
      <c r="I301" s="149" t="s">
        <v>5647</v>
      </c>
      <c r="J301" s="20" t="str">
        <f>IF(shinsei_strtower01_KEISAN_Y_ROUTE="","",shinsei_strtower01_KEISAN_Y_ROUTE)</f>
        <v/>
      </c>
      <c r="K301" s="10"/>
      <c r="L301" s="10"/>
    </row>
    <row r="302" spans="1:12" s="149" customFormat="1" ht="18" customHeight="1">
      <c r="C302" s="149" t="s">
        <v>3805</v>
      </c>
      <c r="H302" s="12"/>
      <c r="I302" s="149" t="s">
        <v>5648</v>
      </c>
      <c r="J302" s="20" t="str">
        <f>IF(AND(shinsei_strtower01_KEISAN_X_ROUTE="3",shinsei_strtower01_KEISAN_Y_ROUTE="3"),"■","□")</f>
        <v>□</v>
      </c>
      <c r="K302" s="10" t="s">
        <v>5649</v>
      </c>
      <c r="L302" s="10"/>
    </row>
    <row r="303" spans="1:12" s="149" customFormat="1" ht="18" customHeight="1">
      <c r="B303" s="149" t="s">
        <v>5650</v>
      </c>
      <c r="G303" s="149" t="s">
        <v>5651</v>
      </c>
      <c r="H303" s="13" t="s">
        <v>11787</v>
      </c>
      <c r="I303" s="149" t="s">
        <v>5652</v>
      </c>
      <c r="J303" s="20" t="str">
        <f>IF(shinsei_strtower01_PROGRAM_KIND_SONOTA="","",shinsei_strtower01_PROGRAM_KIND_SONOTA)</f>
        <v/>
      </c>
      <c r="K303" s="10"/>
      <c r="L303" s="10"/>
    </row>
    <row r="304" spans="1:12" ht="18" customHeight="1">
      <c r="A304" s="149"/>
      <c r="B304" s="149"/>
      <c r="C304" s="149"/>
      <c r="D304" s="149"/>
      <c r="E304" s="149"/>
      <c r="F304" s="149"/>
      <c r="G304" s="149"/>
    </row>
    <row r="305" spans="1:12" s="10" customFormat="1" ht="18" customHeight="1">
      <c r="A305" s="162" t="s">
        <v>5653</v>
      </c>
      <c r="B305" s="162"/>
      <c r="C305" s="162"/>
      <c r="D305" s="162"/>
      <c r="E305" s="163"/>
      <c r="F305" s="163"/>
      <c r="G305" s="164"/>
      <c r="H305" s="165"/>
      <c r="I305" s="9"/>
    </row>
    <row r="306" spans="1:12" s="10" customFormat="1" ht="18" customHeight="1">
      <c r="A306" s="12"/>
      <c r="B306" s="12" t="s">
        <v>3859</v>
      </c>
      <c r="C306" s="12"/>
      <c r="D306" s="12"/>
      <c r="E306" s="11"/>
      <c r="F306" s="11"/>
      <c r="G306" s="10" t="s">
        <v>5654</v>
      </c>
      <c r="H306" s="13" t="s">
        <v>11787</v>
      </c>
      <c r="I306" s="9" t="s">
        <v>5655</v>
      </c>
      <c r="J306" s="25" t="str">
        <f>IF(shinsei_strtower02_TOWER_NO="","",shinsei_strtower02_TOWER_NO)</f>
        <v/>
      </c>
      <c r="K306" s="10" t="s">
        <v>3862</v>
      </c>
    </row>
    <row r="307" spans="1:12" s="10" customFormat="1" ht="18" customHeight="1">
      <c r="A307" s="12"/>
      <c r="B307" s="12" t="s">
        <v>3864</v>
      </c>
      <c r="C307" s="12"/>
      <c r="D307" s="12"/>
      <c r="E307" s="11"/>
      <c r="F307" s="11"/>
      <c r="G307" s="9" t="s">
        <v>5656</v>
      </c>
      <c r="H307" s="13" t="s">
        <v>11787</v>
      </c>
      <c r="I307" s="9" t="s">
        <v>5657</v>
      </c>
      <c r="J307" s="25" t="str">
        <f>IF(shinsei_strtower02_STR_TOWER_NO="","",shinsei_strtower02_STR_TOWER_NO)</f>
        <v/>
      </c>
      <c r="K307" s="10" t="s">
        <v>3862</v>
      </c>
      <c r="L307" s="10" t="s">
        <v>3879</v>
      </c>
    </row>
    <row r="308" spans="1:12" s="166" customFormat="1" ht="18" customHeight="1">
      <c r="B308" s="12" t="s">
        <v>3868</v>
      </c>
      <c r="I308" s="9" t="s">
        <v>5658</v>
      </c>
      <c r="J308" s="167" t="str">
        <f>CONCATENATE(cst_shinsei_strtower02_TOWER_NO," - ",cst_shinsei_strtower02_STR_TOWER_NO)</f>
        <v xml:space="preserve"> - </v>
      </c>
    </row>
    <row r="309" spans="1:12" s="166" customFormat="1" ht="18" customHeight="1">
      <c r="B309" s="12" t="s">
        <v>3870</v>
      </c>
      <c r="I309" s="9" t="s">
        <v>5659</v>
      </c>
      <c r="J309" s="167" t="str">
        <f>CONCATENATE(cst_shinsei_strtower02_STR_TOWER_NO," ／ ",cst_shinsei_STR_SHINSEI_TOWERS)</f>
        <v xml:space="preserve"> ／ </v>
      </c>
    </row>
    <row r="310" spans="1:12" s="10" customFormat="1" ht="18" customHeight="1">
      <c r="A310" s="12"/>
      <c r="B310" s="12" t="s">
        <v>5660</v>
      </c>
      <c r="C310" s="11"/>
      <c r="D310" s="11"/>
      <c r="E310" s="11"/>
      <c r="F310" s="11"/>
      <c r="G310" s="9" t="s">
        <v>5661</v>
      </c>
      <c r="H310" s="13" t="s">
        <v>11787</v>
      </c>
      <c r="I310" s="9" t="s">
        <v>5662</v>
      </c>
      <c r="J310" s="25" t="str">
        <f>IF(shinsei_strtower02_STR_TOWER_NAME="","",shinsei_strtower02_STR_TOWER_NAME)</f>
        <v/>
      </c>
    </row>
    <row r="311" spans="1:12" s="10" customFormat="1" ht="18" customHeight="1">
      <c r="A311" s="12"/>
      <c r="B311" s="12" t="s">
        <v>5663</v>
      </c>
      <c r="C311" s="12"/>
      <c r="D311" s="12"/>
      <c r="E311" s="11"/>
      <c r="F311" s="11"/>
      <c r="G311" s="9" t="s">
        <v>5664</v>
      </c>
      <c r="H311" s="20"/>
      <c r="I311" s="9" t="s">
        <v>5665</v>
      </c>
      <c r="J311" s="25" t="str">
        <f>IF(shinsei_strtower02_JUDGE="","",shinsei_strtower02_JUDGE)</f>
        <v/>
      </c>
      <c r="K311" s="10" t="s">
        <v>5666</v>
      </c>
      <c r="L311" s="10" t="s">
        <v>3879</v>
      </c>
    </row>
    <row r="312" spans="1:12" s="10" customFormat="1" ht="18" customHeight="1">
      <c r="A312" s="12"/>
      <c r="B312" s="12" t="s">
        <v>4441</v>
      </c>
      <c r="C312" s="12"/>
      <c r="D312" s="12"/>
      <c r="E312" s="11"/>
      <c r="F312" s="11"/>
      <c r="G312" s="9" t="s">
        <v>5667</v>
      </c>
      <c r="H312" s="13" t="s">
        <v>11787</v>
      </c>
      <c r="I312" s="9" t="s">
        <v>5668</v>
      </c>
      <c r="J312" s="25" t="str">
        <f>IF(shinsei_strtower02_STR_TOWER_YOUTO_TEXT="","",shinsei_strtower02_STR_TOWER_YOUTO_TEXT)</f>
        <v/>
      </c>
      <c r="K312" s="10" t="s">
        <v>3963</v>
      </c>
      <c r="L312" s="10" t="s">
        <v>3879</v>
      </c>
    </row>
    <row r="313" spans="1:12" s="10" customFormat="1" ht="18" customHeight="1">
      <c r="A313" s="12"/>
      <c r="B313" s="12" t="s">
        <v>3790</v>
      </c>
      <c r="C313" s="12"/>
      <c r="D313" s="12"/>
      <c r="E313" s="11"/>
      <c r="F313" s="11"/>
      <c r="G313" s="9" t="s">
        <v>5669</v>
      </c>
      <c r="H313" s="13" t="s">
        <v>11787</v>
      </c>
      <c r="I313" s="9" t="s">
        <v>5670</v>
      </c>
      <c r="J313" s="25" t="str">
        <f>IF(shinsei_strtower02_KOUJI_TEXT="","",shinsei_strtower02_KOUJI_TEXT)</f>
        <v/>
      </c>
      <c r="K313" s="10" t="s">
        <v>3863</v>
      </c>
      <c r="L313" s="10" t="s">
        <v>3879</v>
      </c>
    </row>
    <row r="314" spans="1:12" s="10" customFormat="1" ht="18" customHeight="1">
      <c r="A314" s="12"/>
      <c r="B314" s="12" t="s">
        <v>5671</v>
      </c>
      <c r="C314" s="11"/>
      <c r="D314" s="11"/>
      <c r="E314" s="11"/>
      <c r="F314" s="11"/>
      <c r="G314" s="9" t="s">
        <v>5672</v>
      </c>
      <c r="H314" s="13"/>
      <c r="I314" s="9" t="s">
        <v>5673</v>
      </c>
      <c r="J314" s="25" t="str">
        <f>IF(shinsei_strtower02_KOUZOU_TEXT="","",shinsei_strtower02_KOUZOU_TEXT)</f>
        <v/>
      </c>
    </row>
    <row r="315" spans="1:12" s="10" customFormat="1" ht="18" customHeight="1">
      <c r="A315" s="12"/>
      <c r="B315" s="12" t="s">
        <v>5674</v>
      </c>
      <c r="C315" s="12"/>
      <c r="D315" s="12"/>
      <c r="E315" s="11"/>
      <c r="F315" s="11"/>
      <c r="G315" s="9" t="s">
        <v>5675</v>
      </c>
      <c r="H315" s="13" t="s">
        <v>11787</v>
      </c>
      <c r="I315" s="9" t="s">
        <v>5676</v>
      </c>
      <c r="J315" s="25" t="str">
        <f>IF(shinsei_strtower02_KOUZOU_TEXT="","",shinsei_strtower02_KOUZOU_TEXT)</f>
        <v/>
      </c>
    </row>
    <row r="316" spans="1:12" s="10" customFormat="1" ht="18" customHeight="1">
      <c r="A316" s="12"/>
      <c r="B316" s="12" t="s">
        <v>3893</v>
      </c>
      <c r="C316" s="11"/>
      <c r="D316" s="11"/>
      <c r="E316" s="11"/>
      <c r="F316" s="11"/>
      <c r="G316" s="9" t="s">
        <v>5677</v>
      </c>
      <c r="H316" s="13"/>
      <c r="I316" s="9" t="s">
        <v>5678</v>
      </c>
      <c r="J316" s="25" t="str">
        <f>IF(shinsei_strtower02_KOUZOU_KEISAN="","",shinsei_strtower02_KOUZOU_KEISAN)</f>
        <v/>
      </c>
    </row>
    <row r="317" spans="1:12" s="10" customFormat="1" ht="18" customHeight="1">
      <c r="A317" s="12"/>
      <c r="B317" s="12" t="s">
        <v>3893</v>
      </c>
      <c r="C317" s="12"/>
      <c r="D317" s="12"/>
      <c r="E317" s="11"/>
      <c r="F317" s="11"/>
      <c r="G317" s="9" t="s">
        <v>5679</v>
      </c>
      <c r="H317" s="13" t="s">
        <v>11787</v>
      </c>
      <c r="I317" s="10" t="s">
        <v>5680</v>
      </c>
      <c r="J317" s="25" t="str">
        <f>IF(shinsei_strtower02_KOUZOU_KEISAN_TEXT="","",shinsei_strtower02_KOUZOU_KEISAN_TEXT)</f>
        <v/>
      </c>
    </row>
    <row r="318" spans="1:12" s="10" customFormat="1" ht="18" customHeight="1">
      <c r="A318" s="12"/>
      <c r="B318" s="12" t="s">
        <v>3902</v>
      </c>
      <c r="C318" s="12"/>
      <c r="D318" s="12"/>
      <c r="E318" s="11"/>
      <c r="F318" s="11"/>
      <c r="G318" s="9" t="s">
        <v>5681</v>
      </c>
      <c r="H318" s="65"/>
      <c r="I318" s="9" t="s">
        <v>5682</v>
      </c>
      <c r="J318" s="168" t="str">
        <f>IF(shinsei_strtower02_MENSEKI="","",shinsei_strtower02_MENSEKI)</f>
        <v/>
      </c>
      <c r="K318" s="10" t="s">
        <v>3906</v>
      </c>
      <c r="L318" s="10" t="s">
        <v>3906</v>
      </c>
    </row>
    <row r="319" spans="1:12" ht="18" customHeight="1">
      <c r="A319" s="12"/>
      <c r="B319" s="12"/>
      <c r="C319" s="12"/>
      <c r="D319" s="12"/>
      <c r="E319" s="12" t="s">
        <v>3907</v>
      </c>
      <c r="F319" s="12"/>
      <c r="G319" s="9"/>
      <c r="H319" s="9"/>
      <c r="I319" s="9" t="s">
        <v>5683</v>
      </c>
      <c r="J319" s="168" t="str">
        <f>IF(shinsei_strtower02_MENSEKI="","",TEXT(shinsei_strtower02_MENSEKI,"#,##0.00_ ")&amp;"㎡")</f>
        <v/>
      </c>
    </row>
    <row r="320" spans="1:12" s="10" customFormat="1" ht="18" customHeight="1">
      <c r="A320" s="12"/>
      <c r="B320" s="12" t="s">
        <v>4390</v>
      </c>
      <c r="C320" s="12"/>
      <c r="D320" s="12"/>
      <c r="E320" s="11"/>
      <c r="F320" s="11"/>
      <c r="G320" s="9" t="s">
        <v>5684</v>
      </c>
      <c r="H320" s="93"/>
      <c r="I320" s="9" t="s">
        <v>5685</v>
      </c>
      <c r="J320" s="170" t="str">
        <f>IF(shinsei_strtower02_MAX_TAKASA="","",shinsei_strtower02_MAX_TAKASA)</f>
        <v/>
      </c>
      <c r="K320" s="10" t="s">
        <v>3911</v>
      </c>
      <c r="L320" s="10" t="s">
        <v>3911</v>
      </c>
    </row>
    <row r="321" spans="1:12" s="10" customFormat="1" ht="18" customHeight="1">
      <c r="A321" s="12"/>
      <c r="B321" s="12" t="s">
        <v>4388</v>
      </c>
      <c r="C321" s="11"/>
      <c r="D321" s="11"/>
      <c r="E321" s="11"/>
      <c r="F321" s="11"/>
      <c r="G321" s="9" t="s">
        <v>5686</v>
      </c>
      <c r="H321" s="93"/>
      <c r="I321" s="9" t="s">
        <v>5687</v>
      </c>
      <c r="J321" s="170" t="str">
        <f>IF(shinsei_strtower02_MAX_NOKI_TAKASA="","",shinsei_strtower02_MAX_NOKI_TAKASA)</f>
        <v/>
      </c>
    </row>
    <row r="322" spans="1:12" s="10" customFormat="1" ht="18" customHeight="1">
      <c r="A322" s="12"/>
      <c r="B322" s="12" t="s">
        <v>3782</v>
      </c>
      <c r="C322" s="12"/>
      <c r="D322" s="12"/>
      <c r="E322" s="11"/>
      <c r="F322" s="11"/>
      <c r="G322" s="9"/>
      <c r="H322" s="9"/>
      <c r="I322" s="9"/>
    </row>
    <row r="323" spans="1:12" s="10" customFormat="1" ht="18" customHeight="1">
      <c r="A323" s="12"/>
      <c r="B323" s="12"/>
      <c r="C323" s="11" t="s">
        <v>3783</v>
      </c>
      <c r="D323" s="12"/>
      <c r="G323" s="9" t="s">
        <v>5688</v>
      </c>
      <c r="H323" s="136"/>
      <c r="I323" s="9" t="s">
        <v>5689</v>
      </c>
      <c r="J323" s="171" t="str">
        <f>IF(shinsei_strtower02_KAISU_TIJYOU="","",shinsei_strtower02_KAISU_TIJYOU)</f>
        <v/>
      </c>
      <c r="K323" s="10" t="s">
        <v>3916</v>
      </c>
      <c r="L323" s="10" t="s">
        <v>3916</v>
      </c>
    </row>
    <row r="324" spans="1:12" s="10" customFormat="1" ht="18" customHeight="1">
      <c r="A324" s="12"/>
      <c r="B324" s="12"/>
      <c r="C324" s="11" t="s">
        <v>3785</v>
      </c>
      <c r="D324" s="12"/>
      <c r="G324" s="9" t="s">
        <v>5690</v>
      </c>
      <c r="H324" s="136"/>
      <c r="I324" s="9" t="s">
        <v>5691</v>
      </c>
      <c r="J324" s="171" t="str">
        <f>IF(shinsei_strtower02_KAISU_TIKA="","",shinsei_strtower02_KAISU_TIKA)</f>
        <v/>
      </c>
      <c r="K324" s="10" t="s">
        <v>3916</v>
      </c>
      <c r="L324" s="10" t="s">
        <v>3916</v>
      </c>
    </row>
    <row r="325" spans="1:12" s="10" customFormat="1" ht="18" customHeight="1">
      <c r="A325" s="12"/>
      <c r="B325" s="12"/>
      <c r="C325" s="11" t="s">
        <v>3787</v>
      </c>
      <c r="D325" s="12"/>
      <c r="G325" s="9" t="s">
        <v>5692</v>
      </c>
      <c r="H325" s="136"/>
      <c r="I325" s="9" t="s">
        <v>5693</v>
      </c>
      <c r="J325" s="171" t="str">
        <f>IF(shinsei_strtower02_KAISU_TOUYA="","",shinsei_strtower02_KAISU_TOUYA)</f>
        <v/>
      </c>
      <c r="K325" s="10" t="s">
        <v>3916</v>
      </c>
      <c r="L325" s="10" t="s">
        <v>3916</v>
      </c>
    </row>
    <row r="326" spans="1:12" s="10" customFormat="1" ht="18" customHeight="1">
      <c r="B326" s="12" t="s">
        <v>3923</v>
      </c>
      <c r="G326" s="9" t="s">
        <v>5694</v>
      </c>
      <c r="H326" s="13"/>
      <c r="I326" s="10" t="s">
        <v>5695</v>
      </c>
      <c r="J326" s="25" t="str">
        <f>IF(shinsei_strtower02_BUILD_KUBUN="","",shinsei_strtower02_BUILD_KUBUN)</f>
        <v/>
      </c>
      <c r="K326" s="10" t="s">
        <v>3862</v>
      </c>
    </row>
    <row r="327" spans="1:12" s="10" customFormat="1" ht="18" customHeight="1">
      <c r="B327" s="12" t="s">
        <v>3923</v>
      </c>
      <c r="C327" s="12"/>
      <c r="D327" s="12"/>
      <c r="G327" s="9" t="s">
        <v>5696</v>
      </c>
      <c r="H327" s="13" t="s">
        <v>11787</v>
      </c>
      <c r="I327" s="10" t="s">
        <v>5697</v>
      </c>
      <c r="J327" s="25" t="str">
        <f>IF(shinsei_strtower02_BUILD_KUBUN_TEXT="","",shinsei_strtower02_BUILD_KUBUN_TEXT)</f>
        <v/>
      </c>
      <c r="K327" s="10" t="s">
        <v>3862</v>
      </c>
    </row>
    <row r="328" spans="1:12" s="149" customFormat="1" ht="18" customHeight="1">
      <c r="C328" s="149" t="s">
        <v>3801</v>
      </c>
      <c r="H328" s="12"/>
      <c r="I328" s="149" t="s">
        <v>5698</v>
      </c>
      <c r="J328" s="20" t="str">
        <f>IF(shinsei_strtower02_BUILD_KUBUN_TEXT="建築基準法第20条第２号に掲げる建築物","■","□")</f>
        <v>□</v>
      </c>
      <c r="K328" s="10" t="s">
        <v>3929</v>
      </c>
      <c r="L328" s="10"/>
    </row>
    <row r="329" spans="1:12" s="149" customFormat="1" ht="18" customHeight="1">
      <c r="C329" s="149" t="s">
        <v>3803</v>
      </c>
      <c r="H329" s="12"/>
      <c r="I329" s="149" t="s">
        <v>5699</v>
      </c>
      <c r="J329" s="20" t="str">
        <f>IF(shinsei_strtower02_BUILD_KUBUN_TEXT="建築基準法第20条第３号に掲げる建築物","■","□")</f>
        <v>□</v>
      </c>
      <c r="K329" s="10" t="s">
        <v>3931</v>
      </c>
      <c r="L329" s="10"/>
    </row>
    <row r="330" spans="1:12" s="10" customFormat="1" ht="18" customHeight="1">
      <c r="A330" s="12"/>
      <c r="B330" s="12" t="s">
        <v>3932</v>
      </c>
      <c r="C330" s="12"/>
      <c r="D330" s="12"/>
      <c r="E330" s="11"/>
      <c r="F330" s="11"/>
      <c r="G330" s="9" t="s">
        <v>5700</v>
      </c>
      <c r="H330" s="13" t="s">
        <v>11787</v>
      </c>
      <c r="I330" s="9" t="s">
        <v>5701</v>
      </c>
      <c r="J330" s="25" t="str">
        <f>IF(shinsei_strtower02_MENJYO_TEXT="","",shinsei_strtower02_MENJYO_TEXT)</f>
        <v/>
      </c>
      <c r="K330" s="10" t="s">
        <v>3862</v>
      </c>
    </row>
    <row r="331" spans="1:12" s="10" customFormat="1" ht="18" customHeight="1">
      <c r="A331" s="12"/>
      <c r="B331" s="12" t="s">
        <v>3935</v>
      </c>
      <c r="C331" s="12"/>
      <c r="D331" s="12"/>
      <c r="E331" s="11"/>
      <c r="F331" s="11"/>
      <c r="G331" s="9" t="s">
        <v>5702</v>
      </c>
      <c r="H331" s="20"/>
      <c r="I331" s="9" t="s">
        <v>5703</v>
      </c>
      <c r="J331" s="25" t="str">
        <f>IF(shinsei_strtower02_PROGRAM_KIND="","",shinsei_strtower02_PROGRAM_KIND)</f>
        <v/>
      </c>
      <c r="K331" s="10" t="s">
        <v>5704</v>
      </c>
    </row>
    <row r="332" spans="1:12" s="10" customFormat="1" ht="18" customHeight="1">
      <c r="B332" s="12" t="s">
        <v>3939</v>
      </c>
      <c r="C332" s="12"/>
      <c r="D332" s="12"/>
      <c r="G332" s="9" t="s">
        <v>5705</v>
      </c>
      <c r="H332" s="13" t="s">
        <v>11787</v>
      </c>
      <c r="I332" s="10" t="s">
        <v>5706</v>
      </c>
      <c r="J332" s="25" t="str">
        <f>IF(shinsei_strtower02_REI80_2_KOKUJI_TEXT="","",shinsei_strtower02_REI80_2_KOKUJI_TEXT)</f>
        <v/>
      </c>
    </row>
    <row r="333" spans="1:12" s="10" customFormat="1" ht="18" customHeight="1">
      <c r="B333" s="12" t="s">
        <v>3943</v>
      </c>
      <c r="C333" s="12"/>
      <c r="D333" s="12"/>
      <c r="G333" s="9" t="s">
        <v>5707</v>
      </c>
      <c r="H333" s="13" t="s">
        <v>11814</v>
      </c>
      <c r="I333" s="10" t="s">
        <v>5708</v>
      </c>
      <c r="J333" s="25">
        <f>IF(shinsei_strtower02_PROGRAM_KIND__nintei__box="■",2,IF(OR(shinsei_strtower02_PROGRAM_KIND__hyouka__box="■",shinsei_strtower02_PROGRAM_KIND__sonota__box="■"),1,0))</f>
        <v>0</v>
      </c>
      <c r="K333" s="10" t="s">
        <v>3946</v>
      </c>
    </row>
    <row r="334" spans="1:12" s="10" customFormat="1" ht="18" customHeight="1">
      <c r="B334" s="12" t="s">
        <v>3947</v>
      </c>
      <c r="C334" s="12"/>
      <c r="D334" s="12"/>
      <c r="G334" s="9" t="s">
        <v>5709</v>
      </c>
      <c r="H334" s="13" t="s">
        <v>11814</v>
      </c>
    </row>
    <row r="335" spans="1:12" s="10" customFormat="1" ht="18" customHeight="1">
      <c r="B335" s="12" t="s">
        <v>4305</v>
      </c>
      <c r="C335" s="12"/>
      <c r="D335" s="12"/>
      <c r="G335" s="9" t="s">
        <v>5710</v>
      </c>
      <c r="H335" s="13" t="s">
        <v>11814</v>
      </c>
    </row>
    <row r="336" spans="1:12" s="10" customFormat="1" ht="18" customHeight="1">
      <c r="B336" s="105" t="s">
        <v>5711</v>
      </c>
      <c r="C336" s="105"/>
      <c r="D336" s="105"/>
      <c r="E336" s="24"/>
      <c r="F336" s="24"/>
      <c r="G336" s="9"/>
      <c r="H336" s="12"/>
    </row>
    <row r="337" spans="1:12" s="10" customFormat="1" ht="18" customHeight="1">
      <c r="C337" s="10" t="s">
        <v>3951</v>
      </c>
      <c r="D337" s="12"/>
      <c r="G337" s="9" t="s">
        <v>5712</v>
      </c>
      <c r="H337" s="13" t="s">
        <v>11787</v>
      </c>
      <c r="I337" s="10" t="s">
        <v>5713</v>
      </c>
      <c r="J337" s="25" t="str">
        <f>IF(shinsei_strtower02_prgo01_NAME="","",shinsei_strtower02_prgo01_NAME)</f>
        <v/>
      </c>
      <c r="K337" s="10" t="s">
        <v>3862</v>
      </c>
      <c r="L337" s="10" t="s">
        <v>3879</v>
      </c>
    </row>
    <row r="338" spans="1:12" s="10" customFormat="1" ht="18" customHeight="1">
      <c r="C338" s="12" t="s">
        <v>3954</v>
      </c>
      <c r="D338" s="12"/>
      <c r="E338" s="12"/>
      <c r="F338" s="12"/>
      <c r="G338" s="9" t="s">
        <v>5714</v>
      </c>
      <c r="H338" s="13" t="s">
        <v>11787</v>
      </c>
      <c r="I338" s="10" t="s">
        <v>5715</v>
      </c>
      <c r="J338" s="25" t="str">
        <f>IF(shinsei_strtower02_prgo01_VER="","","Ver."&amp;shinsei_strtower02_prgo01_VER)</f>
        <v/>
      </c>
    </row>
    <row r="339" spans="1:12" s="10" customFormat="1" ht="18" customHeight="1">
      <c r="C339" s="12" t="s">
        <v>3957</v>
      </c>
      <c r="D339" s="12"/>
      <c r="G339" s="9"/>
      <c r="H339" s="9"/>
      <c r="I339" s="10" t="s">
        <v>5716</v>
      </c>
      <c r="J339" s="25" t="str">
        <f>IF(shinsei_strtower02_prgo01_NAME="","",IF(shinsei_strtower02_prgo01_NINTEI_NO="","無","有"))</f>
        <v/>
      </c>
      <c r="K339" s="10" t="s">
        <v>3959</v>
      </c>
      <c r="L339" s="10" t="s">
        <v>3879</v>
      </c>
    </row>
    <row r="340" spans="1:12" s="10" customFormat="1" ht="18" customHeight="1">
      <c r="C340" s="12" t="s">
        <v>3960</v>
      </c>
      <c r="D340" s="12"/>
      <c r="G340" s="9" t="s">
        <v>5717</v>
      </c>
      <c r="H340" s="13" t="s">
        <v>11787</v>
      </c>
      <c r="I340" s="10" t="s">
        <v>5718</v>
      </c>
      <c r="J340" s="25" t="str">
        <f>IF(shinsei_strtower02_prgo01_NINTEI_NO="","",shinsei_strtower02_prgo01_NINTEI_NO)</f>
        <v/>
      </c>
      <c r="K340" s="10" t="s">
        <v>3862</v>
      </c>
      <c r="L340" s="10" t="s">
        <v>3879</v>
      </c>
    </row>
    <row r="341" spans="1:12" s="10" customFormat="1" ht="18" customHeight="1">
      <c r="C341" s="12" t="s">
        <v>3964</v>
      </c>
      <c r="D341" s="12"/>
      <c r="G341" s="9" t="s">
        <v>5719</v>
      </c>
      <c r="H341" s="74"/>
      <c r="I341" s="10" t="s">
        <v>5720</v>
      </c>
      <c r="J341" s="25" t="str">
        <f>IF(shinsei_strtower02_prgo01_NINTEI_DATE="","",TEXT(shinsei_strtower02_prgo01_NINTEI_DATE,"ggge年m月d日")&amp;"  ")</f>
        <v/>
      </c>
    </row>
    <row r="342" spans="1:12" s="10" customFormat="1" ht="18" customHeight="1">
      <c r="C342" s="12" t="s">
        <v>3967</v>
      </c>
      <c r="D342" s="12"/>
      <c r="G342" s="9" t="s">
        <v>5721</v>
      </c>
      <c r="H342" s="13" t="s">
        <v>11787</v>
      </c>
    </row>
    <row r="343" spans="1:12" s="10" customFormat="1" ht="18" customHeight="1">
      <c r="C343" s="12" t="s">
        <v>3970</v>
      </c>
      <c r="D343" s="12"/>
      <c r="G343" s="9"/>
      <c r="H343" s="12"/>
      <c r="I343" s="9" t="s">
        <v>5722</v>
      </c>
      <c r="J343" s="25" t="str">
        <f>IF(shinsei_strtower02_prgo01_NAME="","",shinsei_strtower02_prgo01_NAME)&amp;CHAR(10)&amp;IF(shinsei_strtower02_prgo01_VER="","","Ver."&amp;shinsei_strtower02_prgo01_VER&amp;CHAR(10))</f>
        <v xml:space="preserve">
</v>
      </c>
    </row>
    <row r="344" spans="1:12" s="10" customFormat="1" ht="18" customHeight="1">
      <c r="C344" s="12" t="s">
        <v>3972</v>
      </c>
      <c r="D344" s="12"/>
      <c r="G344" s="9"/>
      <c r="H344" s="12"/>
      <c r="I344" s="9" t="s">
        <v>5723</v>
      </c>
      <c r="J344" s="25" t="str">
        <f>IF(shinsei_strtower02_prgo01_NAME="","",shinsei_strtower02_prgo01_NAME&amp;" ")&amp;IF(shinsei_strtower02_prgo01_VER="","","Ver."&amp;shinsei_strtower02_prgo01_VER&amp;"  ")</f>
        <v/>
      </c>
    </row>
    <row r="345" spans="1:12" s="10" customFormat="1" ht="18" customHeight="1">
      <c r="C345" s="12" t="s">
        <v>3974</v>
      </c>
      <c r="D345" s="12"/>
      <c r="G345" s="9"/>
      <c r="H345" s="12"/>
    </row>
    <row r="346" spans="1:12" s="10" customFormat="1" ht="18" customHeight="1">
      <c r="D346" s="12" t="s">
        <v>3975</v>
      </c>
      <c r="F346" s="172" t="s">
        <v>3977</v>
      </c>
      <c r="I346" s="9" t="s">
        <v>5724</v>
      </c>
      <c r="J346" s="173" t="str">
        <f>IF(cst_shinsei_strtower02_prgo01_NINTEI__umu="有",shinsei_strtower02_prgo01_MAKER_NAME,"")</f>
        <v/>
      </c>
    </row>
    <row r="347" spans="1:12" s="10" customFormat="1" ht="18" customHeight="1">
      <c r="B347" s="12"/>
      <c r="D347" s="12" t="s">
        <v>3972</v>
      </c>
      <c r="G347" s="9"/>
      <c r="H347" s="12"/>
      <c r="I347" s="9" t="s">
        <v>5725</v>
      </c>
      <c r="J347" s="25" t="str">
        <f>IF(cst_shinsei_strtower02_prgo01_NINTEI__umu="有",IF(shinsei_strtower02_prgo01_NAME="","",shinsei_strtower02_prgo01_NAME&amp;" ")&amp;IF(shinsei_strtower02_prgo01_VER="","","Ver."&amp;shinsei_strtower02_prgo01_VER&amp;"  "),"")</f>
        <v/>
      </c>
    </row>
    <row r="348" spans="1:12" s="10" customFormat="1" ht="18" customHeight="1">
      <c r="C348" s="12" t="s">
        <v>3981</v>
      </c>
      <c r="D348" s="12"/>
      <c r="G348" s="9"/>
      <c r="H348" s="12"/>
    </row>
    <row r="349" spans="1:12" s="10" customFormat="1" ht="18" customHeight="1">
      <c r="B349" s="12"/>
      <c r="D349" s="12" t="s">
        <v>3975</v>
      </c>
      <c r="G349" s="9"/>
      <c r="H349" s="12"/>
      <c r="I349" s="9" t="s">
        <v>5726</v>
      </c>
      <c r="J349" s="173" t="str">
        <f>IF(cst_shinsei_strtower02_prgo01_NINTEI__umu="無",IF(shinsei_strtower02_prgo01_MAKER_NAME="","",shinsei_strtower02_prgo01_MAKER_NAME&amp;"  "),"")</f>
        <v/>
      </c>
    </row>
    <row r="350" spans="1:12" s="10" customFormat="1" ht="18" customHeight="1">
      <c r="B350" s="12"/>
      <c r="D350" s="12" t="s">
        <v>3972</v>
      </c>
      <c r="G350" s="9"/>
      <c r="H350" s="12"/>
      <c r="I350" s="9" t="s">
        <v>5727</v>
      </c>
      <c r="J350" s="25" t="str">
        <f>IF(cst_shinsei_strtower02_prgo01_NINTEI__umu="無",IF(shinsei_strtower02_prgo01_NAME="","",shinsei_strtower02_prgo01_NAME&amp;" ")&amp;IF(shinsei_strtower02_prgo01_VER="","","Ver."&amp;shinsei_strtower02_prgo01_VER&amp;"  "),"")</f>
        <v/>
      </c>
    </row>
    <row r="351" spans="1:12" s="166" customFormat="1" ht="18" customHeight="1">
      <c r="A351" s="174"/>
      <c r="C351" s="172" t="s">
        <v>3985</v>
      </c>
      <c r="D351" s="172"/>
      <c r="E351" s="172"/>
      <c r="F351" s="172"/>
      <c r="G351" s="172"/>
      <c r="I351" s="166" t="s">
        <v>5728</v>
      </c>
      <c r="J351" s="173" t="str">
        <f>IF(cst_shinsei_strtower02_prgo01_NINTEI__umu="有",cst_shinsei_strtower02_prgo01_NAME,"")</f>
        <v/>
      </c>
    </row>
    <row r="352" spans="1:12" s="166" customFormat="1" ht="18" customHeight="1">
      <c r="A352" s="174"/>
      <c r="C352" s="172" t="s">
        <v>3987</v>
      </c>
      <c r="D352" s="172"/>
      <c r="E352" s="172"/>
      <c r="F352" s="172"/>
      <c r="G352" s="172"/>
      <c r="I352" s="10" t="s">
        <v>5729</v>
      </c>
      <c r="J352" s="173" t="str">
        <f>IF(cst_shinsei_strtower02_prgo01_NINTEI__umu="有",cst_shinsei_strtower02_prgo01_VER,"")</f>
        <v/>
      </c>
    </row>
    <row r="353" spans="1:12" s="166" customFormat="1" ht="18" customHeight="1">
      <c r="A353" s="174"/>
      <c r="C353" s="172" t="s">
        <v>3990</v>
      </c>
      <c r="D353" s="172"/>
      <c r="E353" s="172"/>
      <c r="F353" s="172"/>
      <c r="G353" s="172"/>
      <c r="I353" s="166" t="s">
        <v>5730</v>
      </c>
      <c r="J353" s="173" t="str">
        <f>IF(cst_shinsei_strtower02_prgo01_NINTEI__umu="有",shinsei_strtower02_prgo01_NINTEI_DATE,"")</f>
        <v/>
      </c>
    </row>
    <row r="354" spans="1:12" s="166" customFormat="1" ht="18" customHeight="1">
      <c r="A354" s="174"/>
      <c r="C354" s="172" t="s">
        <v>3993</v>
      </c>
      <c r="D354" s="172"/>
      <c r="E354" s="172"/>
      <c r="F354" s="172"/>
      <c r="G354" s="172"/>
      <c r="I354" s="166" t="s">
        <v>5731</v>
      </c>
      <c r="J354" s="173" t="str">
        <f>IF(cst_shinsei_strtower02_prgo01_NINTEI__umu="無",shinsei_strtower02_prgo01_MAKER_NAME,"")</f>
        <v/>
      </c>
    </row>
    <row r="355" spans="1:12" s="166" customFormat="1" ht="18" customHeight="1">
      <c r="A355" s="174"/>
      <c r="C355" s="172" t="s">
        <v>5732</v>
      </c>
      <c r="D355" s="172"/>
      <c r="E355" s="172"/>
      <c r="F355" s="172"/>
      <c r="G355" s="172"/>
      <c r="I355" s="166" t="s">
        <v>5733</v>
      </c>
      <c r="J355" s="173" t="str">
        <f>IF(cst_shinsei_strtower02_prgo01_NINTEI__umu="無",cst_shinsei_strtower02_prgo01_NAME,"")</f>
        <v/>
      </c>
    </row>
    <row r="356" spans="1:12" s="166" customFormat="1" ht="18" customHeight="1">
      <c r="A356" s="174"/>
      <c r="C356" s="172" t="s">
        <v>3997</v>
      </c>
      <c r="D356" s="172"/>
      <c r="E356" s="172"/>
      <c r="F356" s="172"/>
      <c r="G356" s="172"/>
      <c r="I356" s="10" t="s">
        <v>5734</v>
      </c>
      <c r="J356" s="173" t="str">
        <f>IF(cst_shinsei_strtower02_prgo01_NINTEI__umu="無",cst_shinsei_strtower02_prgo01_VER,"")</f>
        <v/>
      </c>
    </row>
    <row r="357" spans="1:12" s="10" customFormat="1" ht="18" customHeight="1">
      <c r="B357" s="105" t="s">
        <v>4000</v>
      </c>
      <c r="C357" s="105"/>
      <c r="D357" s="105"/>
      <c r="E357" s="24"/>
      <c r="F357" s="24"/>
      <c r="G357" s="9"/>
      <c r="H357" s="12"/>
    </row>
    <row r="358" spans="1:12" s="10" customFormat="1" ht="18" customHeight="1">
      <c r="C358" s="10" t="s">
        <v>3951</v>
      </c>
      <c r="D358" s="12"/>
      <c r="G358" s="9" t="s">
        <v>5735</v>
      </c>
      <c r="H358" s="13"/>
      <c r="K358" s="10" t="s">
        <v>3862</v>
      </c>
      <c r="L358" s="10" t="s">
        <v>3879</v>
      </c>
    </row>
    <row r="359" spans="1:12" s="10" customFormat="1" ht="18" customHeight="1">
      <c r="C359" s="12" t="s">
        <v>3954</v>
      </c>
      <c r="D359" s="12"/>
      <c r="G359" s="9" t="s">
        <v>5736</v>
      </c>
      <c r="H359" s="13"/>
    </row>
    <row r="360" spans="1:12" s="10" customFormat="1" ht="18" customHeight="1">
      <c r="C360" s="12" t="s">
        <v>3957</v>
      </c>
      <c r="D360" s="12"/>
      <c r="G360" s="9"/>
      <c r="H360" s="9"/>
      <c r="I360" s="10" t="s">
        <v>5737</v>
      </c>
      <c r="J360" s="25" t="str">
        <f>IF(shinsei_strtower02_prgo02_NAME="","",IF(shinsei_strtower02_prgo02_NINTEI_NO="","無","有"))</f>
        <v/>
      </c>
      <c r="K360" s="10" t="s">
        <v>2941</v>
      </c>
      <c r="L360" s="10" t="s">
        <v>3879</v>
      </c>
    </row>
    <row r="361" spans="1:12" s="10" customFormat="1" ht="18" customHeight="1">
      <c r="C361" s="12" t="s">
        <v>3960</v>
      </c>
      <c r="D361" s="12"/>
      <c r="G361" s="9" t="s">
        <v>5738</v>
      </c>
      <c r="H361" s="13"/>
      <c r="K361" s="10" t="s">
        <v>3862</v>
      </c>
      <c r="L361" s="10" t="s">
        <v>3879</v>
      </c>
    </row>
    <row r="362" spans="1:12" s="10" customFormat="1" ht="18" customHeight="1">
      <c r="C362" s="12" t="s">
        <v>3964</v>
      </c>
      <c r="D362" s="12"/>
      <c r="G362" s="9" t="s">
        <v>5739</v>
      </c>
      <c r="H362" s="74"/>
      <c r="I362" s="10" t="s">
        <v>5740</v>
      </c>
      <c r="J362" s="25" t="str">
        <f>IF(shinsei_strtower02_prgo02_NINTEI_DATE="","",shinsei_strtower02_prgo02_NINTEI_DATE)</f>
        <v/>
      </c>
    </row>
    <row r="363" spans="1:12" s="10" customFormat="1" ht="18" customHeight="1">
      <c r="C363" s="12" t="s">
        <v>3967</v>
      </c>
      <c r="D363" s="12"/>
      <c r="G363" s="9" t="s">
        <v>5741</v>
      </c>
      <c r="H363" s="13"/>
    </row>
    <row r="364" spans="1:12" s="10" customFormat="1" ht="18" customHeight="1">
      <c r="C364" s="12" t="s">
        <v>3970</v>
      </c>
      <c r="D364" s="12"/>
      <c r="G364" s="9"/>
      <c r="H364" s="12"/>
      <c r="I364" s="9" t="s">
        <v>5742</v>
      </c>
      <c r="J364" s="25" t="str">
        <f>IF(shinsei_strtower02_prgo02_NAME="","",shinsei_strtower02_prgo02_NAME)&amp;CHAR(10)&amp;IF(shinsei_strtower02_prgo02_VER="","","Ver."&amp;shinsei_strtower02_prgo02_VER&amp;CHAR(10))</f>
        <v xml:space="preserve">
</v>
      </c>
    </row>
    <row r="365" spans="1:12" s="10" customFormat="1" ht="18" customHeight="1">
      <c r="C365" s="12" t="s">
        <v>3972</v>
      </c>
      <c r="D365" s="12"/>
      <c r="G365" s="9"/>
      <c r="H365" s="12"/>
      <c r="I365" s="9" t="s">
        <v>5743</v>
      </c>
      <c r="J365" s="25" t="str">
        <f>IF(shinsei_strtower02_prgo02_NAME="","",shinsei_strtower02_prgo02_NAME&amp;" ")&amp;IF(shinsei_strtower02_prgo02_VER="","","Ver."&amp;shinsei_strtower02_prgo02_VER&amp;"  ")</f>
        <v/>
      </c>
    </row>
    <row r="366" spans="1:12" s="10" customFormat="1" ht="18" customHeight="1">
      <c r="C366" s="12" t="s">
        <v>3974</v>
      </c>
      <c r="D366" s="12"/>
      <c r="G366" s="9"/>
      <c r="H366" s="12"/>
    </row>
    <row r="367" spans="1:12" s="10" customFormat="1" ht="18" customHeight="1">
      <c r="D367" s="12" t="s">
        <v>3975</v>
      </c>
      <c r="G367" s="9"/>
      <c r="H367" s="12"/>
      <c r="I367" s="9" t="s">
        <v>5744</v>
      </c>
      <c r="J367" s="173" t="str">
        <f>IF(cst_shinsei_strtower02_prgo02_NINTEI__umu="有",IF(shinsei_strtower02_prgo02_MAKER_NAME="","",shinsei_strtower02_prgo02_MAKER_NAME&amp;"  "),"")</f>
        <v/>
      </c>
    </row>
    <row r="368" spans="1:12" s="10" customFormat="1" ht="18" customHeight="1">
      <c r="D368" s="12" t="s">
        <v>3972</v>
      </c>
      <c r="G368" s="9"/>
      <c r="H368" s="12"/>
      <c r="I368" s="9" t="s">
        <v>5745</v>
      </c>
      <c r="J368" s="25" t="str">
        <f>IF(cst_shinsei_strtower02_prgo02_NINTEI__umu="有",IF(shinsei_strtower02_prgo02_NAME="","",shinsei_strtower02_prgo02_NAME&amp;" ")&amp;IF(shinsei_strtower02_prgo02_VER="","","Ver."&amp;shinsei_strtower02_prgo02_VER&amp;"  "),"")</f>
        <v/>
      </c>
    </row>
    <row r="369" spans="2:12" s="10" customFormat="1" ht="18" customHeight="1">
      <c r="C369" s="12" t="s">
        <v>3981</v>
      </c>
      <c r="D369" s="12"/>
      <c r="G369" s="9"/>
      <c r="H369" s="12"/>
    </row>
    <row r="370" spans="2:12" s="10" customFormat="1" ht="18" customHeight="1">
      <c r="D370" s="12" t="s">
        <v>3975</v>
      </c>
      <c r="G370" s="9"/>
      <c r="H370" s="12"/>
      <c r="I370" s="9" t="s">
        <v>5746</v>
      </c>
      <c r="J370" s="173" t="str">
        <f>IF(cst_shinsei_strtower02_prgo02_NINTEI__umu="無",IF(shinsei_strtower02_prgo02_MAKER_NAME="","",shinsei_strtower02_prgo02_MAKER_NAME&amp;"  "),"")</f>
        <v/>
      </c>
    </row>
    <row r="371" spans="2:12" s="10" customFormat="1" ht="18" customHeight="1">
      <c r="D371" s="12" t="s">
        <v>3972</v>
      </c>
      <c r="G371" s="9"/>
      <c r="H371" s="12"/>
      <c r="I371" s="9" t="s">
        <v>5747</v>
      </c>
      <c r="J371" s="25" t="str">
        <f>IF(cst_shinsei_strtower02_prgo02_NINTEI__umu="無",IF(shinsei_strtower02_prgo02_NAME="","",shinsei_strtower02_prgo02_NAME&amp;" ")&amp;IF(shinsei_strtower02_prgo02_VER="","","Ver."&amp;shinsei_strtower02_prgo02_VER&amp;"  "),"")</f>
        <v/>
      </c>
    </row>
    <row r="372" spans="2:12" s="10" customFormat="1" ht="18" customHeight="1">
      <c r="B372" s="105" t="s">
        <v>4016</v>
      </c>
      <c r="C372" s="105"/>
      <c r="D372" s="105"/>
      <c r="E372" s="24"/>
      <c r="F372" s="24"/>
      <c r="G372" s="9"/>
      <c r="H372" s="12"/>
    </row>
    <row r="373" spans="2:12" s="10" customFormat="1" ht="18" customHeight="1">
      <c r="C373" s="10" t="s">
        <v>3951</v>
      </c>
      <c r="D373" s="12"/>
      <c r="G373" s="9" t="s">
        <v>5748</v>
      </c>
      <c r="H373" s="13"/>
      <c r="K373" s="10" t="s">
        <v>3862</v>
      </c>
      <c r="L373" s="10" t="s">
        <v>3879</v>
      </c>
    </row>
    <row r="374" spans="2:12" s="10" customFormat="1" ht="18" customHeight="1">
      <c r="C374" s="12" t="s">
        <v>3954</v>
      </c>
      <c r="D374" s="12"/>
      <c r="G374" s="9" t="s">
        <v>5749</v>
      </c>
      <c r="H374" s="13"/>
    </row>
    <row r="375" spans="2:12" s="10" customFormat="1" ht="18" customHeight="1">
      <c r="C375" s="12" t="s">
        <v>3957</v>
      </c>
      <c r="D375" s="12"/>
      <c r="G375" s="9"/>
      <c r="H375" s="9"/>
      <c r="I375" s="10" t="s">
        <v>5750</v>
      </c>
      <c r="J375" s="25" t="str">
        <f>IF(shinsei_strtower02_prgo03_NAME="","",IF(shinsei_strtower02_prgo03_NINTEI_NO="","無","有"))</f>
        <v/>
      </c>
      <c r="K375" s="10" t="s">
        <v>2941</v>
      </c>
      <c r="L375" s="10" t="s">
        <v>3879</v>
      </c>
    </row>
    <row r="376" spans="2:12" s="10" customFormat="1" ht="18" customHeight="1">
      <c r="C376" s="12" t="s">
        <v>3960</v>
      </c>
      <c r="D376" s="12"/>
      <c r="G376" s="9" t="s">
        <v>5751</v>
      </c>
      <c r="H376" s="13"/>
      <c r="K376" s="10" t="s">
        <v>3862</v>
      </c>
      <c r="L376" s="10" t="s">
        <v>3879</v>
      </c>
    </row>
    <row r="377" spans="2:12" s="10" customFormat="1" ht="18" customHeight="1">
      <c r="C377" s="12" t="s">
        <v>3964</v>
      </c>
      <c r="D377" s="12"/>
      <c r="G377" s="9" t="s">
        <v>5752</v>
      </c>
      <c r="H377" s="74"/>
      <c r="I377" s="10" t="s">
        <v>5753</v>
      </c>
      <c r="J377" s="25" t="str">
        <f>IF(shinsei_strtower02_prgo03_NINTEI_DATE="","",TEXT(shinsei_strtower02_prgo03_NINTEI_DATE,"ggge年m月d日")&amp;"  ")</f>
        <v/>
      </c>
    </row>
    <row r="378" spans="2:12" s="10" customFormat="1" ht="18" customHeight="1">
      <c r="C378" s="12" t="s">
        <v>3967</v>
      </c>
      <c r="D378" s="12"/>
      <c r="G378" s="9" t="s">
        <v>5754</v>
      </c>
      <c r="H378" s="13"/>
      <c r="I378" s="9"/>
      <c r="J378" s="9"/>
    </row>
    <row r="379" spans="2:12" s="10" customFormat="1" ht="18" customHeight="1">
      <c r="C379" s="12" t="s">
        <v>3970</v>
      </c>
      <c r="D379" s="12"/>
      <c r="G379" s="9"/>
      <c r="H379" s="12"/>
      <c r="I379" s="9" t="s">
        <v>5755</v>
      </c>
      <c r="J379" s="25" t="str">
        <f>IF(shinsei_strtower02_prgo03_NAME="","",shinsei_strtower02_prgo03_NAME)&amp;CHAR(10)&amp;IF(shinsei_strtower02_prgo03_VER="","","Ver."&amp;shinsei_strtower02_prgo03_VER&amp;CHAR(10))</f>
        <v xml:space="preserve">
</v>
      </c>
    </row>
    <row r="380" spans="2:12" s="10" customFormat="1" ht="18" customHeight="1">
      <c r="C380" s="12" t="s">
        <v>3972</v>
      </c>
      <c r="D380" s="12"/>
      <c r="G380" s="9"/>
      <c r="H380" s="12"/>
      <c r="I380" s="9" t="s">
        <v>5756</v>
      </c>
      <c r="J380" s="25" t="str">
        <f>IF(shinsei_strtower02_prgo03_NAME="","",shinsei_strtower02_prgo03_NAME&amp;" ")&amp;IF(shinsei_strtower02_prgo03_VER="","","Ver."&amp;shinsei_strtower02_prgo03_VER&amp;"  ")</f>
        <v/>
      </c>
    </row>
    <row r="381" spans="2:12" s="10" customFormat="1" ht="18" customHeight="1">
      <c r="C381" s="12" t="s">
        <v>3974</v>
      </c>
      <c r="D381" s="12"/>
      <c r="G381" s="9"/>
      <c r="H381" s="12"/>
    </row>
    <row r="382" spans="2:12" s="10" customFormat="1" ht="18" customHeight="1">
      <c r="D382" s="12" t="s">
        <v>3975</v>
      </c>
      <c r="G382" s="9"/>
      <c r="H382" s="12"/>
      <c r="I382" s="9" t="s">
        <v>5757</v>
      </c>
      <c r="J382" s="173" t="str">
        <f>IF(cst_shinsei_strtower02_prgo03_NINTEI__umu="有",IF(shinsei_strtower02_prgo03_MAKER_NAME="","",shinsei_strtower02_prgo03_MAKER_NAME&amp;"  "),"")</f>
        <v/>
      </c>
    </row>
    <row r="383" spans="2:12" s="10" customFormat="1" ht="18" customHeight="1">
      <c r="D383" s="12" t="s">
        <v>3972</v>
      </c>
      <c r="G383" s="9"/>
      <c r="H383" s="12"/>
      <c r="I383" s="9" t="s">
        <v>5758</v>
      </c>
      <c r="J383" s="25" t="str">
        <f>IF(cst_shinsei_strtower02_prgo03_NINTEI__umu="有",IF(shinsei_strtower02_prgo03_NAME="","",shinsei_strtower02_prgo03_NAME&amp;" ")&amp;IF(shinsei_strtower02_prgo03_VER="","","Ver."&amp;shinsei_strtower02_prgo03_VER&amp;"  "),"")</f>
        <v/>
      </c>
    </row>
    <row r="384" spans="2:12" s="10" customFormat="1" ht="18" customHeight="1">
      <c r="C384" s="12" t="s">
        <v>3981</v>
      </c>
      <c r="D384" s="12"/>
      <c r="G384" s="9"/>
      <c r="H384" s="12"/>
    </row>
    <row r="385" spans="2:12" s="10" customFormat="1" ht="18" customHeight="1">
      <c r="D385" s="12" t="s">
        <v>5759</v>
      </c>
      <c r="G385" s="9"/>
      <c r="H385" s="12"/>
      <c r="I385" s="9" t="s">
        <v>5760</v>
      </c>
      <c r="J385" s="173" t="str">
        <f>IF(cst_shinsei_strtower02_prgo03_NINTEI__umu="無",IF(shinsei_strtower02_prgo03_MAKER_NAME="","",shinsei_strtower02_prgo03_MAKER_NAME&amp;"  "),"")</f>
        <v/>
      </c>
    </row>
    <row r="386" spans="2:12" s="10" customFormat="1" ht="18" customHeight="1">
      <c r="D386" s="12" t="s">
        <v>3972</v>
      </c>
      <c r="G386" s="9"/>
      <c r="H386" s="12"/>
      <c r="I386" s="9" t="s">
        <v>5761</v>
      </c>
      <c r="J386" s="25" t="str">
        <f>IF(cst_shinsei_strtower02_prgo03_NINTEI__umu="無",IF(shinsei_strtower02_prgo03_NAME="","",shinsei_strtower02_prgo03_NAME&amp;" ")&amp;IF(shinsei_strtower02_prgo03_VER="","","Ver."&amp;shinsei_strtower02_prgo03_VER&amp;"  "),"")</f>
        <v/>
      </c>
    </row>
    <row r="387" spans="2:12" s="10" customFormat="1" ht="18" customHeight="1">
      <c r="B387" s="105" t="s">
        <v>5762</v>
      </c>
      <c r="C387" s="105"/>
      <c r="D387" s="105"/>
      <c r="E387" s="24"/>
      <c r="F387" s="24"/>
      <c r="G387" s="9"/>
      <c r="H387" s="12"/>
    </row>
    <row r="388" spans="2:12" s="10" customFormat="1" ht="18" customHeight="1">
      <c r="C388" s="10" t="s">
        <v>3951</v>
      </c>
      <c r="D388" s="12"/>
      <c r="G388" s="9" t="s">
        <v>5763</v>
      </c>
      <c r="H388" s="13"/>
      <c r="K388" s="10" t="s">
        <v>5764</v>
      </c>
      <c r="L388" s="10" t="s">
        <v>3879</v>
      </c>
    </row>
    <row r="389" spans="2:12" s="10" customFormat="1" ht="18" customHeight="1">
      <c r="C389" s="12" t="s">
        <v>5765</v>
      </c>
      <c r="D389" s="12"/>
      <c r="G389" s="9" t="s">
        <v>5766</v>
      </c>
      <c r="H389" s="13"/>
    </row>
    <row r="390" spans="2:12" s="10" customFormat="1" ht="18" customHeight="1">
      <c r="C390" s="12" t="s">
        <v>3957</v>
      </c>
      <c r="D390" s="12"/>
      <c r="G390" s="9"/>
      <c r="H390" s="9"/>
      <c r="I390" s="10" t="s">
        <v>5767</v>
      </c>
      <c r="J390" s="25" t="str">
        <f>IF(shinsei_strtower02_prgo04_NAME="","",IF(shinsei_strtower02_prgo04_NINTEI_NO="","無","有"))</f>
        <v/>
      </c>
      <c r="K390" s="10" t="s">
        <v>2941</v>
      </c>
      <c r="L390" s="10" t="s">
        <v>3879</v>
      </c>
    </row>
    <row r="391" spans="2:12" s="10" customFormat="1" ht="18" customHeight="1">
      <c r="C391" s="12" t="s">
        <v>3960</v>
      </c>
      <c r="D391" s="12"/>
      <c r="G391" s="9" t="s">
        <v>5768</v>
      </c>
      <c r="H391" s="13"/>
      <c r="K391" s="10" t="s">
        <v>3862</v>
      </c>
      <c r="L391" s="10" t="s">
        <v>3879</v>
      </c>
    </row>
    <row r="392" spans="2:12" s="10" customFormat="1" ht="18" customHeight="1">
      <c r="C392" s="12" t="s">
        <v>3964</v>
      </c>
      <c r="D392" s="12"/>
      <c r="G392" s="9" t="s">
        <v>5769</v>
      </c>
      <c r="H392" s="74"/>
      <c r="I392" s="10" t="s">
        <v>5770</v>
      </c>
      <c r="J392" s="25" t="str">
        <f>IF(shinsei_strtower02_prgo04_NINTEI_DATE="","",TEXT(shinsei_strtower02_prgo04_NINTEI_DATE,"ggge年m月d日")&amp;"  ")</f>
        <v/>
      </c>
    </row>
    <row r="393" spans="2:12" s="10" customFormat="1" ht="18" customHeight="1">
      <c r="C393" s="12" t="s">
        <v>3967</v>
      </c>
      <c r="D393" s="12"/>
      <c r="G393" s="9" t="s">
        <v>5771</v>
      </c>
      <c r="H393" s="13"/>
      <c r="I393" s="9"/>
      <c r="J393" s="9"/>
    </row>
    <row r="394" spans="2:12" s="10" customFormat="1" ht="18" customHeight="1">
      <c r="C394" s="12" t="s">
        <v>3970</v>
      </c>
      <c r="D394" s="12"/>
      <c r="G394" s="9"/>
      <c r="H394" s="12"/>
      <c r="I394" s="9" t="s">
        <v>5772</v>
      </c>
      <c r="J394" s="25" t="str">
        <f>IF(shinsei_strtower02_prgo04_NAME="","",shinsei_strtower02_prgo04_NAME)&amp;CHAR(10)&amp;IF(shinsei_strtower02_prgo04_VER="","","Ver."&amp;shinsei_strtower02_prgo04_VER&amp;CHAR(10))</f>
        <v xml:space="preserve">
</v>
      </c>
    </row>
    <row r="395" spans="2:12" s="10" customFormat="1" ht="18" customHeight="1">
      <c r="C395" s="12" t="s">
        <v>3972</v>
      </c>
      <c r="D395" s="12"/>
      <c r="G395" s="9"/>
      <c r="H395" s="12"/>
      <c r="I395" s="9" t="s">
        <v>5773</v>
      </c>
      <c r="J395" s="25" t="str">
        <f>IF(shinsei_strtower02_prgo04_NAME="","",shinsei_strtower02_prgo04_NAME&amp;" ")&amp;IF(shinsei_strtower02_prgo04_VER="","","Ver."&amp;shinsei_strtower02_prgo04_VER&amp;"  ")</f>
        <v/>
      </c>
    </row>
    <row r="396" spans="2:12" s="10" customFormat="1" ht="18" customHeight="1">
      <c r="C396" s="12" t="s">
        <v>3974</v>
      </c>
      <c r="D396" s="12"/>
      <c r="G396" s="9"/>
      <c r="H396" s="12"/>
    </row>
    <row r="397" spans="2:12" s="10" customFormat="1" ht="18" customHeight="1">
      <c r="D397" s="12" t="s">
        <v>3975</v>
      </c>
      <c r="G397" s="9"/>
      <c r="H397" s="12"/>
      <c r="I397" s="9" t="s">
        <v>5774</v>
      </c>
      <c r="J397" s="173" t="str">
        <f>IF(cst_shinsei_strtower02_prgo04_NINTEI__umu="有",IF(shinsei_strtower02_prgo04_MAKER_NAME="","",shinsei_strtower02_prgo04_MAKER_NAME&amp;"  "),"")</f>
        <v/>
      </c>
    </row>
    <row r="398" spans="2:12" s="10" customFormat="1" ht="18" customHeight="1">
      <c r="D398" s="12" t="s">
        <v>3972</v>
      </c>
      <c r="G398" s="9"/>
      <c r="H398" s="12"/>
      <c r="I398" s="9" t="s">
        <v>5775</v>
      </c>
      <c r="J398" s="25" t="str">
        <f>IF(cst_shinsei_strtower02_prgo04_NINTEI__umu="有",IF(shinsei_strtower02_prgo04_NAME="","",shinsei_strtower02_prgo04_NAME&amp;" ")&amp;IF(shinsei_strtower02_prgo04_VER="","","Ver."&amp;shinsei_strtower02_prgo04_VER&amp;"  "),"")</f>
        <v/>
      </c>
    </row>
    <row r="399" spans="2:12" s="10" customFormat="1" ht="18" customHeight="1">
      <c r="C399" s="12" t="s">
        <v>3981</v>
      </c>
      <c r="D399" s="12"/>
      <c r="G399" s="9"/>
      <c r="H399" s="12"/>
    </row>
    <row r="400" spans="2:12" s="10" customFormat="1" ht="18" customHeight="1">
      <c r="D400" s="12" t="s">
        <v>3975</v>
      </c>
      <c r="G400" s="9"/>
      <c r="H400" s="12"/>
      <c r="I400" s="9" t="s">
        <v>5776</v>
      </c>
      <c r="J400" s="173" t="str">
        <f>IF(cst_shinsei_strtower02_prgo04_NINTEI__umu="無",IF(shinsei_strtower02_prgo04_MAKER_NAME="","",shinsei_strtower02_prgo04_MAKER_NAME&amp;"  "),"")</f>
        <v/>
      </c>
    </row>
    <row r="401" spans="2:12" s="10" customFormat="1" ht="18" customHeight="1">
      <c r="D401" s="12" t="s">
        <v>3972</v>
      </c>
      <c r="G401" s="9"/>
      <c r="H401" s="12"/>
      <c r="I401" s="9" t="s">
        <v>5777</v>
      </c>
      <c r="J401" s="25" t="str">
        <f>IF(cst_shinsei_strtower02_prgo04_NINTEI__umu="無",IF(shinsei_strtower02_prgo04_NAME="","",shinsei_strtower02_prgo04_NAME&amp;" ")&amp;IF(shinsei_strtower02_prgo04_VER="","","Ver."&amp;shinsei_strtower02_prgo04_VER&amp;"  "),"")</f>
        <v/>
      </c>
    </row>
    <row r="402" spans="2:12" s="10" customFormat="1" ht="18" customHeight="1">
      <c r="B402" s="105" t="s">
        <v>4049</v>
      </c>
      <c r="C402" s="105"/>
      <c r="D402" s="105"/>
      <c r="E402" s="24"/>
      <c r="F402" s="24"/>
      <c r="G402" s="9"/>
      <c r="H402" s="12"/>
    </row>
    <row r="403" spans="2:12" s="10" customFormat="1" ht="18" customHeight="1">
      <c r="C403" s="10" t="s">
        <v>3951</v>
      </c>
      <c r="D403" s="12"/>
      <c r="G403" s="9" t="s">
        <v>5778</v>
      </c>
      <c r="H403" s="13"/>
      <c r="K403" s="10" t="s">
        <v>3862</v>
      </c>
      <c r="L403" s="10" t="s">
        <v>3879</v>
      </c>
    </row>
    <row r="404" spans="2:12" s="10" customFormat="1" ht="18" customHeight="1">
      <c r="C404" s="12" t="s">
        <v>3954</v>
      </c>
      <c r="D404" s="12"/>
      <c r="G404" s="9" t="s">
        <v>5779</v>
      </c>
      <c r="H404" s="13"/>
    </row>
    <row r="405" spans="2:12" s="10" customFormat="1" ht="18" customHeight="1">
      <c r="C405" s="12" t="s">
        <v>3957</v>
      </c>
      <c r="D405" s="12"/>
      <c r="G405" s="9"/>
      <c r="H405" s="9"/>
      <c r="I405" s="10" t="s">
        <v>5780</v>
      </c>
      <c r="J405" s="25" t="str">
        <f>IF(shinsei_strtower02_prgo05_NAME="","",IF(shinsei_strtower02_prgo05_NINTEI_NO="","無","有"))</f>
        <v/>
      </c>
      <c r="K405" s="10" t="s">
        <v>2941</v>
      </c>
      <c r="L405" s="10" t="s">
        <v>3879</v>
      </c>
    </row>
    <row r="406" spans="2:12" s="10" customFormat="1" ht="18" customHeight="1">
      <c r="C406" s="12" t="s">
        <v>3960</v>
      </c>
      <c r="D406" s="12"/>
      <c r="G406" s="9" t="s">
        <v>5781</v>
      </c>
      <c r="H406" s="13"/>
      <c r="K406" s="10" t="s">
        <v>3862</v>
      </c>
      <c r="L406" s="10" t="s">
        <v>3879</v>
      </c>
    </row>
    <row r="407" spans="2:12" s="10" customFormat="1" ht="18" customHeight="1">
      <c r="C407" s="12" t="s">
        <v>3964</v>
      </c>
      <c r="D407" s="12"/>
      <c r="G407" s="9" t="s">
        <v>5782</v>
      </c>
      <c r="H407" s="74"/>
      <c r="I407" s="10" t="s">
        <v>5783</v>
      </c>
      <c r="J407" s="25" t="str">
        <f>IF(shinsei_strtower02_prgo05_NINTEI_DATE="","",TEXT(shinsei_strtower02_prgo05_NINTEI_DATE,"ggge年m月d日")&amp;"  ")</f>
        <v/>
      </c>
    </row>
    <row r="408" spans="2:12" s="10" customFormat="1" ht="18" customHeight="1">
      <c r="C408" s="12" t="s">
        <v>5784</v>
      </c>
      <c r="D408" s="12"/>
      <c r="G408" s="9" t="s">
        <v>5785</v>
      </c>
      <c r="H408" s="13"/>
    </row>
    <row r="409" spans="2:12" s="10" customFormat="1" ht="18" customHeight="1">
      <c r="C409" s="12" t="s">
        <v>3970</v>
      </c>
      <c r="D409" s="12"/>
      <c r="G409" s="9"/>
      <c r="H409" s="12"/>
      <c r="I409" s="9" t="s">
        <v>5786</v>
      </c>
      <c r="J409" s="25" t="str">
        <f>IF(shinsei_strtower02_prgo05_NAME="","",shinsei_strtower02_prgo05_NAME)&amp;CHAR(10)&amp;IF(shinsei_strtower02_prgo05_VER="","","Ver."&amp;shinsei_strtower02_prgo05_VER&amp;CHAR(10))</f>
        <v xml:space="preserve">
</v>
      </c>
    </row>
    <row r="410" spans="2:12" s="10" customFormat="1" ht="18" customHeight="1">
      <c r="C410" s="12" t="s">
        <v>3972</v>
      </c>
      <c r="D410" s="12"/>
      <c r="G410" s="9"/>
      <c r="H410" s="12"/>
      <c r="I410" s="9" t="s">
        <v>5787</v>
      </c>
      <c r="J410" s="25" t="str">
        <f>IF(shinsei_strtower02_prgo05_NAME="","",shinsei_strtower02_prgo05_NAME&amp;" ")&amp;IF(shinsei_strtower02_prgo05_VER="","","Ver."&amp;shinsei_strtower02_prgo05_VER&amp;"  ")</f>
        <v/>
      </c>
    </row>
    <row r="411" spans="2:12" s="10" customFormat="1" ht="18" customHeight="1">
      <c r="C411" s="12" t="s">
        <v>3974</v>
      </c>
      <c r="D411" s="12"/>
      <c r="G411" s="9"/>
      <c r="H411" s="12"/>
    </row>
    <row r="412" spans="2:12" s="10" customFormat="1" ht="18" customHeight="1">
      <c r="D412" s="12" t="s">
        <v>3976</v>
      </c>
      <c r="G412" s="9"/>
      <c r="H412" s="12"/>
      <c r="I412" s="9" t="s">
        <v>5788</v>
      </c>
      <c r="J412" s="173" t="str">
        <f>IF(cst_shinsei_strtower02_prgo05_NINTEI__umu="有",IF(shinsei_strtower02_prgo05_MAKER_NAME="","",shinsei_strtower02_prgo05_MAKER_NAME&amp;"  "),"")</f>
        <v/>
      </c>
    </row>
    <row r="413" spans="2:12" s="10" customFormat="1" ht="18" customHeight="1">
      <c r="D413" s="12" t="s">
        <v>3972</v>
      </c>
      <c r="G413" s="9"/>
      <c r="H413" s="12"/>
      <c r="I413" s="9" t="s">
        <v>5789</v>
      </c>
      <c r="J413" s="25" t="str">
        <f>IF(cst_shinsei_strtower02_prgo05_NINTEI__umu="有",IF(shinsei_strtower02_prgo05_NAME="","",shinsei_strtower02_prgo05_NAME&amp;" ")&amp;IF(shinsei_strtower02_prgo05_VER="","","Ver."&amp;shinsei_strtower02_prgo05_VER&amp;"  "),"")</f>
        <v/>
      </c>
    </row>
    <row r="414" spans="2:12" s="10" customFormat="1" ht="18" customHeight="1">
      <c r="C414" s="12" t="s">
        <v>3981</v>
      </c>
      <c r="D414" s="12"/>
      <c r="G414" s="9"/>
      <c r="H414" s="12"/>
    </row>
    <row r="415" spans="2:12" s="10" customFormat="1" ht="18" customHeight="1">
      <c r="D415" s="12" t="s">
        <v>3975</v>
      </c>
      <c r="G415" s="9"/>
      <c r="H415" s="12"/>
      <c r="I415" s="9" t="s">
        <v>5790</v>
      </c>
      <c r="J415" s="173" t="str">
        <f>IF(cst_shinsei_strtower02_prgo05_NINTEI__umu="無",IF(shinsei_strtower02_prgo05_MAKER_NAME="","",shinsei_strtower02_prgo05_MAKER_NAME&amp;"  "),"")</f>
        <v/>
      </c>
    </row>
    <row r="416" spans="2:12" s="10" customFormat="1" ht="18" customHeight="1">
      <c r="D416" s="12" t="s">
        <v>3972</v>
      </c>
      <c r="G416" s="9"/>
      <c r="H416" s="12"/>
      <c r="I416" s="9" t="s">
        <v>5791</v>
      </c>
      <c r="J416" s="25" t="str">
        <f>IF(cst_shinsei_strtower02_prgo05_NINTEI__umu="無",IF(shinsei_strtower02_prgo05_NAME="","",shinsei_strtower02_prgo05_NAME&amp;" ")&amp;IF(shinsei_strtower02_prgo05_VER="","","Ver."&amp;shinsei_strtower02_prgo05_VER&amp;"  "),"")</f>
        <v/>
      </c>
    </row>
    <row r="417" spans="1:12" s="10" customFormat="1" ht="18" customHeight="1">
      <c r="B417" s="13" t="s">
        <v>3827</v>
      </c>
      <c r="C417" s="13"/>
      <c r="D417" s="13"/>
      <c r="E417" s="25"/>
      <c r="F417" s="25"/>
      <c r="G417" s="9"/>
      <c r="H417" s="80"/>
      <c r="I417" s="9"/>
      <c r="J417" s="80"/>
    </row>
    <row r="418" spans="1:12" s="10" customFormat="1" ht="18" customHeight="1">
      <c r="C418" s="12" t="s">
        <v>3970</v>
      </c>
      <c r="D418" s="12"/>
      <c r="G418" s="9"/>
      <c r="H418" s="80"/>
      <c r="I418" s="166" t="s">
        <v>5792</v>
      </c>
      <c r="J418" s="74" t="str">
        <f>cst_shinsei_strtower02_prgo01_NAME_VER&amp;cst_shinsei_strtower02_prgo02_NAME_VER&amp;cst_shinsei_strtower02_prgo03_NAME_VER&amp;cst_shinsei_strtower02_prgo04_NAME_VER&amp;cst_shinsei_strtower02_prgo05_NAME_VER</f>
        <v xml:space="preserve">
</v>
      </c>
    </row>
    <row r="419" spans="1:12" s="10" customFormat="1" ht="18" customHeight="1">
      <c r="C419" s="12" t="s">
        <v>3972</v>
      </c>
      <c r="D419" s="12"/>
      <c r="G419" s="9"/>
      <c r="H419" s="80"/>
      <c r="I419" s="166" t="s">
        <v>5793</v>
      </c>
      <c r="J419" s="74" t="str">
        <f>cst_shinsei_strtower02_prgo01_NAME_VER__SP&amp;cst_shinsei_strtower02_prgo02_NAME_VER__SP&amp;cst_shinsei_strtower02_prgo03_NAME_VER__SP&amp;cst_shinsei_strtower02_prgo04_NAME_VER__SP&amp;cst_shinsei_strtower02_prgo05_NAME_VER__SP</f>
        <v/>
      </c>
    </row>
    <row r="420" spans="1:12" s="10" customFormat="1" ht="18" customHeight="1">
      <c r="B420" s="13" t="s">
        <v>4068</v>
      </c>
      <c r="C420" s="13"/>
      <c r="D420" s="13"/>
      <c r="E420" s="25"/>
      <c r="F420" s="25"/>
      <c r="G420" s="9"/>
      <c r="H420" s="80"/>
      <c r="I420" s="9"/>
      <c r="J420" s="80"/>
    </row>
    <row r="421" spans="1:12" s="10" customFormat="1" ht="18" customHeight="1">
      <c r="C421" s="12" t="s">
        <v>3975</v>
      </c>
      <c r="D421" s="12"/>
      <c r="G421" s="9"/>
      <c r="H421" s="80"/>
      <c r="I421" s="166" t="s">
        <v>5794</v>
      </c>
      <c r="J421" s="74" t="str">
        <f>cst_shinsei_strtower02_prgo01_MAKER__NINTEI_ari&amp;cst_shinsei_strtower02_prgo02_MAKER__NINTEI_ari&amp;cst_shinsei_strtower02_prgo03_MAKER__NINTEI_ari&amp;cst_shinsei_strtower02_prgo04_MAKER__NINTEI_ari&amp;cst_shinsei_strtower02_prgo05_MAKER__NINTEI_ari</f>
        <v/>
      </c>
    </row>
    <row r="422" spans="1:12" s="10" customFormat="1" ht="18" customHeight="1">
      <c r="C422" s="12" t="s">
        <v>3972</v>
      </c>
      <c r="D422" s="12"/>
      <c r="G422" s="9"/>
      <c r="H422" s="80"/>
      <c r="I422" s="166" t="s">
        <v>5795</v>
      </c>
      <c r="J422" s="173" t="str">
        <f>cst_shinsei_strtower02_prgo01_NAME_VER__NINTEI_ari&amp;cst_shinsei_strtower02_prgo02_NAME_VER__NINTEI_ari&amp;cst_shinsei_strtower02_prgo03_NAME_VER__NINTEI_ari&amp;cst_shinsei_strtower02_prgo04_NAME_VER__NINTEI_ari&amp;cst_shinsei_strtower02_prgo05_NAME_VER__NINTEI_ari</f>
        <v/>
      </c>
    </row>
    <row r="423" spans="1:12" s="10" customFormat="1" ht="18" customHeight="1">
      <c r="C423" s="12" t="s">
        <v>3964</v>
      </c>
      <c r="D423" s="12"/>
      <c r="G423" s="9"/>
      <c r="H423" s="80"/>
      <c r="I423" s="166" t="s">
        <v>5796</v>
      </c>
      <c r="J423" s="74" t="str">
        <f>cst_shinsei_strtower02_prgo01_NINTEI_DATE_dsp&amp;cst_shinsei_strtower02_prgo02_NINTEI_DATE_dsp&amp;cst_shinsei_strtower02_prgo03_NINTEI_DATE_dsp&amp;cst_shinsei_strtower02_prgo04_NINTEI_DATE_dsp&amp;cst_shinsei_strtower02_prgo05_NINTEI_DATE_dsp</f>
        <v/>
      </c>
    </row>
    <row r="424" spans="1:12" s="10" customFormat="1" ht="18" customHeight="1">
      <c r="B424" s="13" t="s">
        <v>4072</v>
      </c>
      <c r="C424" s="13"/>
      <c r="D424" s="13"/>
      <c r="E424" s="25"/>
      <c r="F424" s="25"/>
      <c r="G424" s="9"/>
      <c r="H424" s="80"/>
      <c r="I424" s="9"/>
      <c r="J424" s="80"/>
    </row>
    <row r="425" spans="1:12" s="10" customFormat="1" ht="18" customHeight="1">
      <c r="C425" s="12" t="s">
        <v>3975</v>
      </c>
      <c r="D425" s="12"/>
      <c r="G425" s="9"/>
      <c r="H425" s="80"/>
      <c r="I425" s="166" t="s">
        <v>5797</v>
      </c>
      <c r="J425" s="74" t="str">
        <f>cst_shinsei_strtower02_prgo01_MAKER__NINTEI_non&amp;cst_shinsei_strtower02_prgo02_MAKER__NINTEI_non&amp;cst_shinsei_strtower02_prgo03_MAKER__NINTEI_non&amp;cst_shinsei_strtower02_prgo04_MAKER__NINTEI_non&amp;cst_shinsei_strtower02_prgo05_MAKER__NINTEI_non</f>
        <v/>
      </c>
    </row>
    <row r="426" spans="1:12" s="10" customFormat="1" ht="18" customHeight="1">
      <c r="C426" s="12" t="s">
        <v>3972</v>
      </c>
      <c r="D426" s="12"/>
      <c r="G426" s="9"/>
      <c r="H426" s="80"/>
      <c r="I426" s="166" t="s">
        <v>5798</v>
      </c>
      <c r="J426" s="173" t="str">
        <f>cst_shinsei_strtower02_prgo01_NAME_VER__NINTEI_non&amp;cst_shinsei_strtower02_prgo02_NAME_VER__NINTEI_non&amp;cst_shinsei_strtower02_prgo03_NAME_VER__NINTEI_non&amp;cst_shinsei_strtower02_prgo04_NAME_VER__NINTEI_non&amp;cst_shinsei_strtower02_prgo05_NAME_VER__NINTEI_non</f>
        <v/>
      </c>
    </row>
    <row r="427" spans="1:12" s="10" customFormat="1" ht="18" customHeight="1">
      <c r="B427" s="12" t="s">
        <v>4075</v>
      </c>
      <c r="G427" s="9" t="s">
        <v>5799</v>
      </c>
      <c r="H427" s="20"/>
      <c r="I427" s="9" t="s">
        <v>5800</v>
      </c>
      <c r="J427" s="20" t="str">
        <f>IF(shinsei_strtower02_DISK_FLAG="","",IF(shinsei_strtower02_DISK_FLAG=1,"有","無"))</f>
        <v/>
      </c>
    </row>
    <row r="428" spans="1:12" s="10" customFormat="1" ht="18" customHeight="1">
      <c r="A428" s="9"/>
      <c r="B428" s="9" t="s">
        <v>2955</v>
      </c>
      <c r="C428" s="9"/>
      <c r="D428" s="9"/>
      <c r="E428" s="9"/>
      <c r="F428" s="9"/>
      <c r="G428" s="9" t="s">
        <v>5801</v>
      </c>
      <c r="H428" s="136"/>
      <c r="I428" s="9" t="s">
        <v>5802</v>
      </c>
      <c r="J428" s="171" t="str">
        <f>IF(shinsei_strtower02_CHARGE="","",shinsei_strtower02_CHARGE)</f>
        <v/>
      </c>
      <c r="K428" s="9" t="s">
        <v>2528</v>
      </c>
      <c r="L428" s="9" t="s">
        <v>2528</v>
      </c>
    </row>
    <row r="429" spans="1:12" ht="18" customHeight="1">
      <c r="A429" s="149"/>
      <c r="B429" s="149"/>
      <c r="C429" s="149"/>
      <c r="D429" s="149"/>
      <c r="E429" s="12" t="s">
        <v>3907</v>
      </c>
      <c r="F429" s="12"/>
      <c r="G429" s="149"/>
      <c r="I429" s="149" t="s">
        <v>5803</v>
      </c>
      <c r="J429" s="171" t="str">
        <f>IF(shinsei_strtower02_CHARGE="","",TEXT(shinsei_strtower02_CHARGE,"#,##0_ ")&amp;"円")</f>
        <v/>
      </c>
      <c r="K429" s="9"/>
      <c r="L429" s="9"/>
    </row>
    <row r="430" spans="1:12" ht="18" customHeight="1">
      <c r="A430" s="149"/>
      <c r="B430" s="149" t="s">
        <v>3041</v>
      </c>
      <c r="C430" s="149"/>
      <c r="D430" s="149"/>
      <c r="E430" s="149"/>
      <c r="F430" s="149"/>
      <c r="G430" s="149" t="s">
        <v>5804</v>
      </c>
      <c r="H430" s="136"/>
      <c r="I430" s="149" t="s">
        <v>5805</v>
      </c>
      <c r="J430" s="136" t="str">
        <f>IF(shinsei_strtower02_CHARGE_WARIMASHI="","",shinsei_strtower02_CHARGE_WARIMASHI)</f>
        <v/>
      </c>
      <c r="K430" s="9" t="s">
        <v>2528</v>
      </c>
      <c r="L430" s="9" t="s">
        <v>2528</v>
      </c>
    </row>
    <row r="431" spans="1:12" ht="18" customHeight="1">
      <c r="A431" s="149"/>
      <c r="B431" s="149" t="s">
        <v>3043</v>
      </c>
      <c r="C431" s="149"/>
      <c r="D431" s="149"/>
      <c r="E431" s="149"/>
      <c r="F431" s="149"/>
      <c r="G431" s="149" t="s">
        <v>5806</v>
      </c>
      <c r="H431" s="136"/>
      <c r="I431" s="149" t="s">
        <v>5807</v>
      </c>
      <c r="J431" s="136" t="str">
        <f>IF(shinsei_strtower02_CHARGE_TOTAL="","",shinsei_strtower02_CHARGE_TOTAL)</f>
        <v/>
      </c>
      <c r="K431" s="9" t="s">
        <v>2528</v>
      </c>
      <c r="L431" s="9" t="s">
        <v>2528</v>
      </c>
    </row>
    <row r="432" spans="1:12" ht="18" customHeight="1">
      <c r="A432" s="149"/>
      <c r="B432" s="149" t="s">
        <v>4085</v>
      </c>
      <c r="C432" s="149"/>
      <c r="D432" s="149"/>
      <c r="E432" s="149"/>
      <c r="F432" s="149"/>
      <c r="G432" s="149" t="s">
        <v>1302</v>
      </c>
      <c r="H432" s="136"/>
      <c r="I432" s="149" t="s">
        <v>5808</v>
      </c>
      <c r="J432" s="136" t="str">
        <f>IF(shinsei_strtower02_CHARGE_SANTEI_MENSEKI="","",shinsei_strtower02_CHARGE_SANTEI_MENSEKI)</f>
        <v/>
      </c>
      <c r="K432" s="9"/>
      <c r="L432" s="9"/>
    </row>
    <row r="433" spans="1:12" ht="18" customHeight="1">
      <c r="A433" s="149"/>
      <c r="B433" s="149" t="s">
        <v>5637</v>
      </c>
      <c r="C433" s="149"/>
      <c r="D433" s="149"/>
      <c r="E433" s="149"/>
      <c r="F433" s="149"/>
      <c r="G433" s="149" t="s">
        <v>5809</v>
      </c>
      <c r="H433" s="13" t="s">
        <v>11787</v>
      </c>
      <c r="I433" s="149" t="s">
        <v>5810</v>
      </c>
      <c r="J433" s="20" t="str">
        <f>IF(shinsei_strtower02_CHARGE_KEISAN_NOTE="","",shinsei_strtower02_CHARGE_KEISAN_NOTE)</f>
        <v/>
      </c>
      <c r="K433" s="10" t="s">
        <v>3862</v>
      </c>
      <c r="L433" s="10" t="s">
        <v>3879</v>
      </c>
    </row>
    <row r="434" spans="1:12" ht="18" customHeight="1">
      <c r="A434" s="149"/>
      <c r="B434" s="149"/>
      <c r="C434" s="149"/>
      <c r="D434" s="149"/>
      <c r="E434" s="149" t="s">
        <v>5640</v>
      </c>
      <c r="F434" s="149"/>
      <c r="G434" s="149"/>
      <c r="I434" s="100" t="s">
        <v>5811</v>
      </c>
      <c r="J434" s="20" t="str">
        <f>IF(shinsei_INSPECTION_TYPE="計画変更",IF(shinsei_strtower02_CHARGE="","","延べ面積×1/2により算出"),IF(shinsei_strtower02_CHARGE_KEISAN_NOTE="","",shinsei_strtower02_CHARGE_KEISAN_NOTE))</f>
        <v/>
      </c>
    </row>
    <row r="435" spans="1:12" s="149" customFormat="1" ht="18" customHeight="1">
      <c r="B435" s="149" t="s">
        <v>5642</v>
      </c>
      <c r="G435" s="149" t="s">
        <v>5812</v>
      </c>
      <c r="H435" s="13" t="s">
        <v>11787</v>
      </c>
      <c r="I435" s="149" t="s">
        <v>5813</v>
      </c>
      <c r="J435" s="20" t="str">
        <f>IF(shinsei_strtower02_KEISAN_X_ROUTE="","",shinsei_strtower02_KEISAN_X_ROUTE)</f>
        <v/>
      </c>
      <c r="K435" s="10"/>
      <c r="L435" s="10"/>
    </row>
    <row r="436" spans="1:12" s="149" customFormat="1" ht="18" customHeight="1">
      <c r="B436" s="149" t="s">
        <v>5645</v>
      </c>
      <c r="G436" s="149" t="s">
        <v>5814</v>
      </c>
      <c r="H436" s="13" t="s">
        <v>11787</v>
      </c>
      <c r="I436" s="149" t="s">
        <v>5815</v>
      </c>
      <c r="J436" s="20" t="str">
        <f>IF(shinsei_strtower02_KEISAN_Y_ROUTE="","",shinsei_strtower02_KEISAN_Y_ROUTE)</f>
        <v/>
      </c>
      <c r="K436" s="10"/>
      <c r="L436" s="10"/>
    </row>
    <row r="437" spans="1:12" s="149" customFormat="1" ht="18" customHeight="1">
      <c r="C437" s="149" t="s">
        <v>3805</v>
      </c>
      <c r="H437" s="12"/>
      <c r="I437" s="149" t="s">
        <v>5816</v>
      </c>
      <c r="J437" s="20" t="str">
        <f>IF(AND(shinsei_strtower02_KEISAN_X_ROUTE="3",shinsei_strtower02_KEISAN_Y_ROUTE="3"),"■","□")</f>
        <v>□</v>
      </c>
      <c r="K437" s="10" t="s">
        <v>5649</v>
      </c>
      <c r="L437" s="10"/>
    </row>
    <row r="438" spans="1:12" s="149" customFormat="1" ht="18" customHeight="1">
      <c r="B438" s="149" t="s">
        <v>5650</v>
      </c>
      <c r="G438" s="149" t="s">
        <v>5817</v>
      </c>
      <c r="H438" s="13" t="s">
        <v>11787</v>
      </c>
      <c r="I438" s="149" t="s">
        <v>5818</v>
      </c>
      <c r="J438" s="20" t="str">
        <f>IF(shinsei_strtower02_PROGRAM_KIND_SONOTA="","",shinsei_strtower02_PROGRAM_KIND_SONOTA)</f>
        <v/>
      </c>
      <c r="K438" s="10"/>
      <c r="L438" s="10"/>
    </row>
    <row r="439" spans="1:12" ht="18" customHeight="1">
      <c r="A439" s="149"/>
      <c r="B439" s="149"/>
      <c r="C439" s="149"/>
      <c r="D439" s="149"/>
      <c r="E439" s="149"/>
      <c r="F439" s="149"/>
      <c r="G439" s="149"/>
    </row>
    <row r="440" spans="1:12" s="10" customFormat="1" ht="18" customHeight="1">
      <c r="A440" s="162" t="s">
        <v>5819</v>
      </c>
      <c r="B440" s="162"/>
      <c r="C440" s="162"/>
      <c r="D440" s="162"/>
      <c r="E440" s="163"/>
      <c r="F440" s="163"/>
      <c r="G440" s="164"/>
      <c r="H440" s="165"/>
      <c r="I440" s="9"/>
    </row>
    <row r="441" spans="1:12" s="10" customFormat="1" ht="18" customHeight="1">
      <c r="A441" s="12"/>
      <c r="B441" s="12" t="s">
        <v>3859</v>
      </c>
      <c r="C441" s="12"/>
      <c r="D441" s="12"/>
      <c r="E441" s="11"/>
      <c r="F441" s="11"/>
      <c r="G441" s="10" t="s">
        <v>5820</v>
      </c>
      <c r="H441" s="13" t="s">
        <v>11787</v>
      </c>
      <c r="I441" s="19" t="s">
        <v>5821</v>
      </c>
      <c r="J441" s="25" t="str">
        <f>IF(shinsei_strtower03_TOWER_NO="","",shinsei_strtower03_TOWER_NO)</f>
        <v/>
      </c>
      <c r="K441" s="10" t="s">
        <v>3862</v>
      </c>
    </row>
    <row r="442" spans="1:12" s="10" customFormat="1" ht="18" customHeight="1">
      <c r="A442" s="12"/>
      <c r="B442" s="12" t="s">
        <v>3864</v>
      </c>
      <c r="C442" s="12"/>
      <c r="D442" s="12"/>
      <c r="E442" s="11"/>
      <c r="F442" s="11"/>
      <c r="G442" s="9" t="s">
        <v>5822</v>
      </c>
      <c r="H442" s="13" t="s">
        <v>11787</v>
      </c>
      <c r="I442" s="19" t="s">
        <v>5823</v>
      </c>
      <c r="J442" s="25" t="str">
        <f>IF(shinsei_strtower03_STR_TOWER_NO="","",shinsei_strtower03_STR_TOWER_NO)</f>
        <v/>
      </c>
      <c r="K442" s="10" t="s">
        <v>3862</v>
      </c>
      <c r="L442" s="10" t="s">
        <v>3879</v>
      </c>
    </row>
    <row r="443" spans="1:12" s="166" customFormat="1" ht="18" customHeight="1">
      <c r="B443" s="12" t="s">
        <v>3868</v>
      </c>
      <c r="I443" s="9" t="s">
        <v>5824</v>
      </c>
      <c r="J443" s="167" t="str">
        <f>CONCATENATE(cst_shinsei_strtower03_TOWER_NO," - ",cst_shinsei_strtower03_STR_TOWER_NO)</f>
        <v xml:space="preserve"> - </v>
      </c>
    </row>
    <row r="444" spans="1:12" s="166" customFormat="1" ht="18" customHeight="1">
      <c r="B444" s="12" t="s">
        <v>3870</v>
      </c>
      <c r="I444" s="9" t="s">
        <v>5825</v>
      </c>
      <c r="J444" s="167" t="str">
        <f>CONCATENATE(cst_shinsei_strtower03_STR_TOWER_NO," ／ ",cst_shinsei_STR_SHINSEI_TOWERS)</f>
        <v xml:space="preserve"> ／ </v>
      </c>
    </row>
    <row r="445" spans="1:12" s="10" customFormat="1" ht="18" customHeight="1">
      <c r="A445" s="12"/>
      <c r="B445" s="12" t="s">
        <v>5660</v>
      </c>
      <c r="C445" s="11"/>
      <c r="D445" s="11"/>
      <c r="E445" s="11"/>
      <c r="F445" s="11"/>
      <c r="G445" s="9" t="s">
        <v>5826</v>
      </c>
      <c r="H445" s="13" t="s">
        <v>11787</v>
      </c>
      <c r="I445" s="9" t="s">
        <v>5827</v>
      </c>
      <c r="J445" s="25" t="str">
        <f>IF(shinsei_strtower03_STR_TOWER_NAME="","",shinsei_strtower03_STR_TOWER_NAME)</f>
        <v/>
      </c>
    </row>
    <row r="446" spans="1:12" s="10" customFormat="1" ht="18" customHeight="1">
      <c r="A446" s="12"/>
      <c r="B446" s="12" t="s">
        <v>3875</v>
      </c>
      <c r="C446" s="12"/>
      <c r="D446" s="12"/>
      <c r="E446" s="11"/>
      <c r="F446" s="11"/>
      <c r="G446" s="9" t="s">
        <v>5828</v>
      </c>
      <c r="H446" s="20"/>
      <c r="I446" s="20" t="s">
        <v>5829</v>
      </c>
      <c r="J446" s="25" t="str">
        <f>IF(shinsei_strtower03_JUDGE="","",shinsei_strtower03_JUDGE)</f>
        <v/>
      </c>
      <c r="K446" s="10" t="s">
        <v>3878</v>
      </c>
      <c r="L446" s="10" t="s">
        <v>3879</v>
      </c>
    </row>
    <row r="447" spans="1:12" s="10" customFormat="1" ht="18" customHeight="1">
      <c r="A447" s="12"/>
      <c r="B447" s="12" t="s">
        <v>4441</v>
      </c>
      <c r="C447" s="12"/>
      <c r="D447" s="12"/>
      <c r="E447" s="11"/>
      <c r="F447" s="11"/>
      <c r="G447" s="9" t="s">
        <v>5830</v>
      </c>
      <c r="H447" s="13" t="s">
        <v>11787</v>
      </c>
      <c r="I447" s="9" t="s">
        <v>5831</v>
      </c>
      <c r="J447" s="25" t="str">
        <f>IF(shinsei_strtower03_STR_TOWER_YOUTO_TEXT="","",shinsei_strtower03_STR_TOWER_YOUTO_TEXT)</f>
        <v/>
      </c>
      <c r="K447" s="10" t="s">
        <v>3862</v>
      </c>
      <c r="L447" s="10" t="s">
        <v>3879</v>
      </c>
    </row>
    <row r="448" spans="1:12" s="10" customFormat="1" ht="18" customHeight="1">
      <c r="A448" s="12"/>
      <c r="B448" s="12" t="s">
        <v>3790</v>
      </c>
      <c r="C448" s="12"/>
      <c r="D448" s="12"/>
      <c r="E448" s="11"/>
      <c r="F448" s="11"/>
      <c r="G448" s="9" t="s">
        <v>5832</v>
      </c>
      <c r="H448" s="13" t="s">
        <v>11787</v>
      </c>
      <c r="I448" s="9" t="s">
        <v>5833</v>
      </c>
      <c r="J448" s="25" t="str">
        <f>IF(shinsei_strtower03_KOUJI_TEXT="","",shinsei_strtower03_KOUJI_TEXT)</f>
        <v/>
      </c>
      <c r="K448" s="10" t="s">
        <v>3862</v>
      </c>
      <c r="L448" s="10" t="s">
        <v>3879</v>
      </c>
    </row>
    <row r="449" spans="1:12" s="10" customFormat="1" ht="18" customHeight="1">
      <c r="A449" s="12"/>
      <c r="B449" s="12" t="s">
        <v>3888</v>
      </c>
      <c r="C449" s="11"/>
      <c r="D449" s="11"/>
      <c r="E449" s="11"/>
      <c r="F449" s="11"/>
      <c r="G449" s="9" t="s">
        <v>5834</v>
      </c>
      <c r="H449" s="13"/>
      <c r="I449" s="9" t="s">
        <v>5835</v>
      </c>
      <c r="J449" s="25" t="str">
        <f>IF(shinsei_strtower03_KOUZOU_TEXT="","",shinsei_strtower03_KOUZOU_TEXT)</f>
        <v/>
      </c>
    </row>
    <row r="450" spans="1:12" s="10" customFormat="1" ht="18" customHeight="1">
      <c r="A450" s="12"/>
      <c r="B450" s="12" t="s">
        <v>3888</v>
      </c>
      <c r="C450" s="12"/>
      <c r="D450" s="12"/>
      <c r="E450" s="11"/>
      <c r="F450" s="11"/>
      <c r="G450" s="9" t="s">
        <v>5836</v>
      </c>
      <c r="H450" s="13" t="s">
        <v>11787</v>
      </c>
      <c r="I450" s="9" t="s">
        <v>5837</v>
      </c>
      <c r="J450" s="25" t="str">
        <f>IF(shinsei_strtower03_KOUZOU_TEXT="","",shinsei_strtower03_KOUZOU_TEXT)</f>
        <v/>
      </c>
    </row>
    <row r="451" spans="1:12" s="10" customFormat="1" ht="18" customHeight="1">
      <c r="A451" s="12"/>
      <c r="B451" s="12" t="s">
        <v>3893</v>
      </c>
      <c r="C451" s="11"/>
      <c r="D451" s="11"/>
      <c r="E451" s="11"/>
      <c r="F451" s="11"/>
      <c r="G451" s="9" t="s">
        <v>5838</v>
      </c>
      <c r="H451" s="13"/>
      <c r="I451" s="9" t="s">
        <v>5839</v>
      </c>
      <c r="J451" s="25" t="str">
        <f>IF(shinsei_strtower03_KOUZOU_KEISAN="","",shinsei_strtower03_KOUZOU_KEISAN)</f>
        <v/>
      </c>
    </row>
    <row r="452" spans="1:12" s="10" customFormat="1" ht="18" customHeight="1">
      <c r="A452" s="12"/>
      <c r="B452" s="12" t="s">
        <v>3893</v>
      </c>
      <c r="C452" s="12"/>
      <c r="D452" s="12"/>
      <c r="E452" s="11"/>
      <c r="F452" s="11"/>
      <c r="G452" s="9" t="s">
        <v>5840</v>
      </c>
      <c r="H452" s="13" t="s">
        <v>11787</v>
      </c>
      <c r="I452" s="10" t="s">
        <v>5841</v>
      </c>
      <c r="J452" s="25" t="str">
        <f>IF(shinsei_strtower03_KOUZOU_KEISAN_TEXT="","",shinsei_strtower03_KOUZOU_KEISAN_TEXT)</f>
        <v/>
      </c>
    </row>
    <row r="453" spans="1:12" s="10" customFormat="1" ht="18" customHeight="1">
      <c r="A453" s="12"/>
      <c r="B453" s="12" t="s">
        <v>3902</v>
      </c>
      <c r="C453" s="12"/>
      <c r="D453" s="12"/>
      <c r="E453" s="11"/>
      <c r="F453" s="11"/>
      <c r="G453" s="9" t="s">
        <v>5842</v>
      </c>
      <c r="H453" s="65"/>
      <c r="I453" s="19" t="s">
        <v>5843</v>
      </c>
      <c r="J453" s="168" t="str">
        <f>IF(shinsei_strtower03_MENSEKI="","",shinsei_strtower03_MENSEKI)</f>
        <v/>
      </c>
      <c r="K453" s="10" t="s">
        <v>3906</v>
      </c>
      <c r="L453" s="10" t="s">
        <v>3906</v>
      </c>
    </row>
    <row r="454" spans="1:12" ht="18" customHeight="1">
      <c r="A454" s="12"/>
      <c r="B454" s="12"/>
      <c r="C454" s="12"/>
      <c r="D454" s="12"/>
      <c r="E454" s="12" t="s">
        <v>3907</v>
      </c>
      <c r="F454" s="12"/>
      <c r="G454" s="9"/>
      <c r="H454" s="9"/>
      <c r="I454" s="9" t="s">
        <v>5844</v>
      </c>
      <c r="J454" s="168" t="str">
        <f>IF(shinsei_strtower03_MENSEKI="","",TEXT(shinsei_strtower03_MENSEKI,"#,##0.00_ ")&amp;"㎡")</f>
        <v/>
      </c>
    </row>
    <row r="455" spans="1:12" s="10" customFormat="1" ht="18" customHeight="1">
      <c r="A455" s="12"/>
      <c r="B455" s="12" t="s">
        <v>4390</v>
      </c>
      <c r="C455" s="12"/>
      <c r="D455" s="12"/>
      <c r="E455" s="11"/>
      <c r="F455" s="11"/>
      <c r="G455" s="9" t="s">
        <v>5845</v>
      </c>
      <c r="H455" s="93"/>
      <c r="I455" s="9" t="s">
        <v>5846</v>
      </c>
      <c r="J455" s="170" t="str">
        <f>IF(shinsei_strtower03_MAX_TAKASA="","",shinsei_strtower03_MAX_TAKASA)</f>
        <v/>
      </c>
      <c r="K455" s="10" t="s">
        <v>3911</v>
      </c>
      <c r="L455" s="10" t="s">
        <v>3911</v>
      </c>
    </row>
    <row r="456" spans="1:12" s="10" customFormat="1" ht="18" customHeight="1">
      <c r="A456" s="12"/>
      <c r="B456" s="12" t="s">
        <v>4388</v>
      </c>
      <c r="C456" s="11"/>
      <c r="D456" s="11"/>
      <c r="E456" s="11"/>
      <c r="F456" s="11"/>
      <c r="G456" s="9" t="s">
        <v>5847</v>
      </c>
      <c r="H456" s="93"/>
      <c r="I456" s="9" t="s">
        <v>5848</v>
      </c>
      <c r="J456" s="170" t="str">
        <f>IF(shinsei_strtower03_MAX_NOKI_TAKASA="","",shinsei_strtower03_MAX_NOKI_TAKASA)</f>
        <v/>
      </c>
    </row>
    <row r="457" spans="1:12" s="10" customFormat="1" ht="18" customHeight="1">
      <c r="A457" s="12"/>
      <c r="B457" s="12" t="s">
        <v>3782</v>
      </c>
      <c r="C457" s="12"/>
      <c r="D457" s="12"/>
      <c r="E457" s="11"/>
      <c r="F457" s="11"/>
      <c r="G457" s="9"/>
      <c r="H457" s="9"/>
      <c r="I457" s="9"/>
    </row>
    <row r="458" spans="1:12" s="10" customFormat="1" ht="18" customHeight="1">
      <c r="A458" s="12"/>
      <c r="B458" s="12"/>
      <c r="C458" s="11" t="s">
        <v>3783</v>
      </c>
      <c r="D458" s="12"/>
      <c r="G458" s="9" t="s">
        <v>5849</v>
      </c>
      <c r="H458" s="136"/>
      <c r="I458" s="9" t="s">
        <v>5850</v>
      </c>
      <c r="J458" s="171" t="str">
        <f>IF(shinsei_strtower03_KAISU_TIJYOU="","",shinsei_strtower03_KAISU_TIJYOU)</f>
        <v/>
      </c>
      <c r="K458" s="10" t="s">
        <v>3920</v>
      </c>
      <c r="L458" s="10" t="s">
        <v>3920</v>
      </c>
    </row>
    <row r="459" spans="1:12" s="10" customFormat="1" ht="18" customHeight="1">
      <c r="A459" s="12"/>
      <c r="B459" s="12"/>
      <c r="C459" s="11" t="s">
        <v>3785</v>
      </c>
      <c r="D459" s="12"/>
      <c r="G459" s="9" t="s">
        <v>5851</v>
      </c>
      <c r="H459" s="136"/>
      <c r="I459" s="9" t="s">
        <v>5852</v>
      </c>
      <c r="J459" s="171" t="str">
        <f>IF(shinsei_strtower03_KAISU_TIKA="","",shinsei_strtower03_KAISU_TIKA)</f>
        <v/>
      </c>
      <c r="K459" s="10" t="s">
        <v>3916</v>
      </c>
      <c r="L459" s="10" t="s">
        <v>3916</v>
      </c>
    </row>
    <row r="460" spans="1:12" s="10" customFormat="1" ht="18" customHeight="1">
      <c r="A460" s="12"/>
      <c r="B460" s="12"/>
      <c r="C460" s="11" t="s">
        <v>3787</v>
      </c>
      <c r="D460" s="12"/>
      <c r="G460" s="9" t="s">
        <v>5853</v>
      </c>
      <c r="H460" s="136"/>
      <c r="I460" s="9" t="s">
        <v>5854</v>
      </c>
      <c r="J460" s="171" t="str">
        <f>IF(shinsei_strtower03_KAISU_TOUYA="","",shinsei_strtower03_KAISU_TOUYA)</f>
        <v/>
      </c>
      <c r="K460" s="10" t="s">
        <v>3916</v>
      </c>
      <c r="L460" s="10" t="s">
        <v>3916</v>
      </c>
    </row>
    <row r="461" spans="1:12" s="10" customFormat="1" ht="18" customHeight="1">
      <c r="B461" s="12" t="s">
        <v>3923</v>
      </c>
      <c r="G461" s="9" t="s">
        <v>5855</v>
      </c>
      <c r="H461" s="13"/>
      <c r="I461" s="10" t="s">
        <v>5856</v>
      </c>
      <c r="J461" s="25" t="str">
        <f>IF(shinsei_strtower03_BUILD_KUBUN="","",shinsei_strtower03_BUILD_KUBUN)</f>
        <v/>
      </c>
    </row>
    <row r="462" spans="1:12" s="10" customFormat="1" ht="18" customHeight="1">
      <c r="B462" s="12" t="s">
        <v>3923</v>
      </c>
      <c r="C462" s="12"/>
      <c r="D462" s="12"/>
      <c r="G462" s="9" t="s">
        <v>5857</v>
      </c>
      <c r="H462" s="13" t="s">
        <v>11787</v>
      </c>
      <c r="I462" s="10" t="s">
        <v>5858</v>
      </c>
      <c r="J462" s="25" t="str">
        <f>IF(shinsei_strtower03_BUILD_KUBUN_TEXT="","",shinsei_strtower03_BUILD_KUBUN_TEXT)</f>
        <v/>
      </c>
      <c r="K462" s="10" t="s">
        <v>3862</v>
      </c>
    </row>
    <row r="463" spans="1:12" s="10" customFormat="1" ht="18" customHeight="1">
      <c r="A463" s="149"/>
      <c r="B463" s="149"/>
      <c r="C463" s="149" t="s">
        <v>3801</v>
      </c>
      <c r="D463" s="149"/>
      <c r="E463" s="149"/>
      <c r="F463" s="149"/>
      <c r="G463" s="149"/>
      <c r="H463" s="12"/>
      <c r="I463" s="149" t="s">
        <v>5859</v>
      </c>
      <c r="J463" s="20" t="str">
        <f>IF(shinsei_strtower03_BUILD_KUBUN_TEXT="建築基準法第20条第２号に掲げる建築物","■","□")</f>
        <v>□</v>
      </c>
    </row>
    <row r="464" spans="1:12" s="10" customFormat="1" ht="18" customHeight="1">
      <c r="A464" s="149"/>
      <c r="B464" s="149"/>
      <c r="C464" s="149" t="s">
        <v>3801</v>
      </c>
      <c r="D464" s="149"/>
      <c r="E464" s="149"/>
      <c r="F464" s="149"/>
      <c r="G464" s="149"/>
      <c r="H464" s="12"/>
      <c r="I464" s="149" t="s">
        <v>5860</v>
      </c>
      <c r="J464" s="20" t="str">
        <f>IF(shinsei_strtower03_BUILD_KUBUN_TEXT="建築基準法第20条第３号に掲げる建築物","■","□")</f>
        <v>□</v>
      </c>
    </row>
    <row r="465" spans="1:12" s="10" customFormat="1" ht="18" customHeight="1">
      <c r="A465" s="12"/>
      <c r="B465" s="12" t="s">
        <v>3932</v>
      </c>
      <c r="C465" s="12"/>
      <c r="D465" s="12"/>
      <c r="E465" s="11"/>
      <c r="F465" s="11"/>
      <c r="G465" s="9" t="s">
        <v>5861</v>
      </c>
      <c r="H465" s="13" t="s">
        <v>11787</v>
      </c>
      <c r="I465" s="9" t="s">
        <v>5862</v>
      </c>
      <c r="J465" s="25" t="str">
        <f>IF(shinsei_strtower03_MENJYO_TEXT="","",shinsei_strtower03_MENJYO_TEXT)</f>
        <v/>
      </c>
      <c r="K465" s="10" t="s">
        <v>3862</v>
      </c>
    </row>
    <row r="466" spans="1:12" s="10" customFormat="1" ht="18" customHeight="1">
      <c r="A466" s="12"/>
      <c r="B466" s="12" t="s">
        <v>3935</v>
      </c>
      <c r="C466" s="12"/>
      <c r="D466" s="12"/>
      <c r="E466" s="11"/>
      <c r="F466" s="11"/>
      <c r="G466" s="9" t="s">
        <v>5863</v>
      </c>
      <c r="H466" s="20"/>
      <c r="I466" s="9" t="s">
        <v>5864</v>
      </c>
      <c r="J466" s="25" t="str">
        <f>IF(shinsei_strtower03_PROGRAM_KIND="","",shinsei_strtower03_PROGRAM_KIND)</f>
        <v/>
      </c>
      <c r="K466" s="10" t="s">
        <v>5704</v>
      </c>
    </row>
    <row r="467" spans="1:12" s="10" customFormat="1" ht="18" customHeight="1">
      <c r="B467" s="12" t="s">
        <v>3939</v>
      </c>
      <c r="C467" s="12"/>
      <c r="D467" s="12"/>
      <c r="G467" s="9" t="s">
        <v>5865</v>
      </c>
      <c r="H467" s="13" t="s">
        <v>11787</v>
      </c>
      <c r="I467" s="10" t="s">
        <v>5866</v>
      </c>
      <c r="J467" s="25" t="str">
        <f>IF(shinsei_strtower03_REI80_2_KOKUJI_TEXT="","",shinsei_strtower03_REI80_2_KOKUJI_TEXT)</f>
        <v/>
      </c>
    </row>
    <row r="468" spans="1:12" s="10" customFormat="1" ht="18" customHeight="1">
      <c r="B468" s="12" t="s">
        <v>3943</v>
      </c>
      <c r="C468" s="12"/>
      <c r="D468" s="12"/>
      <c r="G468" s="9" t="s">
        <v>5867</v>
      </c>
      <c r="H468" s="13" t="s">
        <v>11814</v>
      </c>
      <c r="I468" s="10" t="s">
        <v>5868</v>
      </c>
      <c r="J468" s="25">
        <f>IF(shinsei_strtower03_PROGRAM_KIND__nintei__box="■",2,IF(OR(shinsei_strtower03_PROGRAM_KIND__hyouka__box="■",shinsei_strtower03_PROGRAM_KIND__sonota__box="■"),1,0))</f>
        <v>0</v>
      </c>
      <c r="K468" s="10" t="s">
        <v>3946</v>
      </c>
    </row>
    <row r="469" spans="1:12" s="10" customFormat="1" ht="18" customHeight="1">
      <c r="B469" s="12" t="s">
        <v>3947</v>
      </c>
      <c r="C469" s="12"/>
      <c r="D469" s="12"/>
      <c r="G469" s="9" t="s">
        <v>5869</v>
      </c>
      <c r="H469" s="13" t="s">
        <v>11814</v>
      </c>
    </row>
    <row r="470" spans="1:12" s="10" customFormat="1" ht="18" customHeight="1">
      <c r="B470" s="12" t="s">
        <v>4305</v>
      </c>
      <c r="C470" s="12"/>
      <c r="D470" s="12"/>
      <c r="G470" s="9" t="s">
        <v>5870</v>
      </c>
      <c r="H470" s="13" t="s">
        <v>11814</v>
      </c>
    </row>
    <row r="471" spans="1:12" s="10" customFormat="1" ht="18" customHeight="1">
      <c r="B471" s="105" t="s">
        <v>3950</v>
      </c>
      <c r="C471" s="105"/>
      <c r="D471" s="105"/>
      <c r="E471" s="24"/>
      <c r="F471" s="24"/>
      <c r="G471" s="9"/>
      <c r="H471" s="12"/>
    </row>
    <row r="472" spans="1:12" s="10" customFormat="1" ht="18" customHeight="1">
      <c r="C472" s="10" t="s">
        <v>3951</v>
      </c>
      <c r="D472" s="12"/>
      <c r="G472" s="9" t="s">
        <v>5871</v>
      </c>
      <c r="H472" s="13" t="s">
        <v>11787</v>
      </c>
      <c r="I472" s="10" t="s">
        <v>5872</v>
      </c>
      <c r="J472" s="25" t="str">
        <f>IF(shinsei_strtower03_prgo01_NAME="","",shinsei_strtower03_prgo01_NAME)</f>
        <v/>
      </c>
      <c r="K472" s="10" t="s">
        <v>3862</v>
      </c>
      <c r="L472" s="10" t="s">
        <v>3879</v>
      </c>
    </row>
    <row r="473" spans="1:12" s="10" customFormat="1" ht="18" customHeight="1">
      <c r="C473" s="12" t="s">
        <v>3954</v>
      </c>
      <c r="D473" s="12"/>
      <c r="E473" s="12"/>
      <c r="F473" s="12"/>
      <c r="G473" s="9" t="s">
        <v>5873</v>
      </c>
      <c r="H473" s="13" t="s">
        <v>11787</v>
      </c>
      <c r="I473" s="10" t="s">
        <v>5874</v>
      </c>
      <c r="J473" s="25" t="str">
        <f>IF(shinsei_strtower03_prgo01_VER="","","Ver."&amp;shinsei_strtower03_prgo01_VER)</f>
        <v/>
      </c>
    </row>
    <row r="474" spans="1:12" s="10" customFormat="1" ht="18" customHeight="1">
      <c r="C474" s="12" t="s">
        <v>3957</v>
      </c>
      <c r="D474" s="12"/>
      <c r="G474" s="9"/>
      <c r="H474" s="9"/>
      <c r="I474" s="10" t="s">
        <v>5875</v>
      </c>
      <c r="J474" s="25" t="str">
        <f>IF(shinsei_strtower03_prgo01_NAME="","",IF(shinsei_strtower03_prgo01_NINTEI_NO="","無","有"))</f>
        <v/>
      </c>
      <c r="K474" s="10" t="s">
        <v>3959</v>
      </c>
      <c r="L474" s="10" t="s">
        <v>3879</v>
      </c>
    </row>
    <row r="475" spans="1:12" s="10" customFormat="1" ht="18" customHeight="1">
      <c r="C475" s="12" t="s">
        <v>3960</v>
      </c>
      <c r="D475" s="12"/>
      <c r="G475" s="9" t="s">
        <v>5876</v>
      </c>
      <c r="H475" s="13" t="s">
        <v>11787</v>
      </c>
      <c r="I475" s="10" t="s">
        <v>5877</v>
      </c>
      <c r="J475" s="25" t="str">
        <f>IF(shinsei_strtower03_prgo01_NINTEI_NO="","",shinsei_strtower03_prgo01_NINTEI_NO)</f>
        <v/>
      </c>
      <c r="K475" s="10" t="s">
        <v>3862</v>
      </c>
      <c r="L475" s="10" t="s">
        <v>3879</v>
      </c>
    </row>
    <row r="476" spans="1:12" s="10" customFormat="1" ht="18" customHeight="1">
      <c r="C476" s="12" t="s">
        <v>3964</v>
      </c>
      <c r="D476" s="12"/>
      <c r="G476" s="9" t="s">
        <v>5878</v>
      </c>
      <c r="H476" s="74"/>
      <c r="I476" s="10" t="s">
        <v>5879</v>
      </c>
      <c r="J476" s="25" t="str">
        <f>IF(shinsei_strtower03_prgo01_NINTEI_DATE="","",TEXT(shinsei_strtower03_prgo01_NINTEI_DATE,"ggge年m月d日")&amp;"  ")</f>
        <v/>
      </c>
    </row>
    <row r="477" spans="1:12" s="10" customFormat="1" ht="18" customHeight="1">
      <c r="C477" s="12" t="s">
        <v>3967</v>
      </c>
      <c r="D477" s="12"/>
      <c r="G477" s="9" t="s">
        <v>5880</v>
      </c>
      <c r="H477" s="13" t="s">
        <v>11787</v>
      </c>
    </row>
    <row r="478" spans="1:12" s="10" customFormat="1" ht="18" customHeight="1">
      <c r="C478" s="12" t="s">
        <v>3970</v>
      </c>
      <c r="D478" s="12"/>
      <c r="G478" s="9"/>
      <c r="H478" s="12"/>
      <c r="I478" s="9" t="s">
        <v>5881</v>
      </c>
      <c r="J478" s="25" t="str">
        <f>IF(shinsei_strtower03_prgo01_NAME="","",shinsei_strtower03_prgo01_NAME)&amp;CHAR(10)&amp;IF(shinsei_strtower03_prgo01_VER="","","Ver."&amp;shinsei_strtower03_prgo01_VER&amp;CHAR(10))</f>
        <v xml:space="preserve">
</v>
      </c>
    </row>
    <row r="479" spans="1:12" s="10" customFormat="1" ht="18" customHeight="1">
      <c r="C479" s="12" t="s">
        <v>3972</v>
      </c>
      <c r="D479" s="12"/>
      <c r="G479" s="9"/>
      <c r="H479" s="12"/>
      <c r="I479" s="9" t="s">
        <v>5882</v>
      </c>
      <c r="J479" s="25" t="str">
        <f>IF(shinsei_strtower03_prgo01_NAME="","",shinsei_strtower03_prgo01_NAME&amp;" ")&amp;IF(shinsei_strtower03_prgo01_VER="","","Ver."&amp;shinsei_strtower03_prgo01_VER&amp;"  ")</f>
        <v/>
      </c>
    </row>
    <row r="480" spans="1:12" s="10" customFormat="1" ht="18" customHeight="1">
      <c r="C480" s="12" t="s">
        <v>3974</v>
      </c>
      <c r="D480" s="12"/>
      <c r="G480" s="9"/>
      <c r="H480" s="12"/>
    </row>
    <row r="481" spans="1:12" s="10" customFormat="1" ht="18" customHeight="1">
      <c r="D481" s="12" t="s">
        <v>3975</v>
      </c>
      <c r="F481" s="172" t="s">
        <v>3977</v>
      </c>
      <c r="I481" s="9" t="s">
        <v>5883</v>
      </c>
      <c r="J481" s="173" t="str">
        <f>IF(cst_shinsei_strtower03_prgo01_NINTEI__umu="有",shinsei_strtower03_prgo01_MAKER_NAME,"")</f>
        <v/>
      </c>
    </row>
    <row r="482" spans="1:12" s="10" customFormat="1" ht="18" customHeight="1">
      <c r="B482" s="12"/>
      <c r="D482" s="12" t="s">
        <v>3972</v>
      </c>
      <c r="G482" s="9"/>
      <c r="H482" s="12"/>
      <c r="I482" s="9" t="s">
        <v>5884</v>
      </c>
      <c r="J482" s="25" t="str">
        <f>IF(cst_shinsei_strtower03_prgo01_NINTEI__umu="有",IF(shinsei_strtower03_prgo01_NAME="","",shinsei_strtower03_prgo01_NAME&amp;" ")&amp;IF(shinsei_strtower03_prgo01_VER="","","Ver."&amp;shinsei_strtower03_prgo01_VER&amp;"  "),"")</f>
        <v/>
      </c>
    </row>
    <row r="483" spans="1:12" s="10" customFormat="1" ht="18" customHeight="1">
      <c r="C483" s="12" t="s">
        <v>3981</v>
      </c>
      <c r="D483" s="12"/>
      <c r="G483" s="9"/>
      <c r="H483" s="12"/>
    </row>
    <row r="484" spans="1:12" s="10" customFormat="1" ht="18" customHeight="1">
      <c r="B484" s="12"/>
      <c r="D484" s="12" t="s">
        <v>3975</v>
      </c>
      <c r="G484" s="9"/>
      <c r="H484" s="12"/>
      <c r="I484" s="9" t="s">
        <v>5885</v>
      </c>
      <c r="J484" s="173" t="str">
        <f>IF(cst_shinsei_strtower03_prgo01_NINTEI__umu="無",IF(shinsei_strtower03_prgo01_MAKER_NAME="","",shinsei_strtower03_prgo01_MAKER_NAME&amp;"  "),"")</f>
        <v/>
      </c>
    </row>
    <row r="485" spans="1:12" s="10" customFormat="1" ht="18" customHeight="1">
      <c r="B485" s="12"/>
      <c r="D485" s="12" t="s">
        <v>3972</v>
      </c>
      <c r="G485" s="9"/>
      <c r="H485" s="12"/>
      <c r="I485" s="9" t="s">
        <v>5886</v>
      </c>
      <c r="J485" s="25" t="str">
        <f>IF(cst_shinsei_strtower03_prgo01_NINTEI__umu="無",IF(shinsei_strtower03_prgo01_NAME="","",shinsei_strtower03_prgo01_NAME&amp;" ")&amp;IF(shinsei_strtower03_prgo01_VER="","","Ver."&amp;shinsei_strtower03_prgo01_VER&amp;"  "),"")</f>
        <v/>
      </c>
    </row>
    <row r="486" spans="1:12" s="166" customFormat="1" ht="18" customHeight="1">
      <c r="A486" s="174"/>
      <c r="C486" s="172" t="s">
        <v>3985</v>
      </c>
      <c r="D486" s="172"/>
      <c r="E486" s="172"/>
      <c r="F486" s="172"/>
      <c r="G486" s="172"/>
      <c r="I486" s="166" t="s">
        <v>5887</v>
      </c>
      <c r="J486" s="173" t="str">
        <f>IF(cst_shinsei_strtower03_prgo01_NINTEI__umu="有",cst_shinsei_strtower03_prgo01_NAME,"")</f>
        <v/>
      </c>
    </row>
    <row r="487" spans="1:12" s="166" customFormat="1" ht="18" customHeight="1">
      <c r="A487" s="174"/>
      <c r="C487" s="172" t="s">
        <v>3987</v>
      </c>
      <c r="D487" s="172"/>
      <c r="E487" s="172"/>
      <c r="F487" s="172"/>
      <c r="G487" s="172"/>
      <c r="I487" s="10" t="s">
        <v>5888</v>
      </c>
      <c r="J487" s="173" t="str">
        <f>IF(cst_shinsei_strtower03_prgo01_NINTEI__umu="有",cst_shinsei_strtower03_prgo01_VER,"")</f>
        <v/>
      </c>
    </row>
    <row r="488" spans="1:12" s="166" customFormat="1" ht="18" customHeight="1">
      <c r="A488" s="174"/>
      <c r="C488" s="172" t="s">
        <v>3990</v>
      </c>
      <c r="D488" s="172"/>
      <c r="E488" s="172"/>
      <c r="F488" s="172"/>
      <c r="G488" s="172"/>
      <c r="I488" s="166" t="s">
        <v>5889</v>
      </c>
      <c r="J488" s="173" t="str">
        <f>IF(cst_shinsei_strtower03_prgo01_NINTEI__umu="有",shinsei_strtower03_prgo01_NINTEI_DATE,"")</f>
        <v/>
      </c>
    </row>
    <row r="489" spans="1:12" s="166" customFormat="1" ht="18" customHeight="1">
      <c r="A489" s="174"/>
      <c r="C489" s="172" t="s">
        <v>3993</v>
      </c>
      <c r="D489" s="172"/>
      <c r="E489" s="172"/>
      <c r="F489" s="172"/>
      <c r="G489" s="172"/>
      <c r="I489" s="166" t="s">
        <v>5890</v>
      </c>
      <c r="J489" s="173" t="str">
        <f>IF(cst_shinsei_strtower03_prgo01_NINTEI__umu="無",shinsei_strtower03_prgo01_MAKER_NAME,"")</f>
        <v/>
      </c>
    </row>
    <row r="490" spans="1:12" s="166" customFormat="1" ht="18" customHeight="1">
      <c r="A490" s="174"/>
      <c r="C490" s="172" t="s">
        <v>5732</v>
      </c>
      <c r="D490" s="172"/>
      <c r="E490" s="172"/>
      <c r="F490" s="172"/>
      <c r="G490" s="172"/>
      <c r="I490" s="166" t="s">
        <v>5891</v>
      </c>
      <c r="J490" s="173" t="str">
        <f>IF(cst_shinsei_strtower03_prgo01_NINTEI__umu="無",cst_shinsei_strtower03_prgo01_NAME,"")</f>
        <v/>
      </c>
    </row>
    <row r="491" spans="1:12" s="166" customFormat="1" ht="18" customHeight="1">
      <c r="A491" s="174"/>
      <c r="C491" s="172" t="s">
        <v>3997</v>
      </c>
      <c r="D491" s="172"/>
      <c r="E491" s="172"/>
      <c r="F491" s="172"/>
      <c r="G491" s="172"/>
      <c r="I491" s="10" t="s">
        <v>5892</v>
      </c>
      <c r="J491" s="173" t="str">
        <f>IF(cst_shinsei_strtower03_prgo01_NINTEI__umu="無",cst_shinsei_strtower03_prgo01_VER,"")</f>
        <v/>
      </c>
    </row>
    <row r="492" spans="1:12" s="10" customFormat="1" ht="18" customHeight="1">
      <c r="B492" s="105" t="s">
        <v>4000</v>
      </c>
      <c r="C492" s="105"/>
      <c r="D492" s="105"/>
      <c r="E492" s="24"/>
      <c r="F492" s="24"/>
      <c r="G492" s="9"/>
      <c r="H492" s="12"/>
    </row>
    <row r="493" spans="1:12" s="10" customFormat="1" ht="18" customHeight="1">
      <c r="C493" s="10" t="s">
        <v>3951</v>
      </c>
      <c r="D493" s="12"/>
      <c r="G493" s="9" t="s">
        <v>5893</v>
      </c>
      <c r="H493" s="13"/>
      <c r="K493" s="10" t="s">
        <v>3862</v>
      </c>
      <c r="L493" s="10" t="s">
        <v>3879</v>
      </c>
    </row>
    <row r="494" spans="1:12" s="10" customFormat="1" ht="18" customHeight="1">
      <c r="C494" s="12" t="s">
        <v>3954</v>
      </c>
      <c r="D494" s="12"/>
      <c r="G494" s="9" t="s">
        <v>5894</v>
      </c>
      <c r="H494" s="13"/>
    </row>
    <row r="495" spans="1:12" s="10" customFormat="1" ht="18" customHeight="1">
      <c r="C495" s="12" t="s">
        <v>3957</v>
      </c>
      <c r="D495" s="12"/>
      <c r="G495" s="9"/>
      <c r="H495" s="9"/>
      <c r="I495" s="10" t="s">
        <v>5895</v>
      </c>
      <c r="J495" s="25" t="str">
        <f>IF(shinsei_strtower03_prgo02_NAME="","",IF(shinsei_strtower03_prgo02_NINTEI_NO="","無","有"))</f>
        <v/>
      </c>
      <c r="K495" s="10" t="s">
        <v>2941</v>
      </c>
      <c r="L495" s="10" t="s">
        <v>3879</v>
      </c>
    </row>
    <row r="496" spans="1:12" s="10" customFormat="1" ht="18" customHeight="1">
      <c r="C496" s="12" t="s">
        <v>3960</v>
      </c>
      <c r="D496" s="12"/>
      <c r="G496" s="9" t="s">
        <v>5896</v>
      </c>
      <c r="H496" s="13"/>
      <c r="K496" s="10" t="s">
        <v>5897</v>
      </c>
      <c r="L496" s="10" t="s">
        <v>3879</v>
      </c>
    </row>
    <row r="497" spans="2:12" s="10" customFormat="1" ht="18" customHeight="1">
      <c r="C497" s="12" t="s">
        <v>3964</v>
      </c>
      <c r="D497" s="12"/>
      <c r="G497" s="9" t="s">
        <v>5898</v>
      </c>
      <c r="H497" s="74"/>
      <c r="I497" s="10" t="s">
        <v>5899</v>
      </c>
      <c r="J497" s="25" t="str">
        <f>IF(shinsei_strtower03_prgo02_NINTEI_DATE="","",shinsei_strtower03_prgo02_NINTEI_DATE)</f>
        <v/>
      </c>
    </row>
    <row r="498" spans="2:12" s="10" customFormat="1" ht="18" customHeight="1">
      <c r="C498" s="12" t="s">
        <v>3967</v>
      </c>
      <c r="D498" s="12"/>
      <c r="G498" s="9" t="s">
        <v>5900</v>
      </c>
      <c r="H498" s="13"/>
    </row>
    <row r="499" spans="2:12" s="10" customFormat="1" ht="18" customHeight="1">
      <c r="C499" s="12" t="s">
        <v>3970</v>
      </c>
      <c r="D499" s="12"/>
      <c r="G499" s="9"/>
      <c r="H499" s="12"/>
      <c r="I499" s="9" t="s">
        <v>5901</v>
      </c>
      <c r="J499" s="25" t="str">
        <f>IF(shinsei_strtower03_prgo02_NAME="","",shinsei_strtower03_prgo02_NAME)&amp;CHAR(10)&amp;IF(shinsei_strtower03_prgo02_VER="","","Ver."&amp;shinsei_strtower03_prgo02_VER&amp;CHAR(10))</f>
        <v xml:space="preserve">
</v>
      </c>
    </row>
    <row r="500" spans="2:12" s="10" customFormat="1" ht="18" customHeight="1">
      <c r="C500" s="12" t="s">
        <v>3972</v>
      </c>
      <c r="D500" s="12"/>
      <c r="G500" s="9"/>
      <c r="H500" s="12"/>
      <c r="I500" s="9" t="s">
        <v>5902</v>
      </c>
      <c r="J500" s="25" t="str">
        <f>IF(shinsei_strtower03_prgo02_NAME="","",shinsei_strtower03_prgo02_NAME&amp;" ")&amp;IF(shinsei_strtower03_prgo02_VER="","","Ver."&amp;shinsei_strtower03_prgo02_VER&amp;"  ")</f>
        <v/>
      </c>
    </row>
    <row r="501" spans="2:12" s="10" customFormat="1" ht="18" customHeight="1">
      <c r="C501" s="12" t="s">
        <v>3974</v>
      </c>
      <c r="D501" s="12"/>
      <c r="G501" s="9"/>
      <c r="H501" s="12"/>
    </row>
    <row r="502" spans="2:12" s="10" customFormat="1" ht="18" customHeight="1">
      <c r="D502" s="12" t="s">
        <v>3975</v>
      </c>
      <c r="G502" s="9"/>
      <c r="H502" s="12"/>
      <c r="I502" s="9" t="s">
        <v>5903</v>
      </c>
      <c r="J502" s="173" t="str">
        <f>IF(cst_shinsei_strtower03_prgo02_NINTEI__umu="有",IF(shinsei_strtower03_prgo02_MAKER_NAME="","",shinsei_strtower03_prgo02_MAKER_NAME&amp;"  "),"")</f>
        <v/>
      </c>
    </row>
    <row r="503" spans="2:12" s="10" customFormat="1" ht="18" customHeight="1">
      <c r="D503" s="12" t="s">
        <v>3972</v>
      </c>
      <c r="G503" s="9"/>
      <c r="H503" s="12"/>
      <c r="I503" s="9" t="s">
        <v>5904</v>
      </c>
      <c r="J503" s="25" t="str">
        <f>IF(cst_shinsei_strtower03_prgo02_NINTEI__umu="有",IF(shinsei_strtower03_prgo02_NAME="","",shinsei_strtower03_prgo02_NAME&amp;" ")&amp;IF(shinsei_strtower03_prgo02_VER="","","Ver."&amp;shinsei_strtower03_prgo02_VER&amp;"  "),"")</f>
        <v/>
      </c>
    </row>
    <row r="504" spans="2:12" s="10" customFormat="1" ht="18" customHeight="1">
      <c r="C504" s="12" t="s">
        <v>3981</v>
      </c>
      <c r="D504" s="12"/>
      <c r="G504" s="9"/>
      <c r="H504" s="12"/>
    </row>
    <row r="505" spans="2:12" s="10" customFormat="1" ht="18" customHeight="1">
      <c r="D505" s="12" t="s">
        <v>3975</v>
      </c>
      <c r="G505" s="9"/>
      <c r="H505" s="12"/>
      <c r="I505" s="9" t="s">
        <v>5905</v>
      </c>
      <c r="J505" s="173" t="str">
        <f>IF(cst_shinsei_strtower03_prgo02_NINTEI__umu="無",IF(shinsei_strtower03_prgo02_MAKER_NAME="","",shinsei_strtower03_prgo02_MAKER_NAME&amp;"  "),"")</f>
        <v/>
      </c>
    </row>
    <row r="506" spans="2:12" s="10" customFormat="1" ht="18" customHeight="1">
      <c r="D506" s="12" t="s">
        <v>3972</v>
      </c>
      <c r="G506" s="9"/>
      <c r="H506" s="12"/>
      <c r="I506" s="9" t="s">
        <v>5906</v>
      </c>
      <c r="J506" s="25" t="str">
        <f>IF(cst_shinsei_strtower03_prgo02_NINTEI__umu="無",IF(shinsei_strtower03_prgo02_NAME="","",shinsei_strtower03_prgo02_NAME&amp;" ")&amp;IF(shinsei_strtower03_prgo02_VER="","","Ver."&amp;shinsei_strtower03_prgo02_VER&amp;"  "),"")</f>
        <v/>
      </c>
    </row>
    <row r="507" spans="2:12" s="10" customFormat="1" ht="18" customHeight="1">
      <c r="B507" s="105" t="s">
        <v>4016</v>
      </c>
      <c r="C507" s="105"/>
      <c r="D507" s="105"/>
      <c r="E507" s="24"/>
      <c r="F507" s="24"/>
      <c r="G507" s="9"/>
      <c r="H507" s="12"/>
    </row>
    <row r="508" spans="2:12" s="10" customFormat="1" ht="18" customHeight="1">
      <c r="C508" s="10" t="s">
        <v>3951</v>
      </c>
      <c r="D508" s="12"/>
      <c r="G508" s="9" t="s">
        <v>5907</v>
      </c>
      <c r="H508" s="13"/>
      <c r="K508" s="10" t="s">
        <v>3862</v>
      </c>
      <c r="L508" s="10" t="s">
        <v>3879</v>
      </c>
    </row>
    <row r="509" spans="2:12" s="10" customFormat="1" ht="18" customHeight="1">
      <c r="C509" s="12" t="s">
        <v>3954</v>
      </c>
      <c r="D509" s="12"/>
      <c r="G509" s="9" t="s">
        <v>5908</v>
      </c>
      <c r="H509" s="13"/>
    </row>
    <row r="510" spans="2:12" s="10" customFormat="1" ht="18" customHeight="1">
      <c r="C510" s="12" t="s">
        <v>3957</v>
      </c>
      <c r="D510" s="12"/>
      <c r="G510" s="9"/>
      <c r="H510" s="9"/>
      <c r="I510" s="10" t="s">
        <v>5909</v>
      </c>
      <c r="J510" s="25" t="str">
        <f>IF(shinsei_strtower03_prgo03_NAME="","",IF(shinsei_strtower03_prgo03_NINTEI_NO="","無","有"))</f>
        <v/>
      </c>
      <c r="K510" s="10" t="s">
        <v>2941</v>
      </c>
      <c r="L510" s="10" t="s">
        <v>3879</v>
      </c>
    </row>
    <row r="511" spans="2:12" s="10" customFormat="1" ht="18" customHeight="1">
      <c r="C511" s="12" t="s">
        <v>3960</v>
      </c>
      <c r="D511" s="12"/>
      <c r="G511" s="9" t="s">
        <v>5910</v>
      </c>
      <c r="H511" s="13"/>
      <c r="K511" s="10" t="s">
        <v>3862</v>
      </c>
      <c r="L511" s="10" t="s">
        <v>3879</v>
      </c>
    </row>
    <row r="512" spans="2:12" s="10" customFormat="1" ht="18" customHeight="1">
      <c r="C512" s="12" t="s">
        <v>3964</v>
      </c>
      <c r="D512" s="12"/>
      <c r="G512" s="9" t="s">
        <v>5911</v>
      </c>
      <c r="H512" s="74"/>
      <c r="I512" s="10" t="s">
        <v>5912</v>
      </c>
      <c r="J512" s="25" t="str">
        <f>IF(shinsei_strtower03_prgo03_NINTEI_DATE="","",TEXT(shinsei_strtower03_prgo03_NINTEI_DATE,"ggge年m月d日")&amp;"  ")</f>
        <v/>
      </c>
    </row>
    <row r="513" spans="2:12" s="10" customFormat="1" ht="18" customHeight="1">
      <c r="C513" s="12" t="s">
        <v>3967</v>
      </c>
      <c r="D513" s="12"/>
      <c r="G513" s="9" t="s">
        <v>5913</v>
      </c>
      <c r="H513" s="13"/>
      <c r="I513" s="9"/>
      <c r="J513" s="9"/>
    </row>
    <row r="514" spans="2:12" s="10" customFormat="1" ht="18" customHeight="1">
      <c r="C514" s="12" t="s">
        <v>3970</v>
      </c>
      <c r="D514" s="12"/>
      <c r="G514" s="9"/>
      <c r="H514" s="12"/>
      <c r="I514" s="9" t="s">
        <v>5914</v>
      </c>
      <c r="J514" s="25" t="str">
        <f>IF(shinsei_strtower03_prgo03_NAME="","",shinsei_strtower03_prgo03_NAME)&amp;CHAR(10)&amp;IF(shinsei_strtower03_prgo03_VER="","","Ver."&amp;shinsei_strtower03_prgo03_VER&amp;CHAR(10))</f>
        <v xml:space="preserve">
</v>
      </c>
    </row>
    <row r="515" spans="2:12" s="10" customFormat="1" ht="18" customHeight="1">
      <c r="C515" s="12" t="s">
        <v>3972</v>
      </c>
      <c r="D515" s="12"/>
      <c r="G515" s="9"/>
      <c r="H515" s="12"/>
      <c r="I515" s="9" t="s">
        <v>5915</v>
      </c>
      <c r="J515" s="25" t="str">
        <f>IF(shinsei_strtower03_prgo03_NAME="","",shinsei_strtower03_prgo03_NAME&amp;" ")&amp;IF(shinsei_strtower03_prgo03_VER="","","Ver."&amp;shinsei_strtower03_prgo03_VER&amp;"  ")</f>
        <v/>
      </c>
    </row>
    <row r="516" spans="2:12" s="10" customFormat="1" ht="18" customHeight="1">
      <c r="C516" s="12" t="s">
        <v>3974</v>
      </c>
      <c r="D516" s="12"/>
      <c r="G516" s="9"/>
      <c r="H516" s="12"/>
    </row>
    <row r="517" spans="2:12" s="10" customFormat="1" ht="18" customHeight="1">
      <c r="D517" s="12" t="s">
        <v>3975</v>
      </c>
      <c r="G517" s="9"/>
      <c r="H517" s="12"/>
      <c r="I517" s="9" t="s">
        <v>5916</v>
      </c>
      <c r="J517" s="173" t="str">
        <f>IF(cst_shinsei_strtower03_prgo03_NINTEI__umu="有",IF(shinsei_strtower03_prgo03_MAKER_NAME="","",shinsei_strtower03_prgo03_MAKER_NAME&amp;"  "),"")</f>
        <v/>
      </c>
    </row>
    <row r="518" spans="2:12" s="10" customFormat="1" ht="18" customHeight="1">
      <c r="D518" s="12" t="s">
        <v>3972</v>
      </c>
      <c r="G518" s="9"/>
      <c r="H518" s="12"/>
      <c r="I518" s="9" t="s">
        <v>5917</v>
      </c>
      <c r="J518" s="25" t="str">
        <f>IF(cst_shinsei_strtower03_prgo03_NINTEI__umu="有",IF(shinsei_strtower03_prgo03_NAME="","",shinsei_strtower03_prgo03_NAME&amp;" ")&amp;IF(shinsei_strtower03_prgo03_VER="","","Ver."&amp;shinsei_strtower03_prgo03_VER&amp;"  "),"")</f>
        <v/>
      </c>
    </row>
    <row r="519" spans="2:12" s="10" customFormat="1" ht="18" customHeight="1">
      <c r="C519" s="12" t="s">
        <v>3981</v>
      </c>
      <c r="D519" s="12"/>
      <c r="G519" s="9"/>
      <c r="H519" s="12"/>
    </row>
    <row r="520" spans="2:12" s="10" customFormat="1" ht="18" customHeight="1">
      <c r="D520" s="12" t="s">
        <v>3976</v>
      </c>
      <c r="G520" s="9"/>
      <c r="H520" s="12"/>
      <c r="I520" s="9" t="s">
        <v>5918</v>
      </c>
      <c r="J520" s="173" t="str">
        <f>IF(cst_shinsei_strtower03_prgo03_NINTEI__umu="無",IF(shinsei_strtower03_prgo03_MAKER_NAME="","",shinsei_strtower03_prgo03_MAKER_NAME&amp;"  "),"")</f>
        <v/>
      </c>
    </row>
    <row r="521" spans="2:12" s="10" customFormat="1" ht="18" customHeight="1">
      <c r="D521" s="12" t="s">
        <v>3972</v>
      </c>
      <c r="G521" s="9"/>
      <c r="H521" s="12"/>
      <c r="I521" s="9" t="s">
        <v>5919</v>
      </c>
      <c r="J521" s="25" t="str">
        <f>IF(cst_shinsei_strtower03_prgo03_NINTEI__umu="無",IF(shinsei_strtower03_prgo03_NAME="","",shinsei_strtower03_prgo03_NAME&amp;" ")&amp;IF(shinsei_strtower03_prgo03_VER="","","Ver."&amp;shinsei_strtower03_prgo03_VER&amp;"  "),"")</f>
        <v/>
      </c>
    </row>
    <row r="522" spans="2:12" s="10" customFormat="1" ht="18" customHeight="1">
      <c r="B522" s="105" t="s">
        <v>4032</v>
      </c>
      <c r="C522" s="105"/>
      <c r="D522" s="105"/>
      <c r="E522" s="24"/>
      <c r="F522" s="24"/>
      <c r="G522" s="9"/>
      <c r="H522" s="12"/>
    </row>
    <row r="523" spans="2:12" s="10" customFormat="1" ht="18" customHeight="1">
      <c r="C523" s="10" t="s">
        <v>3951</v>
      </c>
      <c r="D523" s="12"/>
      <c r="G523" s="9" t="s">
        <v>5920</v>
      </c>
      <c r="H523" s="13"/>
      <c r="K523" s="10" t="s">
        <v>3863</v>
      </c>
      <c r="L523" s="10" t="s">
        <v>3879</v>
      </c>
    </row>
    <row r="524" spans="2:12" s="10" customFormat="1" ht="18" customHeight="1">
      <c r="C524" s="12" t="s">
        <v>4034</v>
      </c>
      <c r="D524" s="12"/>
      <c r="G524" s="9" t="s">
        <v>5921</v>
      </c>
      <c r="H524" s="13"/>
    </row>
    <row r="525" spans="2:12" s="10" customFormat="1" ht="18" customHeight="1">
      <c r="C525" s="12" t="s">
        <v>3957</v>
      </c>
      <c r="D525" s="12"/>
      <c r="G525" s="9"/>
      <c r="H525" s="9"/>
      <c r="I525" s="10" t="s">
        <v>5922</v>
      </c>
      <c r="J525" s="25" t="str">
        <f>IF(shinsei_strtower03_prgo04_NAME="","",IF(shinsei_strtower03_prgo04_NINTEI_NO="","無","有"))</f>
        <v/>
      </c>
      <c r="K525" s="10" t="s">
        <v>2941</v>
      </c>
      <c r="L525" s="10" t="s">
        <v>3879</v>
      </c>
    </row>
    <row r="526" spans="2:12" s="10" customFormat="1" ht="18" customHeight="1">
      <c r="C526" s="12" t="s">
        <v>3960</v>
      </c>
      <c r="D526" s="12"/>
      <c r="G526" s="9" t="s">
        <v>5923</v>
      </c>
      <c r="H526" s="13"/>
      <c r="K526" s="10" t="s">
        <v>3862</v>
      </c>
      <c r="L526" s="10" t="s">
        <v>3879</v>
      </c>
    </row>
    <row r="527" spans="2:12" s="10" customFormat="1" ht="18" customHeight="1">
      <c r="C527" s="12" t="s">
        <v>3964</v>
      </c>
      <c r="D527" s="12"/>
      <c r="G527" s="9" t="s">
        <v>5924</v>
      </c>
      <c r="H527" s="74"/>
      <c r="I527" s="10" t="s">
        <v>5925</v>
      </c>
      <c r="J527" s="25" t="str">
        <f>IF(shinsei_strtower03_prgo04_NINTEI_DATE="","",TEXT(shinsei_strtower03_prgo04_NINTEI_DATE,"ggge年m月d日")&amp;"  ")</f>
        <v/>
      </c>
    </row>
    <row r="528" spans="2:12" s="10" customFormat="1" ht="18" customHeight="1">
      <c r="C528" s="12" t="s">
        <v>3967</v>
      </c>
      <c r="D528" s="12"/>
      <c r="G528" s="9" t="s">
        <v>5926</v>
      </c>
      <c r="H528" s="13"/>
      <c r="I528" s="9"/>
      <c r="J528" s="9"/>
    </row>
    <row r="529" spans="2:12" s="10" customFormat="1" ht="18" customHeight="1">
      <c r="C529" s="12" t="s">
        <v>3970</v>
      </c>
      <c r="D529" s="12"/>
      <c r="G529" s="9"/>
      <c r="H529" s="12"/>
      <c r="I529" s="9" t="s">
        <v>5927</v>
      </c>
      <c r="J529" s="25" t="str">
        <f>IF(shinsei_strtower03_prgo04_NAME="","",shinsei_strtower03_prgo04_NAME)&amp;CHAR(10)&amp;IF(shinsei_strtower03_prgo04_VER="","","Ver."&amp;shinsei_strtower03_prgo04_VER&amp;CHAR(10))</f>
        <v xml:space="preserve">
</v>
      </c>
    </row>
    <row r="530" spans="2:12" s="10" customFormat="1" ht="18" customHeight="1">
      <c r="C530" s="12" t="s">
        <v>3972</v>
      </c>
      <c r="D530" s="12"/>
      <c r="G530" s="9"/>
      <c r="H530" s="12"/>
      <c r="I530" s="9" t="s">
        <v>5928</v>
      </c>
      <c r="J530" s="25" t="str">
        <f>IF(shinsei_strtower03_prgo04_NAME="","",shinsei_strtower03_prgo04_NAME&amp;" ")&amp;IF(shinsei_strtower03_prgo04_VER="","","Ver."&amp;shinsei_strtower03_prgo04_VER&amp;"  ")</f>
        <v/>
      </c>
    </row>
    <row r="531" spans="2:12" s="10" customFormat="1" ht="18" customHeight="1">
      <c r="C531" s="12" t="s">
        <v>3974</v>
      </c>
      <c r="D531" s="12"/>
      <c r="G531" s="9"/>
      <c r="H531" s="12"/>
    </row>
    <row r="532" spans="2:12" s="10" customFormat="1" ht="18" customHeight="1">
      <c r="D532" s="12" t="s">
        <v>3975</v>
      </c>
      <c r="G532" s="9"/>
      <c r="H532" s="12"/>
      <c r="I532" s="9" t="s">
        <v>5929</v>
      </c>
      <c r="J532" s="173" t="str">
        <f>IF(cst_shinsei_strtower03_prgo04_NINTEI__umu="有",IF(shinsei_strtower03_prgo04_MAKER_NAME="","",shinsei_strtower03_prgo04_MAKER_NAME&amp;"  "),"")</f>
        <v/>
      </c>
    </row>
    <row r="533" spans="2:12" s="10" customFormat="1" ht="18" customHeight="1">
      <c r="D533" s="12" t="s">
        <v>3972</v>
      </c>
      <c r="G533" s="9"/>
      <c r="H533" s="12"/>
      <c r="I533" s="9" t="s">
        <v>5930</v>
      </c>
      <c r="J533" s="25" t="str">
        <f>IF(cst_shinsei_strtower03_prgo04_NINTEI__umu="有",IF(shinsei_strtower03_prgo04_NAME="","",shinsei_strtower03_prgo04_NAME&amp;" ")&amp;IF(shinsei_strtower03_prgo04_VER="","","Ver."&amp;shinsei_strtower03_prgo04_VER&amp;"  "),"")</f>
        <v/>
      </c>
    </row>
    <row r="534" spans="2:12" s="10" customFormat="1" ht="18" customHeight="1">
      <c r="C534" s="12" t="s">
        <v>3981</v>
      </c>
      <c r="D534" s="12"/>
      <c r="G534" s="9"/>
      <c r="H534" s="12"/>
    </row>
    <row r="535" spans="2:12" s="10" customFormat="1" ht="18" customHeight="1">
      <c r="D535" s="12" t="s">
        <v>3975</v>
      </c>
      <c r="G535" s="9"/>
      <c r="H535" s="12"/>
      <c r="I535" s="9" t="s">
        <v>5931</v>
      </c>
      <c r="J535" s="173" t="str">
        <f>IF(cst_shinsei_strtower03_prgo04_NINTEI__umu="無",IF(shinsei_strtower03_prgo04_MAKER_NAME="","",shinsei_strtower03_prgo04_MAKER_NAME&amp;"  "),"")</f>
        <v/>
      </c>
    </row>
    <row r="536" spans="2:12" s="10" customFormat="1" ht="18" customHeight="1">
      <c r="D536" s="12" t="s">
        <v>3972</v>
      </c>
      <c r="G536" s="9"/>
      <c r="H536" s="12"/>
      <c r="I536" s="9" t="s">
        <v>5932</v>
      </c>
      <c r="J536" s="25" t="str">
        <f>IF(cst_shinsei_strtower03_prgo04_NINTEI__umu="無",IF(shinsei_strtower03_prgo04_NAME="","",shinsei_strtower03_prgo04_NAME&amp;" ")&amp;IF(shinsei_strtower03_prgo04_VER="","","Ver."&amp;shinsei_strtower03_prgo04_VER&amp;"  "),"")</f>
        <v/>
      </c>
    </row>
    <row r="537" spans="2:12" s="10" customFormat="1" ht="18" customHeight="1">
      <c r="B537" s="105" t="s">
        <v>4049</v>
      </c>
      <c r="C537" s="105"/>
      <c r="D537" s="105"/>
      <c r="E537" s="24"/>
      <c r="F537" s="24"/>
      <c r="G537" s="9"/>
      <c r="H537" s="12"/>
    </row>
    <row r="538" spans="2:12" s="10" customFormat="1" ht="18" customHeight="1">
      <c r="C538" s="10" t="s">
        <v>3951</v>
      </c>
      <c r="D538" s="12"/>
      <c r="G538" s="9" t="s">
        <v>5933</v>
      </c>
      <c r="H538" s="13"/>
      <c r="K538" s="10" t="s">
        <v>3862</v>
      </c>
      <c r="L538" s="10" t="s">
        <v>3879</v>
      </c>
    </row>
    <row r="539" spans="2:12" s="10" customFormat="1" ht="18" customHeight="1">
      <c r="C539" s="12" t="s">
        <v>3954</v>
      </c>
      <c r="D539" s="12"/>
      <c r="G539" s="9" t="s">
        <v>5934</v>
      </c>
      <c r="H539" s="13"/>
    </row>
    <row r="540" spans="2:12" s="10" customFormat="1" ht="18" customHeight="1">
      <c r="C540" s="12" t="s">
        <v>3957</v>
      </c>
      <c r="D540" s="12"/>
      <c r="G540" s="9"/>
      <c r="H540" s="9"/>
      <c r="I540" s="10" t="s">
        <v>5935</v>
      </c>
      <c r="J540" s="25" t="str">
        <f>IF(shinsei_strtower03_prgo05_NAME="","",IF(shinsei_strtower03_prgo05_NINTEI_NO="","無","有"))</f>
        <v/>
      </c>
      <c r="K540" s="10" t="s">
        <v>2941</v>
      </c>
      <c r="L540" s="10" t="s">
        <v>3879</v>
      </c>
    </row>
    <row r="541" spans="2:12" s="10" customFormat="1" ht="18" customHeight="1">
      <c r="C541" s="12" t="s">
        <v>3960</v>
      </c>
      <c r="D541" s="12"/>
      <c r="G541" s="9" t="s">
        <v>5936</v>
      </c>
      <c r="H541" s="13"/>
      <c r="K541" s="10" t="s">
        <v>3862</v>
      </c>
      <c r="L541" s="10" t="s">
        <v>3879</v>
      </c>
    </row>
    <row r="542" spans="2:12" s="10" customFormat="1" ht="18" customHeight="1">
      <c r="C542" s="12" t="s">
        <v>3964</v>
      </c>
      <c r="D542" s="12"/>
      <c r="G542" s="9" t="s">
        <v>5937</v>
      </c>
      <c r="H542" s="74"/>
      <c r="I542" s="10" t="s">
        <v>5938</v>
      </c>
      <c r="J542" s="25" t="str">
        <f>IF(shinsei_strtower03_prgo05_NINTEI_DATE="","",TEXT(shinsei_strtower03_prgo05_NINTEI_DATE,"ggge年m月d日")&amp;"  ")</f>
        <v/>
      </c>
    </row>
    <row r="543" spans="2:12" s="10" customFormat="1" ht="18" customHeight="1">
      <c r="C543" s="12" t="s">
        <v>3967</v>
      </c>
      <c r="D543" s="12"/>
      <c r="G543" s="9" t="s">
        <v>5939</v>
      </c>
      <c r="H543" s="13"/>
    </row>
    <row r="544" spans="2:12" s="10" customFormat="1" ht="18" customHeight="1">
      <c r="C544" s="12" t="s">
        <v>3970</v>
      </c>
      <c r="D544" s="12"/>
      <c r="G544" s="9"/>
      <c r="H544" s="12"/>
      <c r="I544" s="9" t="s">
        <v>5940</v>
      </c>
      <c r="J544" s="25" t="str">
        <f>IF(shinsei_strtower03_prgo05_NAME="","",shinsei_strtower03_prgo05_NAME)&amp;CHAR(10)&amp;IF(shinsei_strtower03_prgo05_VER="","","Ver."&amp;shinsei_strtower03_prgo05_VER&amp;CHAR(10))</f>
        <v xml:space="preserve">
</v>
      </c>
    </row>
    <row r="545" spans="2:10" s="10" customFormat="1" ht="18" customHeight="1">
      <c r="C545" s="12" t="s">
        <v>3972</v>
      </c>
      <c r="D545" s="12"/>
      <c r="G545" s="9"/>
      <c r="H545" s="12"/>
      <c r="I545" s="9" t="s">
        <v>5941</v>
      </c>
      <c r="J545" s="25" t="str">
        <f>IF(shinsei_strtower03_prgo05_NAME="","",shinsei_strtower03_prgo05_NAME&amp;" ")&amp;IF(shinsei_strtower03_prgo05_VER="","","Ver."&amp;shinsei_strtower03_prgo05_VER&amp;"  ")</f>
        <v/>
      </c>
    </row>
    <row r="546" spans="2:10" s="10" customFormat="1" ht="18" customHeight="1">
      <c r="C546" s="12" t="s">
        <v>3974</v>
      </c>
      <c r="D546" s="12"/>
      <c r="G546" s="9"/>
      <c r="H546" s="12"/>
    </row>
    <row r="547" spans="2:10" s="10" customFormat="1" ht="18" customHeight="1">
      <c r="D547" s="12" t="s">
        <v>3975</v>
      </c>
      <c r="G547" s="9"/>
      <c r="H547" s="12"/>
      <c r="I547" s="9" t="s">
        <v>5942</v>
      </c>
      <c r="J547" s="173" t="str">
        <f>IF(cst_shinsei_strtower03_prgo05_NINTEI__umu="有",IF(shinsei_strtower03_prgo05_MAKER_NAME="","",shinsei_strtower03_prgo05_MAKER_NAME&amp;"  "),"")</f>
        <v/>
      </c>
    </row>
    <row r="548" spans="2:10" s="10" customFormat="1" ht="18" customHeight="1">
      <c r="D548" s="12" t="s">
        <v>3972</v>
      </c>
      <c r="G548" s="9"/>
      <c r="H548" s="12"/>
      <c r="I548" s="9" t="s">
        <v>5943</v>
      </c>
      <c r="J548" s="25" t="str">
        <f>IF(cst_shinsei_strtower03_prgo05_NINTEI__umu="有",IF(shinsei_strtower03_prgo05_NAME="","",shinsei_strtower03_prgo05_NAME&amp;" ")&amp;IF(shinsei_strtower03_prgo05_VER="","","Ver."&amp;shinsei_strtower03_prgo05_VER&amp;"  "),"")</f>
        <v/>
      </c>
    </row>
    <row r="549" spans="2:10" s="10" customFormat="1" ht="18" customHeight="1">
      <c r="C549" s="12" t="s">
        <v>3981</v>
      </c>
      <c r="D549" s="12"/>
      <c r="G549" s="9"/>
      <c r="H549" s="12"/>
    </row>
    <row r="550" spans="2:10" s="10" customFormat="1" ht="18" customHeight="1">
      <c r="D550" s="12" t="s">
        <v>3975</v>
      </c>
      <c r="G550" s="9"/>
      <c r="H550" s="12"/>
      <c r="I550" s="9" t="s">
        <v>5944</v>
      </c>
      <c r="J550" s="173" t="str">
        <f>IF(cst_shinsei_strtower03_prgo05_NINTEI__umu="無",IF(shinsei_strtower03_prgo05_MAKER_NAME="","",shinsei_strtower03_prgo05_MAKER_NAME&amp;"  "),"")</f>
        <v/>
      </c>
    </row>
    <row r="551" spans="2:10" s="10" customFormat="1" ht="18" customHeight="1">
      <c r="D551" s="12" t="s">
        <v>3972</v>
      </c>
      <c r="G551" s="9"/>
      <c r="H551" s="12"/>
      <c r="I551" s="9" t="s">
        <v>5945</v>
      </c>
      <c r="J551" s="25" t="str">
        <f>IF(cst_shinsei_strtower03_prgo05_NINTEI__umu="無",IF(shinsei_strtower03_prgo05_NAME="","",shinsei_strtower03_prgo05_NAME&amp;" ")&amp;IF(shinsei_strtower03_prgo05_VER="","","Ver."&amp;shinsei_strtower03_prgo05_VER&amp;"  "),"")</f>
        <v/>
      </c>
    </row>
    <row r="552" spans="2:10" s="10" customFormat="1" ht="18" customHeight="1">
      <c r="B552" s="13" t="s">
        <v>3827</v>
      </c>
      <c r="C552" s="13"/>
      <c r="D552" s="13"/>
      <c r="E552" s="25"/>
      <c r="F552" s="25"/>
      <c r="G552" s="9"/>
      <c r="H552" s="80"/>
      <c r="I552" s="9"/>
      <c r="J552" s="80"/>
    </row>
    <row r="553" spans="2:10" s="10" customFormat="1" ht="18" customHeight="1">
      <c r="C553" s="12" t="s">
        <v>3970</v>
      </c>
      <c r="D553" s="12"/>
      <c r="G553" s="9"/>
      <c r="H553" s="80"/>
      <c r="I553" s="166" t="s">
        <v>5946</v>
      </c>
      <c r="J553" s="74" t="str">
        <f>cst_shinsei_strtower03_prgo01_NAME_VER&amp;cst_shinsei_strtower03_prgo02_NAME_VER&amp;cst_shinsei_strtower03_prgo03_NAME_VER&amp;cst_shinsei_strtower03_prgo04_NAME_VER&amp;cst_shinsei_strtower03_prgo05_NAME_VER</f>
        <v xml:space="preserve">
</v>
      </c>
    </row>
    <row r="554" spans="2:10" s="10" customFormat="1" ht="18" customHeight="1">
      <c r="C554" s="12" t="s">
        <v>3972</v>
      </c>
      <c r="D554" s="12"/>
      <c r="G554" s="9"/>
      <c r="H554" s="80"/>
      <c r="I554" s="166" t="s">
        <v>5947</v>
      </c>
      <c r="J554" s="74" t="str">
        <f>cst_shinsei_strtower03_prgo01_NAME_VER__SP&amp;cst_shinsei_strtower03_prgo02_NAME_VER__SP&amp;cst_shinsei_strtower03_prgo03_NAME_VER__SP&amp;cst_shinsei_strtower03_prgo04_NAME_VER__SP&amp;cst_shinsei_strtower03_prgo05_NAME_VER__SP</f>
        <v/>
      </c>
    </row>
    <row r="555" spans="2:10" s="10" customFormat="1" ht="18" customHeight="1">
      <c r="B555" s="13" t="s">
        <v>4068</v>
      </c>
      <c r="C555" s="13"/>
      <c r="D555" s="13"/>
      <c r="E555" s="25"/>
      <c r="F555" s="25"/>
      <c r="G555" s="9"/>
      <c r="H555" s="80"/>
      <c r="I555" s="9"/>
      <c r="J555" s="80"/>
    </row>
    <row r="556" spans="2:10" s="10" customFormat="1" ht="18" customHeight="1">
      <c r="C556" s="12" t="s">
        <v>3975</v>
      </c>
      <c r="D556" s="12"/>
      <c r="G556" s="9"/>
      <c r="H556" s="80"/>
      <c r="I556" s="166" t="s">
        <v>5948</v>
      </c>
      <c r="J556" s="74" t="str">
        <f>cst_shinsei_strtower03_prgo01_MAKER__NINTEI_ari&amp;cst_shinsei_strtower03_prgo02_MAKER__NINTEI_ari&amp;cst_shinsei_strtower03_prgo03_MAKER__NINTEI_ari&amp;cst_shinsei_strtower03_prgo04_MAKER__NINTEI_ari&amp;cst_shinsei_strtower03_prgo05_MAKER__NINTEI_ari</f>
        <v/>
      </c>
    </row>
    <row r="557" spans="2:10" s="10" customFormat="1" ht="18" customHeight="1">
      <c r="C557" s="12" t="s">
        <v>3972</v>
      </c>
      <c r="D557" s="12"/>
      <c r="G557" s="9"/>
      <c r="H557" s="80"/>
      <c r="I557" s="166" t="s">
        <v>5949</v>
      </c>
      <c r="J557" s="173" t="str">
        <f>cst_shinsei_strtower03_prgo01_NAME_VER__NINTEI_ari&amp;cst_shinsei_strtower03_prgo02_NAME_VER__NINTEI_ari&amp;cst_shinsei_strtower03_prgo03_NAME_VER__NINTEI_ari&amp;cst_shinsei_strtower03_prgo04_NAME_VER__NINTEI_ari&amp;cst_shinsei_strtower03_prgo05_NAME_VER__NINTEI_ari</f>
        <v/>
      </c>
    </row>
    <row r="558" spans="2:10" s="10" customFormat="1" ht="18" customHeight="1">
      <c r="C558" s="12" t="s">
        <v>3964</v>
      </c>
      <c r="D558" s="12"/>
      <c r="G558" s="9"/>
      <c r="H558" s="80"/>
      <c r="I558" s="166" t="s">
        <v>5950</v>
      </c>
      <c r="J558" s="74" t="str">
        <f>cst_shinsei_strtower03_prgo01_NINTEI_DATE_dsp&amp;cst_shinsei_strtower03_prgo02_NINTEI_DATE_dsp&amp;cst_shinsei_strtower03_prgo03_NINTEI_DATE_dsp&amp;cst_shinsei_strtower03_prgo04_NINTEI_DATE_dsp&amp;cst_shinsei_strtower03_prgo05_NINTEI_DATE_dsp</f>
        <v/>
      </c>
    </row>
    <row r="559" spans="2:10" s="10" customFormat="1" ht="18" customHeight="1">
      <c r="B559" s="13" t="s">
        <v>4072</v>
      </c>
      <c r="C559" s="13"/>
      <c r="D559" s="13"/>
      <c r="E559" s="25"/>
      <c r="F559" s="25"/>
      <c r="G559" s="9"/>
      <c r="H559" s="80"/>
      <c r="I559" s="9"/>
      <c r="J559" s="80"/>
    </row>
    <row r="560" spans="2:10" s="10" customFormat="1" ht="18" customHeight="1">
      <c r="C560" s="12" t="s">
        <v>3975</v>
      </c>
      <c r="D560" s="12"/>
      <c r="G560" s="9"/>
      <c r="H560" s="80"/>
      <c r="I560" s="166" t="s">
        <v>5951</v>
      </c>
      <c r="J560" s="74" t="str">
        <f>cst_shinsei_strtower03_prgo01_MAKER__NINTEI_non&amp;cst_shinsei_strtower03_prgo02_MAKER__NINTEI_non&amp;cst_shinsei_strtower03_prgo03_MAKER__NINTEI_non&amp;cst_shinsei_strtower03_prgo04_MAKER__NINTEI_non&amp;cst_shinsei_strtower03_prgo05_MAKER__NINTEI_non</f>
        <v/>
      </c>
    </row>
    <row r="561" spans="1:12" s="10" customFormat="1" ht="18" customHeight="1">
      <c r="C561" s="12" t="s">
        <v>3972</v>
      </c>
      <c r="D561" s="12"/>
      <c r="G561" s="9"/>
      <c r="H561" s="80"/>
      <c r="I561" s="166" t="s">
        <v>5952</v>
      </c>
      <c r="J561" s="173" t="str">
        <f>cst_shinsei_strtower03_prgo01_NAME_VER__NINTEI_non&amp;cst_shinsei_strtower03_prgo02_NAME_VER__NINTEI_non&amp;cst_shinsei_strtower03_prgo03_NAME_VER__NINTEI_non&amp;cst_shinsei_strtower03_prgo04_NAME_VER__NINTEI_non&amp;cst_shinsei_strtower03_prgo05_NAME_VER__NINTEI_non</f>
        <v/>
      </c>
    </row>
    <row r="562" spans="1:12" s="10" customFormat="1" ht="18" customHeight="1">
      <c r="B562" s="12" t="s">
        <v>4075</v>
      </c>
      <c r="G562" s="9" t="s">
        <v>5953</v>
      </c>
      <c r="H562" s="20"/>
      <c r="I562" s="9" t="s">
        <v>5954</v>
      </c>
      <c r="J562" s="20" t="str">
        <f>IF(shinsei_strtower03_DISK_FLAG="","",IF(shinsei_strtower03_DISK_FLAG=1,"有","無"))</f>
        <v/>
      </c>
    </row>
    <row r="563" spans="1:12" s="10" customFormat="1" ht="18" customHeight="1">
      <c r="A563" s="9"/>
      <c r="B563" s="9" t="s">
        <v>2955</v>
      </c>
      <c r="C563" s="9"/>
      <c r="D563" s="9"/>
      <c r="E563" s="9"/>
      <c r="F563" s="9"/>
      <c r="G563" s="9" t="s">
        <v>5955</v>
      </c>
      <c r="H563" s="136"/>
      <c r="I563" s="19" t="s">
        <v>5956</v>
      </c>
      <c r="J563" s="171" t="str">
        <f>IF(shinsei_strtower03_CHARGE="","",shinsei_strtower03_CHARGE)</f>
        <v/>
      </c>
      <c r="K563" s="9" t="s">
        <v>2528</v>
      </c>
      <c r="L563" s="9" t="s">
        <v>2528</v>
      </c>
    </row>
    <row r="564" spans="1:12" ht="18" customHeight="1">
      <c r="A564" s="149"/>
      <c r="B564" s="149"/>
      <c r="C564" s="149"/>
      <c r="D564" s="149"/>
      <c r="E564" s="12" t="s">
        <v>3907</v>
      </c>
      <c r="F564" s="12"/>
      <c r="G564" s="149"/>
      <c r="I564" s="100" t="s">
        <v>5957</v>
      </c>
      <c r="J564" s="171" t="str">
        <f>IF(shinsei_strtower03_CHARGE="","",TEXT(shinsei_strtower03_CHARGE,"#,##0_ ")&amp;"円")</f>
        <v/>
      </c>
      <c r="K564" s="9"/>
      <c r="L564" s="9"/>
    </row>
    <row r="565" spans="1:12" ht="18" customHeight="1">
      <c r="A565" s="149"/>
      <c r="B565" s="149" t="s">
        <v>3041</v>
      </c>
      <c r="C565" s="149"/>
      <c r="D565" s="149"/>
      <c r="E565" s="149"/>
      <c r="F565" s="149"/>
      <c r="G565" s="149" t="s">
        <v>5958</v>
      </c>
      <c r="H565" s="136"/>
      <c r="I565" s="100" t="s">
        <v>5959</v>
      </c>
      <c r="J565" s="136" t="str">
        <f>IF(shinsei_strtower03_CHARGE_WARIMASHI="","",shinsei_strtower03_CHARGE_WARIMASHI)</f>
        <v/>
      </c>
      <c r="K565" s="9" t="s">
        <v>2528</v>
      </c>
      <c r="L565" s="9" t="s">
        <v>2528</v>
      </c>
    </row>
    <row r="566" spans="1:12" ht="18" customHeight="1">
      <c r="A566" s="149"/>
      <c r="B566" s="149" t="s">
        <v>3043</v>
      </c>
      <c r="C566" s="149"/>
      <c r="D566" s="149"/>
      <c r="E566" s="149"/>
      <c r="F566" s="149"/>
      <c r="G566" s="149" t="s">
        <v>5960</v>
      </c>
      <c r="H566" s="136"/>
      <c r="I566" s="100" t="s">
        <v>5961</v>
      </c>
      <c r="J566" s="136" t="str">
        <f>IF(shinsei_strtower03_CHARGE_TOTAL="","",shinsei_strtower03_CHARGE_TOTAL)</f>
        <v/>
      </c>
      <c r="K566" s="9" t="s">
        <v>2528</v>
      </c>
      <c r="L566" s="9" t="s">
        <v>2528</v>
      </c>
    </row>
    <row r="567" spans="1:12" ht="18" customHeight="1">
      <c r="A567" s="149"/>
      <c r="B567" s="149" t="s">
        <v>4085</v>
      </c>
      <c r="C567" s="149"/>
      <c r="D567" s="149"/>
      <c r="E567" s="149"/>
      <c r="F567" s="149"/>
      <c r="G567" s="149" t="s">
        <v>1303</v>
      </c>
      <c r="H567" s="136"/>
      <c r="I567" s="100" t="s">
        <v>5962</v>
      </c>
      <c r="J567" s="136" t="str">
        <f>IF(shinsei_strtower03_CHARGE_SANTEI_MENSEKI="","",shinsei_strtower03_CHARGE_SANTEI_MENSEKI)</f>
        <v/>
      </c>
      <c r="K567" s="9"/>
      <c r="L567" s="9"/>
    </row>
    <row r="568" spans="1:12" ht="18" customHeight="1">
      <c r="A568" s="149"/>
      <c r="B568" s="149" t="s">
        <v>5637</v>
      </c>
      <c r="C568" s="149"/>
      <c r="D568" s="149"/>
      <c r="E568" s="149"/>
      <c r="F568" s="149"/>
      <c r="G568" s="149" t="s">
        <v>4511</v>
      </c>
      <c r="H568" s="13" t="s">
        <v>11787</v>
      </c>
      <c r="I568" s="176" t="s">
        <v>4512</v>
      </c>
      <c r="J568" s="20" t="str">
        <f>IF(shinsei_strtower03_CHARGE_KEISAN_NOTE="","",shinsei_strtower03_CHARGE_KEISAN_NOTE)</f>
        <v/>
      </c>
      <c r="K568" s="10" t="s">
        <v>3862</v>
      </c>
      <c r="L568" s="10" t="s">
        <v>3879</v>
      </c>
    </row>
    <row r="569" spans="1:12" ht="18" customHeight="1">
      <c r="A569" s="149"/>
      <c r="B569" s="149"/>
      <c r="C569" s="149"/>
      <c r="D569" s="149"/>
      <c r="E569" s="149" t="s">
        <v>5640</v>
      </c>
      <c r="F569" s="149"/>
      <c r="G569" s="149"/>
      <c r="I569" s="100" t="s">
        <v>4513</v>
      </c>
      <c r="J569" s="20" t="str">
        <f>IF(shinsei_INSPECTION_TYPE="計画変更",IF(shinsei_strtower03_CHARGE="","","延べ面積×1/2により算出"),IF(shinsei_strtower03_CHARGE_KEISAN_NOTE="","",shinsei_strtower03_CHARGE_KEISAN_NOTE))</f>
        <v/>
      </c>
    </row>
    <row r="570" spans="1:12" ht="18" customHeight="1">
      <c r="A570" s="149"/>
      <c r="B570" s="149" t="s">
        <v>5642</v>
      </c>
      <c r="C570" s="149"/>
      <c r="D570" s="149"/>
      <c r="E570" s="149"/>
      <c r="F570" s="149"/>
      <c r="G570" s="149" t="s">
        <v>4514</v>
      </c>
      <c r="H570" s="13" t="s">
        <v>11787</v>
      </c>
      <c r="I570" s="149" t="s">
        <v>4515</v>
      </c>
      <c r="J570" s="20" t="str">
        <f>IF(shinsei_strtower03_KEISAN_X_ROUTE="","",shinsei_strtower03_KEISAN_X_ROUTE)</f>
        <v/>
      </c>
    </row>
    <row r="571" spans="1:12" ht="18" customHeight="1">
      <c r="A571" s="149"/>
      <c r="B571" s="149" t="s">
        <v>5645</v>
      </c>
      <c r="C571" s="149"/>
      <c r="D571" s="149"/>
      <c r="E571" s="149"/>
      <c r="F571" s="149"/>
      <c r="G571" s="149" t="s">
        <v>4516</v>
      </c>
      <c r="H571" s="13" t="s">
        <v>11787</v>
      </c>
      <c r="I571" s="149" t="s">
        <v>4517</v>
      </c>
      <c r="J571" s="20" t="str">
        <f>IF(shinsei_strtower03_KEISAN_Y_ROUTE="","",shinsei_strtower03_KEISAN_Y_ROUTE)</f>
        <v/>
      </c>
    </row>
    <row r="572" spans="1:12" ht="18" customHeight="1">
      <c r="A572" s="149"/>
      <c r="B572" s="149"/>
      <c r="C572" s="149" t="s">
        <v>3805</v>
      </c>
      <c r="D572" s="149"/>
      <c r="E572" s="149"/>
      <c r="F572" s="149"/>
      <c r="G572" s="149"/>
      <c r="H572" s="12"/>
      <c r="I572" s="149" t="s">
        <v>4518</v>
      </c>
      <c r="J572" s="20" t="str">
        <f>IF(AND(cst_shinsei_strtower03_KEISAN_X_ROUTE="3",cst_shinsei_strtower03_KEISAN_Y_ROUTE="3"),"■","□")</f>
        <v>□</v>
      </c>
    </row>
    <row r="573" spans="1:12" ht="18" customHeight="1">
      <c r="A573" s="149"/>
      <c r="B573" s="149" t="s">
        <v>5650</v>
      </c>
      <c r="C573" s="149"/>
      <c r="D573" s="149"/>
      <c r="E573" s="149"/>
      <c r="F573" s="149"/>
      <c r="G573" s="149" t="s">
        <v>4519</v>
      </c>
      <c r="H573" s="13" t="s">
        <v>11787</v>
      </c>
      <c r="I573" s="149" t="s">
        <v>4520</v>
      </c>
      <c r="J573" s="20" t="str">
        <f>IF(shinsei_strtower03_PROGRAM_KIND_SONOTA="","",shinsei_strtower03_PROGRAM_KIND_SONOTA)</f>
        <v/>
      </c>
    </row>
    <row r="574" spans="1:12" ht="18" customHeight="1">
      <c r="A574" s="149"/>
      <c r="B574" s="149"/>
      <c r="C574" s="149"/>
      <c r="D574" s="149"/>
      <c r="E574" s="149"/>
      <c r="F574" s="149"/>
      <c r="G574" s="149"/>
    </row>
    <row r="575" spans="1:12" s="10" customFormat="1" ht="18" customHeight="1">
      <c r="A575" s="162" t="s">
        <v>4521</v>
      </c>
      <c r="B575" s="162"/>
      <c r="C575" s="162"/>
      <c r="D575" s="162"/>
      <c r="E575" s="163"/>
      <c r="F575" s="163"/>
      <c r="G575" s="164"/>
      <c r="H575" s="165"/>
      <c r="I575" s="9"/>
    </row>
    <row r="576" spans="1:12" s="10" customFormat="1" ht="18" customHeight="1">
      <c r="A576" s="12"/>
      <c r="B576" s="12" t="s">
        <v>3859</v>
      </c>
      <c r="C576" s="12"/>
      <c r="D576" s="12"/>
      <c r="E576" s="11"/>
      <c r="F576" s="11"/>
      <c r="G576" s="10" t="s">
        <v>4522</v>
      </c>
      <c r="H576" s="13" t="s">
        <v>11787</v>
      </c>
      <c r="I576" s="19" t="s">
        <v>4523</v>
      </c>
      <c r="J576" s="25" t="str">
        <f>IF(shinsei_strtower04_TOWER_NO="","",shinsei_strtower04_TOWER_NO)</f>
        <v/>
      </c>
      <c r="K576" s="10" t="s">
        <v>4524</v>
      </c>
    </row>
    <row r="577" spans="1:12" s="10" customFormat="1" ht="18" customHeight="1">
      <c r="A577" s="12"/>
      <c r="B577" s="12" t="s">
        <v>3864</v>
      </c>
      <c r="C577" s="12"/>
      <c r="D577" s="12"/>
      <c r="E577" s="11"/>
      <c r="F577" s="11"/>
      <c r="G577" s="9" t="s">
        <v>4525</v>
      </c>
      <c r="H577" s="13" t="s">
        <v>11787</v>
      </c>
      <c r="I577" s="19" t="s">
        <v>2836</v>
      </c>
      <c r="J577" s="25" t="str">
        <f>IF(shinsei_strtower04_STR_TOWER_NO="","",shinsei_strtower04_STR_TOWER_NO)</f>
        <v/>
      </c>
      <c r="K577" s="10" t="s">
        <v>3863</v>
      </c>
      <c r="L577" s="10" t="s">
        <v>3879</v>
      </c>
    </row>
    <row r="578" spans="1:12" s="166" customFormat="1" ht="18" customHeight="1">
      <c r="B578" s="12" t="s">
        <v>3868</v>
      </c>
      <c r="I578" s="9" t="s">
        <v>2837</v>
      </c>
      <c r="J578" s="167" t="str">
        <f>CONCATENATE(cst_shinsei_strtower04_TOWER_NO," - ",cst_shinsei_strtower04_STR_TOWER_NO)</f>
        <v xml:space="preserve"> - </v>
      </c>
    </row>
    <row r="579" spans="1:12" s="166" customFormat="1" ht="18" customHeight="1">
      <c r="B579" s="12" t="s">
        <v>3870</v>
      </c>
      <c r="I579" s="9" t="s">
        <v>2838</v>
      </c>
      <c r="J579" s="167" t="str">
        <f>CONCATENATE(cst_shinsei_strtower04_STR_TOWER_NO," ／ ",cst_shinsei_STR_SHINSEI_TOWERS)</f>
        <v xml:space="preserve"> ／ </v>
      </c>
    </row>
    <row r="580" spans="1:12" s="10" customFormat="1" ht="18" customHeight="1">
      <c r="A580" s="12"/>
      <c r="B580" s="12" t="s">
        <v>3872</v>
      </c>
      <c r="C580" s="11"/>
      <c r="D580" s="11"/>
      <c r="E580" s="11"/>
      <c r="F580" s="11"/>
      <c r="G580" s="9" t="s">
        <v>2839</v>
      </c>
      <c r="H580" s="13" t="s">
        <v>11787</v>
      </c>
      <c r="I580" s="9" t="s">
        <v>2840</v>
      </c>
      <c r="J580" s="25" t="str">
        <f>IF(shinsei_strtower04_STR_TOWER_NAME="","",shinsei_strtower04_STR_TOWER_NAME)</f>
        <v/>
      </c>
    </row>
    <row r="581" spans="1:12" s="10" customFormat="1" ht="18" customHeight="1">
      <c r="A581" s="12"/>
      <c r="B581" s="12" t="s">
        <v>3875</v>
      </c>
      <c r="C581" s="12"/>
      <c r="D581" s="12"/>
      <c r="E581" s="11"/>
      <c r="F581" s="11"/>
      <c r="G581" s="9" t="s">
        <v>2841</v>
      </c>
      <c r="H581" s="20"/>
      <c r="I581" s="20" t="s">
        <v>2842</v>
      </c>
      <c r="J581" s="25" t="str">
        <f>IF(shinsei_strtower04_JUDGE="","",shinsei_strtower04_JUDGE)</f>
        <v/>
      </c>
      <c r="K581" s="10" t="s">
        <v>3878</v>
      </c>
      <c r="L581" s="10" t="s">
        <v>3879</v>
      </c>
    </row>
    <row r="582" spans="1:12" s="10" customFormat="1" ht="18" customHeight="1">
      <c r="A582" s="12"/>
      <c r="B582" s="12" t="s">
        <v>4441</v>
      </c>
      <c r="C582" s="12"/>
      <c r="D582" s="12"/>
      <c r="E582" s="11"/>
      <c r="F582" s="11"/>
      <c r="G582" s="9" t="s">
        <v>2843</v>
      </c>
      <c r="H582" s="13" t="s">
        <v>11787</v>
      </c>
      <c r="I582" s="9" t="s">
        <v>2844</v>
      </c>
      <c r="J582" s="25" t="str">
        <f>IF(shinsei_strtower04_STR_TOWER_YOUTO_TEXT="","",shinsei_strtower04_STR_TOWER_YOUTO_TEXT)</f>
        <v/>
      </c>
      <c r="K582" s="10" t="s">
        <v>3862</v>
      </c>
      <c r="L582" s="10" t="s">
        <v>3879</v>
      </c>
    </row>
    <row r="583" spans="1:12" s="10" customFormat="1" ht="18" customHeight="1">
      <c r="A583" s="12"/>
      <c r="B583" s="12" t="s">
        <v>3790</v>
      </c>
      <c r="C583" s="12"/>
      <c r="D583" s="12"/>
      <c r="E583" s="11"/>
      <c r="F583" s="11"/>
      <c r="G583" s="9" t="s">
        <v>2845</v>
      </c>
      <c r="H583" s="13" t="s">
        <v>11787</v>
      </c>
      <c r="I583" s="9" t="s">
        <v>2846</v>
      </c>
      <c r="J583" s="25" t="str">
        <f>IF(shinsei_strtower04_KOUJI_TEXT="","",shinsei_strtower04_KOUJI_TEXT)</f>
        <v/>
      </c>
      <c r="K583" s="10" t="s">
        <v>3862</v>
      </c>
      <c r="L583" s="10" t="s">
        <v>3879</v>
      </c>
    </row>
    <row r="584" spans="1:12" s="10" customFormat="1" ht="18" customHeight="1">
      <c r="A584" s="12"/>
      <c r="B584" s="12" t="s">
        <v>3888</v>
      </c>
      <c r="C584" s="11"/>
      <c r="D584" s="11"/>
      <c r="E584" s="11"/>
      <c r="F584" s="11"/>
      <c r="G584" s="9" t="s">
        <v>2847</v>
      </c>
      <c r="H584" s="13"/>
      <c r="I584" s="9" t="s">
        <v>2848</v>
      </c>
      <c r="J584" s="25" t="str">
        <f>IF(shinsei_strtower04_KOUZOU_TEXT="","",shinsei_strtower04_KOUZOU_TEXT)</f>
        <v/>
      </c>
    </row>
    <row r="585" spans="1:12" s="10" customFormat="1" ht="18" customHeight="1">
      <c r="A585" s="12"/>
      <c r="B585" s="12" t="s">
        <v>3888</v>
      </c>
      <c r="C585" s="12"/>
      <c r="D585" s="12"/>
      <c r="E585" s="11"/>
      <c r="F585" s="11"/>
      <c r="G585" s="9" t="s">
        <v>2849</v>
      </c>
      <c r="H585" s="13" t="s">
        <v>11787</v>
      </c>
      <c r="I585" s="9" t="s">
        <v>2850</v>
      </c>
      <c r="J585" s="25" t="str">
        <f>IF(shinsei_strtower04_KOUZOU_TEXT="","",shinsei_strtower04_KOUZOU_TEXT)</f>
        <v/>
      </c>
    </row>
    <row r="586" spans="1:12" s="10" customFormat="1" ht="18" customHeight="1">
      <c r="A586" s="12"/>
      <c r="B586" s="12" t="s">
        <v>3893</v>
      </c>
      <c r="C586" s="11"/>
      <c r="D586" s="11"/>
      <c r="E586" s="11"/>
      <c r="F586" s="11"/>
      <c r="G586" s="9" t="s">
        <v>2851</v>
      </c>
      <c r="H586" s="13"/>
      <c r="I586" s="9" t="s">
        <v>2852</v>
      </c>
      <c r="J586" s="25" t="str">
        <f>IF(shinsei_strtower04_KOUZOU_KEISAN="","",shinsei_strtower04_KOUZOU_KEISAN)</f>
        <v/>
      </c>
    </row>
    <row r="587" spans="1:12" s="10" customFormat="1" ht="18" customHeight="1">
      <c r="A587" s="12"/>
      <c r="B587" s="12" t="s">
        <v>3893</v>
      </c>
      <c r="C587" s="12"/>
      <c r="D587" s="12"/>
      <c r="E587" s="11"/>
      <c r="F587" s="11"/>
      <c r="G587" s="9" t="s">
        <v>4547</v>
      </c>
      <c r="H587" s="13" t="s">
        <v>11787</v>
      </c>
      <c r="I587" s="10" t="s">
        <v>4548</v>
      </c>
      <c r="J587" s="25" t="str">
        <f>IF(shinsei_strtower04_KOUZOU_KEISAN_TEXT="","",shinsei_strtower04_KOUZOU_KEISAN_TEXT)</f>
        <v/>
      </c>
    </row>
    <row r="588" spans="1:12" s="10" customFormat="1" ht="18" customHeight="1">
      <c r="A588" s="12"/>
      <c r="B588" s="12" t="s">
        <v>3902</v>
      </c>
      <c r="C588" s="12"/>
      <c r="D588" s="12"/>
      <c r="E588" s="11"/>
      <c r="F588" s="11"/>
      <c r="G588" s="9" t="s">
        <v>4549</v>
      </c>
      <c r="H588" s="65"/>
      <c r="I588" s="19" t="s">
        <v>4550</v>
      </c>
      <c r="J588" s="168" t="str">
        <f>IF(shinsei_strtower04_MENSEKI="","",shinsei_strtower04_MENSEKI)</f>
        <v/>
      </c>
      <c r="K588" s="10" t="s">
        <v>3906</v>
      </c>
      <c r="L588" s="10" t="s">
        <v>3906</v>
      </c>
    </row>
    <row r="589" spans="1:12" ht="18" customHeight="1">
      <c r="A589" s="12"/>
      <c r="B589" s="12"/>
      <c r="C589" s="12"/>
      <c r="D589" s="12"/>
      <c r="E589" s="12" t="s">
        <v>3907</v>
      </c>
      <c r="F589" s="12"/>
      <c r="G589" s="9"/>
      <c r="H589" s="9"/>
      <c r="I589" s="9" t="s">
        <v>4551</v>
      </c>
      <c r="J589" s="168" t="str">
        <f>IF(shinsei_strtower04_MENSEKI="","",TEXT(shinsei_strtower04_MENSEKI,"#,##0.00_ ")&amp;"㎡")</f>
        <v/>
      </c>
    </row>
    <row r="590" spans="1:12" s="10" customFormat="1" ht="18" customHeight="1">
      <c r="A590" s="12"/>
      <c r="B590" s="12" t="s">
        <v>4390</v>
      </c>
      <c r="C590" s="12"/>
      <c r="D590" s="12"/>
      <c r="E590" s="11"/>
      <c r="F590" s="11"/>
      <c r="G590" s="9" t="s">
        <v>4552</v>
      </c>
      <c r="H590" s="93"/>
      <c r="I590" s="9" t="s">
        <v>4553</v>
      </c>
      <c r="J590" s="170" t="str">
        <f>IF(shinsei_strtower04_MAX_TAKASA="","",shinsei_strtower04_MAX_TAKASA)</f>
        <v/>
      </c>
      <c r="K590" s="10" t="s">
        <v>3911</v>
      </c>
      <c r="L590" s="10" t="s">
        <v>3911</v>
      </c>
    </row>
    <row r="591" spans="1:12" s="10" customFormat="1" ht="18" customHeight="1">
      <c r="A591" s="12"/>
      <c r="B591" s="12" t="s">
        <v>4388</v>
      </c>
      <c r="C591" s="11"/>
      <c r="D591" s="11"/>
      <c r="E591" s="11"/>
      <c r="F591" s="11"/>
      <c r="G591" s="9" t="s">
        <v>4554</v>
      </c>
      <c r="H591" s="93"/>
      <c r="I591" s="9" t="s">
        <v>4555</v>
      </c>
      <c r="J591" s="170" t="str">
        <f>IF(shinsei_strtower04_MAX_NOKI_TAKASA="","",shinsei_strtower04_MAX_NOKI_TAKASA)</f>
        <v/>
      </c>
    </row>
    <row r="592" spans="1:12" s="10" customFormat="1" ht="18" customHeight="1">
      <c r="A592" s="12"/>
      <c r="B592" s="12" t="s">
        <v>3782</v>
      </c>
      <c r="C592" s="12"/>
      <c r="D592" s="12"/>
      <c r="E592" s="11"/>
      <c r="F592" s="11"/>
      <c r="G592" s="9"/>
      <c r="H592" s="9"/>
      <c r="I592" s="9"/>
    </row>
    <row r="593" spans="1:12" s="10" customFormat="1" ht="18" customHeight="1">
      <c r="A593" s="12"/>
      <c r="B593" s="12"/>
      <c r="C593" s="11" t="s">
        <v>3783</v>
      </c>
      <c r="D593" s="12"/>
      <c r="G593" s="9" t="s">
        <v>4556</v>
      </c>
      <c r="H593" s="136"/>
      <c r="I593" s="9" t="s">
        <v>4557</v>
      </c>
      <c r="J593" s="171" t="str">
        <f>IF(shinsei_strtower04_KAISU_TIJYOU="","",shinsei_strtower04_KAISU_TIJYOU)</f>
        <v/>
      </c>
      <c r="K593" s="10" t="s">
        <v>3916</v>
      </c>
      <c r="L593" s="10" t="s">
        <v>3916</v>
      </c>
    </row>
    <row r="594" spans="1:12" s="10" customFormat="1" ht="18" customHeight="1">
      <c r="A594" s="12"/>
      <c r="B594" s="12"/>
      <c r="C594" s="11" t="s">
        <v>3785</v>
      </c>
      <c r="D594" s="12"/>
      <c r="G594" s="9" t="s">
        <v>4558</v>
      </c>
      <c r="H594" s="136"/>
      <c r="I594" s="9" t="s">
        <v>4559</v>
      </c>
      <c r="J594" s="171" t="str">
        <f>IF(shinsei_strtower04_KAISU_TIKA="","",shinsei_strtower04_KAISU_TIKA)</f>
        <v/>
      </c>
      <c r="K594" s="10" t="s">
        <v>3916</v>
      </c>
      <c r="L594" s="10" t="s">
        <v>3916</v>
      </c>
    </row>
    <row r="595" spans="1:12" s="10" customFormat="1" ht="18" customHeight="1">
      <c r="A595" s="12"/>
      <c r="B595" s="12"/>
      <c r="C595" s="11" t="s">
        <v>3787</v>
      </c>
      <c r="D595" s="12"/>
      <c r="G595" s="9" t="s">
        <v>4560</v>
      </c>
      <c r="H595" s="136"/>
      <c r="I595" s="9" t="s">
        <v>4561</v>
      </c>
      <c r="J595" s="171" t="str">
        <f>IF(shinsei_strtower04_KAISU_TOUYA="","",shinsei_strtower04_KAISU_TOUYA)</f>
        <v/>
      </c>
      <c r="K595" s="10" t="s">
        <v>3916</v>
      </c>
      <c r="L595" s="10" t="s">
        <v>3916</v>
      </c>
    </row>
    <row r="596" spans="1:12" s="10" customFormat="1" ht="18" customHeight="1">
      <c r="B596" s="12" t="s">
        <v>3923</v>
      </c>
      <c r="G596" s="9" t="s">
        <v>4562</v>
      </c>
      <c r="H596" s="13"/>
      <c r="I596" s="10" t="s">
        <v>4563</v>
      </c>
      <c r="J596" s="25" t="str">
        <f>IF(shinsei_strtower04_BUILD_KUBUN="","",shinsei_strtower04_BUILD_KUBUN)</f>
        <v/>
      </c>
    </row>
    <row r="597" spans="1:12" s="10" customFormat="1" ht="18" customHeight="1">
      <c r="B597" s="12" t="s">
        <v>3923</v>
      </c>
      <c r="C597" s="12"/>
      <c r="D597" s="12"/>
      <c r="G597" s="9" t="s">
        <v>4564</v>
      </c>
      <c r="H597" s="13" t="s">
        <v>11787</v>
      </c>
      <c r="I597" s="10" t="s">
        <v>4565</v>
      </c>
      <c r="J597" s="25" t="str">
        <f>IF(shinsei_strtower04_BUILD_KUBUN_TEXT="","",shinsei_strtower04_BUILD_KUBUN_TEXT)</f>
        <v/>
      </c>
      <c r="K597" s="10" t="s">
        <v>3862</v>
      </c>
    </row>
    <row r="598" spans="1:12" s="10" customFormat="1" ht="18" customHeight="1">
      <c r="A598" s="149"/>
      <c r="B598" s="149"/>
      <c r="C598" s="149" t="s">
        <v>3801</v>
      </c>
      <c r="D598" s="149"/>
      <c r="E598" s="149"/>
      <c r="F598" s="149"/>
      <c r="G598" s="149"/>
      <c r="H598" s="12"/>
      <c r="I598" s="149" t="s">
        <v>4566</v>
      </c>
      <c r="J598" s="20" t="str">
        <f>IF(shinsei_strtower04_BUILD_KUBUN_TEXT="建築基準法第20条第２号に掲げる建築物","■","□")</f>
        <v>□</v>
      </c>
    </row>
    <row r="599" spans="1:12" s="10" customFormat="1" ht="18" customHeight="1">
      <c r="A599" s="149"/>
      <c r="B599" s="149"/>
      <c r="C599" s="149" t="s">
        <v>3801</v>
      </c>
      <c r="D599" s="149"/>
      <c r="E599" s="149"/>
      <c r="F599" s="149"/>
      <c r="G599" s="149"/>
      <c r="H599" s="12"/>
      <c r="I599" s="149" t="s">
        <v>4567</v>
      </c>
      <c r="J599" s="20" t="str">
        <f>IF(shinsei_strtower04_BUILD_KUBUN_TEXT="建築基準法第20条第３号に掲げる建築物","■","□")</f>
        <v>□</v>
      </c>
    </row>
    <row r="600" spans="1:12" s="10" customFormat="1" ht="18" customHeight="1">
      <c r="A600" s="12"/>
      <c r="B600" s="12" t="s">
        <v>3932</v>
      </c>
      <c r="C600" s="12"/>
      <c r="D600" s="12"/>
      <c r="E600" s="11"/>
      <c r="F600" s="11"/>
      <c r="G600" s="9" t="s">
        <v>4568</v>
      </c>
      <c r="H600" s="13" t="s">
        <v>11787</v>
      </c>
      <c r="I600" s="9" t="s">
        <v>4569</v>
      </c>
      <c r="J600" s="25" t="str">
        <f>IF(shinsei_strtower04_MENJYO_TEXT="","",shinsei_strtower04_MENJYO_TEXT)</f>
        <v/>
      </c>
      <c r="K600" s="10" t="s">
        <v>4524</v>
      </c>
    </row>
    <row r="601" spans="1:12" s="10" customFormat="1" ht="18" customHeight="1">
      <c r="A601" s="12"/>
      <c r="B601" s="12" t="s">
        <v>3935</v>
      </c>
      <c r="C601" s="12"/>
      <c r="D601" s="12"/>
      <c r="E601" s="11"/>
      <c r="F601" s="11"/>
      <c r="G601" s="9" t="s">
        <v>4570</v>
      </c>
      <c r="H601" s="20"/>
      <c r="I601" s="9" t="s">
        <v>4571</v>
      </c>
      <c r="J601" s="25" t="str">
        <f>IF(shinsei_strtower04_PROGRAM_KIND="","",shinsei_strtower04_PROGRAM_KIND)</f>
        <v/>
      </c>
      <c r="K601" s="10" t="s">
        <v>5704</v>
      </c>
    </row>
    <row r="602" spans="1:12" s="10" customFormat="1" ht="18" customHeight="1">
      <c r="B602" s="12" t="s">
        <v>3939</v>
      </c>
      <c r="C602" s="12"/>
      <c r="D602" s="12"/>
      <c r="G602" s="9" t="s">
        <v>4572</v>
      </c>
      <c r="H602" s="13" t="s">
        <v>11787</v>
      </c>
      <c r="I602" s="10" t="s">
        <v>4573</v>
      </c>
      <c r="J602" s="25" t="str">
        <f>IF(shinsei_strtower04_REI80_2_KOKUJI_TEXT="","",shinsei_strtower04_REI80_2_KOKUJI_TEXT)</f>
        <v/>
      </c>
    </row>
    <row r="603" spans="1:12" s="10" customFormat="1" ht="18" customHeight="1">
      <c r="B603" s="12" t="s">
        <v>3943</v>
      </c>
      <c r="C603" s="12"/>
      <c r="D603" s="12"/>
      <c r="G603" s="9" t="s">
        <v>4574</v>
      </c>
      <c r="H603" s="13" t="s">
        <v>11814</v>
      </c>
      <c r="I603" s="10" t="s">
        <v>4575</v>
      </c>
      <c r="J603" s="25">
        <f>IF(shinsei_strtower04_PROGRAM_KIND__nintei__box="■",2,IF(OR(shinsei_strtower04_PROGRAM_KIND__hyouka__box="■",shinsei_strtower04_PROGRAM_KIND__sonota__box="■"),1,0))</f>
        <v>0</v>
      </c>
      <c r="K603" s="10" t="s">
        <v>3946</v>
      </c>
    </row>
    <row r="604" spans="1:12" s="10" customFormat="1" ht="18" customHeight="1">
      <c r="B604" s="12" t="s">
        <v>3947</v>
      </c>
      <c r="C604" s="12"/>
      <c r="D604" s="12"/>
      <c r="G604" s="9" t="s">
        <v>4576</v>
      </c>
      <c r="H604" s="13" t="s">
        <v>11814</v>
      </c>
    </row>
    <row r="605" spans="1:12" s="10" customFormat="1" ht="18" customHeight="1">
      <c r="B605" s="12" t="s">
        <v>4305</v>
      </c>
      <c r="C605" s="12"/>
      <c r="D605" s="12"/>
      <c r="G605" s="9" t="s">
        <v>4577</v>
      </c>
      <c r="H605" s="13" t="s">
        <v>11814</v>
      </c>
    </row>
    <row r="606" spans="1:12" s="10" customFormat="1" ht="18" customHeight="1">
      <c r="B606" s="105" t="s">
        <v>3950</v>
      </c>
      <c r="C606" s="105"/>
      <c r="D606" s="105"/>
      <c r="E606" s="24"/>
      <c r="F606" s="24"/>
      <c r="G606" s="9"/>
      <c r="H606" s="12"/>
    </row>
    <row r="607" spans="1:12" s="10" customFormat="1" ht="18" customHeight="1">
      <c r="C607" s="10" t="s">
        <v>3951</v>
      </c>
      <c r="D607" s="12"/>
      <c r="G607" s="9" t="s">
        <v>4578</v>
      </c>
      <c r="H607" s="13" t="s">
        <v>11787</v>
      </c>
      <c r="I607" s="10" t="s">
        <v>4579</v>
      </c>
      <c r="J607" s="25" t="str">
        <f>IF(shinsei_strtower04_prgo01_NAME="","",shinsei_strtower04_prgo01_NAME)</f>
        <v/>
      </c>
      <c r="K607" s="10" t="s">
        <v>3862</v>
      </c>
      <c r="L607" s="10" t="s">
        <v>3879</v>
      </c>
    </row>
    <row r="608" spans="1:12" s="10" customFormat="1" ht="18" customHeight="1">
      <c r="C608" s="12" t="s">
        <v>3954</v>
      </c>
      <c r="D608" s="12"/>
      <c r="E608" s="12"/>
      <c r="F608" s="12"/>
      <c r="G608" s="9" t="s">
        <v>4580</v>
      </c>
      <c r="H608" s="13" t="s">
        <v>11787</v>
      </c>
      <c r="I608" s="10" t="s">
        <v>4581</v>
      </c>
      <c r="J608" s="25" t="str">
        <f>IF(shinsei_strtower04_prgo01_VER="","","Ver."&amp;shinsei_strtower04_prgo01_VER)</f>
        <v/>
      </c>
    </row>
    <row r="609" spans="1:12" s="10" customFormat="1" ht="18" customHeight="1">
      <c r="C609" s="12" t="s">
        <v>3957</v>
      </c>
      <c r="D609" s="12"/>
      <c r="G609" s="9"/>
      <c r="H609" s="9"/>
      <c r="I609" s="10" t="s">
        <v>4582</v>
      </c>
      <c r="J609" s="25" t="str">
        <f>IF(shinsei_strtower04_prgo01_NAME="","",IF(shinsei_strtower04_prgo01_NINTEI_NO="","無","有"))</f>
        <v/>
      </c>
      <c r="K609" s="10" t="s">
        <v>3959</v>
      </c>
      <c r="L609" s="10" t="s">
        <v>3879</v>
      </c>
    </row>
    <row r="610" spans="1:12" s="10" customFormat="1" ht="18" customHeight="1">
      <c r="C610" s="12" t="s">
        <v>3960</v>
      </c>
      <c r="D610" s="12"/>
      <c r="G610" s="9" t="s">
        <v>4583</v>
      </c>
      <c r="H610" s="13" t="s">
        <v>11787</v>
      </c>
      <c r="I610" s="10" t="s">
        <v>4584</v>
      </c>
      <c r="J610" s="25" t="str">
        <f>IF(shinsei_strtower04_prgo01_NINTEI_NO="","",shinsei_strtower04_prgo01_NINTEI_NO)</f>
        <v/>
      </c>
      <c r="K610" s="10" t="s">
        <v>3862</v>
      </c>
      <c r="L610" s="10" t="s">
        <v>3879</v>
      </c>
    </row>
    <row r="611" spans="1:12" s="10" customFormat="1" ht="18" customHeight="1">
      <c r="C611" s="12" t="s">
        <v>3964</v>
      </c>
      <c r="D611" s="12"/>
      <c r="G611" s="9" t="s">
        <v>4585</v>
      </c>
      <c r="H611" s="74"/>
      <c r="I611" s="10" t="s">
        <v>4586</v>
      </c>
      <c r="J611" s="25" t="str">
        <f>IF(shinsei_strtower04_prgo01_NINTEI_DATE="","",TEXT(shinsei_strtower04_prgo01_NINTEI_DATE,"ggge年m月d日")&amp;"  ")</f>
        <v/>
      </c>
    </row>
    <row r="612" spans="1:12" s="10" customFormat="1" ht="18" customHeight="1">
      <c r="C612" s="12" t="s">
        <v>3967</v>
      </c>
      <c r="D612" s="12"/>
      <c r="G612" s="9" t="s">
        <v>4587</v>
      </c>
      <c r="H612" s="13" t="s">
        <v>11787</v>
      </c>
    </row>
    <row r="613" spans="1:12" s="10" customFormat="1" ht="18" customHeight="1">
      <c r="C613" s="12" t="s">
        <v>3970</v>
      </c>
      <c r="D613" s="12"/>
      <c r="G613" s="9"/>
      <c r="H613" s="12"/>
      <c r="I613" s="9" t="s">
        <v>4588</v>
      </c>
      <c r="J613" s="25" t="str">
        <f>IF(shinsei_strtower04_prgo01_NAME="","",shinsei_strtower04_prgo01_NAME)&amp;CHAR(10)&amp;IF(shinsei_strtower04_prgo01_VER="","","Ver."&amp;shinsei_strtower04_prgo01_VER&amp;CHAR(10))</f>
        <v xml:space="preserve">
</v>
      </c>
    </row>
    <row r="614" spans="1:12" s="10" customFormat="1" ht="18" customHeight="1">
      <c r="C614" s="12" t="s">
        <v>3972</v>
      </c>
      <c r="D614" s="12"/>
      <c r="G614" s="9"/>
      <c r="H614" s="12"/>
      <c r="I614" s="9" t="s">
        <v>4589</v>
      </c>
      <c r="J614" s="25" t="str">
        <f>IF(shinsei_strtower04_prgo01_NAME="","",shinsei_strtower04_prgo01_NAME&amp;" ")&amp;IF(shinsei_strtower04_prgo01_VER="","","Ver."&amp;shinsei_strtower04_prgo01_VER&amp;"  ")</f>
        <v/>
      </c>
    </row>
    <row r="615" spans="1:12" s="10" customFormat="1" ht="18" customHeight="1">
      <c r="C615" s="12" t="s">
        <v>3974</v>
      </c>
      <c r="D615" s="12"/>
      <c r="G615" s="9"/>
      <c r="H615" s="12"/>
    </row>
    <row r="616" spans="1:12" s="10" customFormat="1" ht="18" customHeight="1">
      <c r="D616" s="12" t="s">
        <v>3975</v>
      </c>
      <c r="G616" s="9"/>
      <c r="H616" s="12"/>
      <c r="I616" s="9" t="s">
        <v>4590</v>
      </c>
      <c r="J616" s="173" t="str">
        <f>IF(cst_shinsei_strtower04_prgo01_NINTEI__umu="有",shinsei_strtower04_prgo01_MAKER_NAME,"")</f>
        <v/>
      </c>
    </row>
    <row r="617" spans="1:12" s="10" customFormat="1" ht="18" customHeight="1">
      <c r="B617" s="12"/>
      <c r="D617" s="12" t="s">
        <v>3972</v>
      </c>
      <c r="G617" s="9"/>
      <c r="H617" s="12"/>
      <c r="I617" s="9" t="s">
        <v>4591</v>
      </c>
      <c r="J617" s="25" t="str">
        <f>IF(cst_shinsei_strtower04_prgo01_NINTEI__umu="有",IF(shinsei_strtower04_prgo01_NAME="","",shinsei_strtower04_prgo01_NAME&amp;" ")&amp;IF(shinsei_strtower04_prgo01_VER="","","Ver."&amp;shinsei_strtower04_prgo01_VER&amp;"  "),"")</f>
        <v/>
      </c>
    </row>
    <row r="618" spans="1:12" s="10" customFormat="1" ht="18" customHeight="1">
      <c r="C618" s="12" t="s">
        <v>3981</v>
      </c>
      <c r="D618" s="12"/>
      <c r="G618" s="9"/>
      <c r="H618" s="12"/>
    </row>
    <row r="619" spans="1:12" s="10" customFormat="1" ht="18" customHeight="1">
      <c r="B619" s="12"/>
      <c r="D619" s="12" t="s">
        <v>3976</v>
      </c>
      <c r="F619" s="166" t="s">
        <v>3978</v>
      </c>
      <c r="I619" s="9" t="s">
        <v>4592</v>
      </c>
      <c r="J619" s="173" t="str">
        <f>IF(cst_shinsei_strtower04_prgo01_NINTEI__umu="無",IF(shinsei_strtower04_prgo01_MAKER_NAME="","",shinsei_strtower04_prgo01_MAKER_NAME&amp;"  "),"")</f>
        <v/>
      </c>
    </row>
    <row r="620" spans="1:12" s="10" customFormat="1" ht="18" customHeight="1">
      <c r="B620" s="12"/>
      <c r="D620" s="12" t="s">
        <v>3972</v>
      </c>
      <c r="G620" s="9"/>
      <c r="H620" s="12"/>
      <c r="I620" s="9" t="s">
        <v>4593</v>
      </c>
      <c r="J620" s="25" t="str">
        <f>IF(cst_shinsei_strtower04_prgo01_NINTEI__umu="無",IF(shinsei_strtower04_prgo01_NAME="","",shinsei_strtower04_prgo01_NAME&amp;" ")&amp;IF(shinsei_strtower04_prgo01_VER="","","Ver."&amp;shinsei_strtower04_prgo01_VER&amp;"  "),"")</f>
        <v/>
      </c>
    </row>
    <row r="621" spans="1:12" s="166" customFormat="1" ht="18" customHeight="1">
      <c r="A621" s="174"/>
      <c r="C621" s="166" t="s">
        <v>3985</v>
      </c>
      <c r="I621" s="166" t="s">
        <v>4594</v>
      </c>
      <c r="J621" s="173" t="str">
        <f>IF(cst_shinsei_strtower04_prgo01_NINTEI__umu="有",cst_shinsei_strtower04_prgo01_NAME,"")</f>
        <v/>
      </c>
    </row>
    <row r="622" spans="1:12" s="166" customFormat="1" ht="18" customHeight="1">
      <c r="A622" s="174"/>
      <c r="C622" s="166" t="s">
        <v>3987</v>
      </c>
      <c r="I622" s="10" t="s">
        <v>4595</v>
      </c>
      <c r="J622" s="173" t="str">
        <f>IF(cst_shinsei_strtower04_prgo01_NINTEI__umu="有",cst_shinsei_strtower04_prgo01_VER,"")</f>
        <v/>
      </c>
    </row>
    <row r="623" spans="1:12" s="166" customFormat="1" ht="18" customHeight="1">
      <c r="A623" s="174"/>
      <c r="C623" s="166" t="s">
        <v>3990</v>
      </c>
      <c r="I623" s="166" t="s">
        <v>4596</v>
      </c>
      <c r="J623" s="173" t="str">
        <f>IF(cst_shinsei_strtower04_prgo01_NINTEI__umu="有",shinsei_strtower04_prgo01_NINTEI_DATE,"")</f>
        <v/>
      </c>
    </row>
    <row r="624" spans="1:12" s="166" customFormat="1" ht="18" customHeight="1">
      <c r="A624" s="174"/>
      <c r="C624" s="166" t="s">
        <v>3993</v>
      </c>
      <c r="I624" s="166" t="s">
        <v>4597</v>
      </c>
      <c r="J624" s="173" t="str">
        <f>IF(cst_shinsei_strtower04_prgo01_NINTEI__umu="無",shinsei_strtower04_prgo01_MAKER_NAME,"")</f>
        <v/>
      </c>
    </row>
    <row r="625" spans="1:12" s="166" customFormat="1" ht="18" customHeight="1">
      <c r="A625" s="174"/>
      <c r="C625" s="166" t="s">
        <v>5732</v>
      </c>
      <c r="I625" s="166" t="s">
        <v>4598</v>
      </c>
      <c r="J625" s="173" t="str">
        <f>IF(cst_shinsei_strtower04_prgo01_NINTEI__umu="無",cst_shinsei_strtower04_prgo01_NAME,"")</f>
        <v/>
      </c>
    </row>
    <row r="626" spans="1:12" s="166" customFormat="1" ht="18" customHeight="1">
      <c r="A626" s="174"/>
      <c r="C626" s="166" t="s">
        <v>3997</v>
      </c>
      <c r="I626" s="10" t="s">
        <v>4599</v>
      </c>
      <c r="J626" s="173" t="str">
        <f>IF(cst_shinsei_strtower04_prgo01_NINTEI__umu="無",cst_shinsei_strtower04_prgo01_VER,"")</f>
        <v/>
      </c>
    </row>
    <row r="627" spans="1:12" s="10" customFormat="1" ht="18" customHeight="1">
      <c r="B627" s="105" t="s">
        <v>4000</v>
      </c>
      <c r="C627" s="105"/>
      <c r="D627" s="105"/>
      <c r="E627" s="24"/>
      <c r="F627" s="24"/>
      <c r="G627" s="9"/>
      <c r="H627" s="12"/>
    </row>
    <row r="628" spans="1:12" s="10" customFormat="1" ht="18" customHeight="1">
      <c r="C628" s="10" t="s">
        <v>3951</v>
      </c>
      <c r="D628" s="12"/>
      <c r="G628" s="9" t="s">
        <v>4600</v>
      </c>
      <c r="H628" s="13"/>
      <c r="K628" s="10" t="s">
        <v>3862</v>
      </c>
      <c r="L628" s="10" t="s">
        <v>3879</v>
      </c>
    </row>
    <row r="629" spans="1:12" s="10" customFormat="1" ht="18" customHeight="1">
      <c r="C629" s="12" t="s">
        <v>3954</v>
      </c>
      <c r="D629" s="12"/>
      <c r="G629" s="9" t="s">
        <v>4601</v>
      </c>
      <c r="H629" s="13"/>
    </row>
    <row r="630" spans="1:12" s="10" customFormat="1" ht="18" customHeight="1">
      <c r="C630" s="12" t="s">
        <v>3957</v>
      </c>
      <c r="D630" s="12"/>
      <c r="G630" s="9"/>
      <c r="H630" s="9"/>
      <c r="I630" s="10" t="s">
        <v>4602</v>
      </c>
      <c r="J630" s="25" t="str">
        <f>IF(shinsei_strtower04_prgo02_NAME="","",IF(shinsei_strtower04_prgo02_NINTEI_NO="","無","有"))</f>
        <v/>
      </c>
      <c r="K630" s="10" t="s">
        <v>2941</v>
      </c>
      <c r="L630" s="10" t="s">
        <v>3879</v>
      </c>
    </row>
    <row r="631" spans="1:12" s="10" customFormat="1" ht="18" customHeight="1">
      <c r="C631" s="12" t="s">
        <v>3960</v>
      </c>
      <c r="D631" s="12"/>
      <c r="G631" s="9" t="s">
        <v>4603</v>
      </c>
      <c r="H631" s="13"/>
      <c r="K631" s="10" t="s">
        <v>3862</v>
      </c>
      <c r="L631" s="10" t="s">
        <v>3879</v>
      </c>
    </row>
    <row r="632" spans="1:12" s="10" customFormat="1" ht="18" customHeight="1">
      <c r="C632" s="12" t="s">
        <v>3964</v>
      </c>
      <c r="D632" s="12"/>
      <c r="G632" s="9" t="s">
        <v>4604</v>
      </c>
      <c r="H632" s="74"/>
      <c r="I632" s="10" t="s">
        <v>4605</v>
      </c>
      <c r="J632" s="25" t="str">
        <f>IF(shinsei_strtower04_prgo02_NINTEI_DATE="","",shinsei_strtower04_prgo02_NINTEI_DATE)</f>
        <v/>
      </c>
    </row>
    <row r="633" spans="1:12" s="10" customFormat="1" ht="18" customHeight="1">
      <c r="C633" s="12" t="s">
        <v>3967</v>
      </c>
      <c r="D633" s="12"/>
      <c r="G633" s="9" t="s">
        <v>4606</v>
      </c>
      <c r="H633" s="13"/>
    </row>
    <row r="634" spans="1:12" s="10" customFormat="1" ht="18" customHeight="1">
      <c r="C634" s="12" t="s">
        <v>3970</v>
      </c>
      <c r="D634" s="12"/>
      <c r="G634" s="9"/>
      <c r="H634" s="12"/>
      <c r="I634" s="9" t="s">
        <v>4607</v>
      </c>
      <c r="J634" s="25" t="str">
        <f>IF(shinsei_strtower04_prgo02_NAME="","",shinsei_strtower04_prgo02_NAME)&amp;CHAR(10)&amp;IF(shinsei_strtower04_prgo02_VER="","","Ver."&amp;shinsei_strtower04_prgo02_VER&amp;CHAR(10))</f>
        <v xml:space="preserve">
</v>
      </c>
    </row>
    <row r="635" spans="1:12" s="10" customFormat="1" ht="18" customHeight="1">
      <c r="C635" s="12" t="s">
        <v>3972</v>
      </c>
      <c r="D635" s="12"/>
      <c r="G635" s="9"/>
      <c r="H635" s="12"/>
      <c r="I635" s="9" t="s">
        <v>4608</v>
      </c>
      <c r="J635" s="25" t="str">
        <f>IF(shinsei_strtower04_prgo02_NAME="","",shinsei_strtower04_prgo02_NAME&amp;" ")&amp;IF(shinsei_strtower04_prgo02_VER="","","Ver."&amp;shinsei_strtower04_prgo02_VER&amp;"  ")</f>
        <v/>
      </c>
    </row>
    <row r="636" spans="1:12" s="10" customFormat="1" ht="18" customHeight="1">
      <c r="C636" s="12" t="s">
        <v>3974</v>
      </c>
      <c r="D636" s="12"/>
      <c r="G636" s="9"/>
      <c r="H636" s="12"/>
    </row>
    <row r="637" spans="1:12" s="10" customFormat="1" ht="18" customHeight="1">
      <c r="D637" s="12" t="s">
        <v>3975</v>
      </c>
      <c r="G637" s="9"/>
      <c r="H637" s="12"/>
      <c r="I637" s="9" t="s">
        <v>4609</v>
      </c>
      <c r="J637" s="173" t="str">
        <f>IF(cst_shinsei_strtower04_prgo02_NINTEI__umu="有",IF(shinsei_strtower04_prgo02_MAKER_NAME="","",shinsei_strtower04_prgo02_MAKER_NAME&amp;"  "),"")</f>
        <v/>
      </c>
    </row>
    <row r="638" spans="1:12" s="10" customFormat="1" ht="18" customHeight="1">
      <c r="D638" s="12" t="s">
        <v>3972</v>
      </c>
      <c r="G638" s="9"/>
      <c r="H638" s="12"/>
      <c r="I638" s="9" t="s">
        <v>4610</v>
      </c>
      <c r="J638" s="25" t="str">
        <f>IF(cst_shinsei_strtower04_prgo02_NINTEI__umu="有",IF(shinsei_strtower04_prgo02_NAME="","",shinsei_strtower04_prgo02_NAME&amp;" ")&amp;IF(shinsei_strtower04_prgo02_VER="","","Ver."&amp;shinsei_strtower04_prgo02_VER&amp;"  "),"")</f>
        <v/>
      </c>
    </row>
    <row r="639" spans="1:12" s="10" customFormat="1" ht="18" customHeight="1">
      <c r="C639" s="12" t="s">
        <v>3981</v>
      </c>
      <c r="D639" s="12"/>
      <c r="G639" s="9"/>
      <c r="H639" s="12"/>
    </row>
    <row r="640" spans="1:12" s="10" customFormat="1" ht="18" customHeight="1">
      <c r="D640" s="12" t="s">
        <v>3975</v>
      </c>
      <c r="G640" s="9"/>
      <c r="H640" s="12"/>
      <c r="I640" s="9" t="s">
        <v>4611</v>
      </c>
      <c r="J640" s="173" t="str">
        <f>IF(cst_shinsei_strtower04_prgo02_NINTEI__umu="無",IF(shinsei_strtower04_prgo02_MAKER_NAME="","",shinsei_strtower04_prgo02_MAKER_NAME&amp;"  "),"")</f>
        <v/>
      </c>
    </row>
    <row r="641" spans="2:12" s="10" customFormat="1" ht="18" customHeight="1">
      <c r="D641" s="12" t="s">
        <v>3972</v>
      </c>
      <c r="G641" s="9"/>
      <c r="H641" s="12"/>
      <c r="I641" s="9" t="s">
        <v>4612</v>
      </c>
      <c r="J641" s="25" t="str">
        <f>IF(cst_shinsei_strtower04_prgo02_NINTEI__umu="無",IF(shinsei_strtower04_prgo02_NAME="","",shinsei_strtower04_prgo02_NAME&amp;" ")&amp;IF(shinsei_strtower04_prgo02_VER="","","Ver."&amp;shinsei_strtower04_prgo02_VER&amp;"  "),"")</f>
        <v/>
      </c>
    </row>
    <row r="642" spans="2:12" s="10" customFormat="1" ht="18" customHeight="1">
      <c r="B642" s="105" t="s">
        <v>4016</v>
      </c>
      <c r="C642" s="105"/>
      <c r="D642" s="105"/>
      <c r="E642" s="24"/>
      <c r="F642" s="24"/>
      <c r="G642" s="9"/>
      <c r="H642" s="12"/>
    </row>
    <row r="643" spans="2:12" s="10" customFormat="1" ht="18" customHeight="1">
      <c r="C643" s="10" t="s">
        <v>3951</v>
      </c>
      <c r="D643" s="12"/>
      <c r="G643" s="9" t="s">
        <v>4613</v>
      </c>
      <c r="H643" s="13"/>
      <c r="K643" s="10" t="s">
        <v>3862</v>
      </c>
      <c r="L643" s="10" t="s">
        <v>3879</v>
      </c>
    </row>
    <row r="644" spans="2:12" s="10" customFormat="1" ht="18" customHeight="1">
      <c r="C644" s="12" t="s">
        <v>3954</v>
      </c>
      <c r="D644" s="12"/>
      <c r="G644" s="9" t="s">
        <v>4614</v>
      </c>
      <c r="H644" s="13"/>
    </row>
    <row r="645" spans="2:12" s="10" customFormat="1" ht="18" customHeight="1">
      <c r="C645" s="12" t="s">
        <v>3957</v>
      </c>
      <c r="D645" s="12"/>
      <c r="G645" s="9"/>
      <c r="H645" s="9"/>
      <c r="I645" s="10" t="s">
        <v>4615</v>
      </c>
      <c r="J645" s="25" t="str">
        <f>IF(shinsei_strtower04_prgo03_NAME="","",IF(shinsei_strtower04_prgo03_NINTEI_NO="","無","有"))</f>
        <v/>
      </c>
      <c r="K645" s="10" t="s">
        <v>2941</v>
      </c>
      <c r="L645" s="10" t="s">
        <v>3879</v>
      </c>
    </row>
    <row r="646" spans="2:12" s="10" customFormat="1" ht="18" customHeight="1">
      <c r="C646" s="12" t="s">
        <v>3960</v>
      </c>
      <c r="D646" s="12"/>
      <c r="G646" s="9" t="s">
        <v>4616</v>
      </c>
      <c r="H646" s="13"/>
      <c r="K646" s="10" t="s">
        <v>3862</v>
      </c>
      <c r="L646" s="10" t="s">
        <v>3879</v>
      </c>
    </row>
    <row r="647" spans="2:12" s="10" customFormat="1" ht="18" customHeight="1">
      <c r="C647" s="12" t="s">
        <v>3964</v>
      </c>
      <c r="D647" s="12"/>
      <c r="G647" s="9" t="s">
        <v>4617</v>
      </c>
      <c r="H647" s="74"/>
      <c r="I647" s="10" t="s">
        <v>4618</v>
      </c>
      <c r="J647" s="25" t="str">
        <f>IF(shinsei_strtower04_prgo03_NINTEI_DATE="","",TEXT(shinsei_strtower04_prgo03_NINTEI_DATE,"ggge年m月d日")&amp;"  ")</f>
        <v/>
      </c>
    </row>
    <row r="648" spans="2:12" s="10" customFormat="1" ht="18" customHeight="1">
      <c r="C648" s="12" t="s">
        <v>3967</v>
      </c>
      <c r="D648" s="12"/>
      <c r="G648" s="9" t="s">
        <v>4619</v>
      </c>
      <c r="H648" s="13"/>
      <c r="I648" s="9"/>
      <c r="J648" s="9"/>
    </row>
    <row r="649" spans="2:12" s="10" customFormat="1" ht="18" customHeight="1">
      <c r="C649" s="12" t="s">
        <v>3970</v>
      </c>
      <c r="D649" s="12"/>
      <c r="G649" s="9"/>
      <c r="H649" s="12"/>
      <c r="I649" s="9" t="s">
        <v>4620</v>
      </c>
      <c r="J649" s="25" t="str">
        <f>IF(shinsei_strtower04_prgo03_NAME="","",shinsei_strtower04_prgo03_NAME)&amp;CHAR(10)&amp;IF(shinsei_strtower04_prgo03_VER="","","Ver."&amp;shinsei_strtower04_prgo03_VER&amp;CHAR(10))</f>
        <v xml:space="preserve">
</v>
      </c>
    </row>
    <row r="650" spans="2:12" s="10" customFormat="1" ht="18" customHeight="1">
      <c r="C650" s="12" t="s">
        <v>3972</v>
      </c>
      <c r="D650" s="12"/>
      <c r="G650" s="9"/>
      <c r="H650" s="12"/>
      <c r="I650" s="9" t="s">
        <v>4621</v>
      </c>
      <c r="J650" s="25" t="str">
        <f>IF(shinsei_strtower04_prgo03_NAME="","",shinsei_strtower04_prgo03_NAME&amp;" ")&amp;IF(shinsei_strtower04_prgo03_VER="","","Ver."&amp;shinsei_strtower04_prgo03_VER&amp;"  ")</f>
        <v/>
      </c>
    </row>
    <row r="651" spans="2:12" s="10" customFormat="1" ht="18" customHeight="1">
      <c r="C651" s="12" t="s">
        <v>3974</v>
      </c>
      <c r="D651" s="12"/>
      <c r="G651" s="9"/>
      <c r="H651" s="12"/>
    </row>
    <row r="652" spans="2:12" s="10" customFormat="1" ht="18" customHeight="1">
      <c r="D652" s="12" t="s">
        <v>3975</v>
      </c>
      <c r="G652" s="9"/>
      <c r="H652" s="12"/>
      <c r="I652" s="9" t="s">
        <v>4622</v>
      </c>
      <c r="J652" s="173" t="str">
        <f>IF(cst_shinsei_strtower04_prgo03_NINTEI__umu="有",IF(shinsei_strtower04_prgo03_MAKER_NAME="","",shinsei_strtower04_prgo03_MAKER_NAME&amp;"  "),"")</f>
        <v/>
      </c>
    </row>
    <row r="653" spans="2:12" s="10" customFormat="1" ht="18" customHeight="1">
      <c r="D653" s="12" t="s">
        <v>3972</v>
      </c>
      <c r="G653" s="9"/>
      <c r="H653" s="12"/>
      <c r="I653" s="9" t="s">
        <v>4623</v>
      </c>
      <c r="J653" s="25" t="str">
        <f>IF(cst_shinsei_strtower04_prgo03_NINTEI__umu="有",IF(shinsei_strtower04_prgo03_NAME="","",shinsei_strtower04_prgo03_NAME&amp;" ")&amp;IF(shinsei_strtower04_prgo03_VER="","","Ver."&amp;shinsei_strtower04_prgo03_VER&amp;"  "),"")</f>
        <v/>
      </c>
    </row>
    <row r="654" spans="2:12" s="10" customFormat="1" ht="18" customHeight="1">
      <c r="C654" s="12" t="s">
        <v>3981</v>
      </c>
      <c r="D654" s="12"/>
      <c r="G654" s="9"/>
      <c r="H654" s="12"/>
    </row>
    <row r="655" spans="2:12" s="10" customFormat="1" ht="18" customHeight="1">
      <c r="D655" s="12" t="s">
        <v>3975</v>
      </c>
      <c r="G655" s="9"/>
      <c r="H655" s="12"/>
      <c r="I655" s="9" t="s">
        <v>4624</v>
      </c>
      <c r="J655" s="173" t="str">
        <f>IF(cst_shinsei_strtower04_prgo03_NINTEI__umu="無",IF(shinsei_strtower04_prgo03_MAKER_NAME="","",shinsei_strtower04_prgo03_MAKER_NAME&amp;"  "),"")</f>
        <v/>
      </c>
    </row>
    <row r="656" spans="2:12" s="10" customFormat="1" ht="18" customHeight="1">
      <c r="D656" s="12" t="s">
        <v>3972</v>
      </c>
      <c r="G656" s="9"/>
      <c r="H656" s="12"/>
      <c r="I656" s="9" t="s">
        <v>4625</v>
      </c>
      <c r="J656" s="25" t="str">
        <f>IF(cst_shinsei_strtower04_prgo03_NINTEI__umu="無",IF(shinsei_strtower04_prgo03_NAME="","",shinsei_strtower04_prgo03_NAME&amp;" ")&amp;IF(shinsei_strtower04_prgo03_VER="","","Ver."&amp;shinsei_strtower04_prgo03_VER&amp;"  "),"")</f>
        <v/>
      </c>
    </row>
    <row r="657" spans="2:12" s="10" customFormat="1" ht="18" customHeight="1">
      <c r="B657" s="105" t="s">
        <v>4031</v>
      </c>
      <c r="C657" s="105"/>
      <c r="D657" s="105"/>
      <c r="E657" s="24"/>
      <c r="F657" s="24"/>
      <c r="G657" s="9"/>
      <c r="H657" s="12"/>
    </row>
    <row r="658" spans="2:12" s="10" customFormat="1" ht="18" customHeight="1">
      <c r="C658" s="10" t="s">
        <v>3951</v>
      </c>
      <c r="D658" s="12"/>
      <c r="G658" s="9" t="s">
        <v>4626</v>
      </c>
      <c r="H658" s="13"/>
      <c r="K658" s="10" t="s">
        <v>3862</v>
      </c>
      <c r="L658" s="10" t="s">
        <v>3879</v>
      </c>
    </row>
    <row r="659" spans="2:12" s="10" customFormat="1" ht="18" customHeight="1">
      <c r="C659" s="12" t="s">
        <v>3954</v>
      </c>
      <c r="D659" s="12"/>
      <c r="G659" s="9" t="s">
        <v>4627</v>
      </c>
      <c r="H659" s="13"/>
    </row>
    <row r="660" spans="2:12" s="10" customFormat="1" ht="18" customHeight="1">
      <c r="C660" s="12" t="s">
        <v>3957</v>
      </c>
      <c r="D660" s="12"/>
      <c r="G660" s="9"/>
      <c r="H660" s="9"/>
      <c r="I660" s="10" t="s">
        <v>4628</v>
      </c>
      <c r="J660" s="25" t="str">
        <f>IF(shinsei_strtower04_prgo04_NAME="","",IF(shinsei_strtower04_prgo04_NINTEI_NO="","無","有"))</f>
        <v/>
      </c>
      <c r="K660" s="10" t="s">
        <v>2941</v>
      </c>
      <c r="L660" s="10" t="s">
        <v>3879</v>
      </c>
    </row>
    <row r="661" spans="2:12" s="10" customFormat="1" ht="18" customHeight="1">
      <c r="C661" s="12" t="s">
        <v>3960</v>
      </c>
      <c r="D661" s="12"/>
      <c r="G661" s="9" t="s">
        <v>4629</v>
      </c>
      <c r="H661" s="13"/>
      <c r="K661" s="10" t="s">
        <v>3862</v>
      </c>
      <c r="L661" s="10" t="s">
        <v>3879</v>
      </c>
    </row>
    <row r="662" spans="2:12" s="10" customFormat="1" ht="18" customHeight="1">
      <c r="C662" s="12" t="s">
        <v>3964</v>
      </c>
      <c r="D662" s="12"/>
      <c r="G662" s="9" t="s">
        <v>4630</v>
      </c>
      <c r="H662" s="74"/>
      <c r="I662" s="10" t="s">
        <v>4631</v>
      </c>
      <c r="J662" s="25" t="str">
        <f>IF(shinsei_strtower04_prgo04_NINTEI_DATE="","",TEXT(shinsei_strtower04_prgo04_NINTEI_DATE,"ggge年m月d日")&amp;"  ")</f>
        <v/>
      </c>
    </row>
    <row r="663" spans="2:12" s="10" customFormat="1" ht="18" customHeight="1">
      <c r="C663" s="12" t="s">
        <v>3967</v>
      </c>
      <c r="D663" s="12"/>
      <c r="G663" s="9" t="s">
        <v>4632</v>
      </c>
      <c r="H663" s="13"/>
      <c r="I663" s="9"/>
      <c r="J663" s="9"/>
    </row>
    <row r="664" spans="2:12" s="10" customFormat="1" ht="18" customHeight="1">
      <c r="C664" s="12" t="s">
        <v>3970</v>
      </c>
      <c r="D664" s="12"/>
      <c r="G664" s="9"/>
      <c r="H664" s="12"/>
      <c r="I664" s="9" t="s">
        <v>4633</v>
      </c>
      <c r="J664" s="25" t="str">
        <f>IF(shinsei_strtower04_prgo04_NAME="","",shinsei_strtower04_prgo04_NAME)&amp;CHAR(10)&amp;IF(shinsei_strtower04_prgo04_VER="","","Ver."&amp;shinsei_strtower04_prgo04_VER&amp;CHAR(10))</f>
        <v xml:space="preserve">
</v>
      </c>
    </row>
    <row r="665" spans="2:12" s="10" customFormat="1" ht="18" customHeight="1">
      <c r="C665" s="12" t="s">
        <v>3972</v>
      </c>
      <c r="D665" s="12"/>
      <c r="G665" s="9"/>
      <c r="H665" s="12"/>
      <c r="I665" s="9" t="s">
        <v>4634</v>
      </c>
      <c r="J665" s="25" t="str">
        <f>IF(shinsei_strtower04_prgo04_NAME="","",shinsei_strtower04_prgo04_NAME&amp;" ")&amp;IF(shinsei_strtower04_prgo04_VER="","","Ver."&amp;shinsei_strtower04_prgo04_VER&amp;"  ")</f>
        <v/>
      </c>
    </row>
    <row r="666" spans="2:12" s="10" customFormat="1" ht="18" customHeight="1">
      <c r="C666" s="12" t="s">
        <v>3974</v>
      </c>
      <c r="D666" s="12"/>
      <c r="G666" s="9"/>
      <c r="H666" s="12"/>
    </row>
    <row r="667" spans="2:12" s="10" customFormat="1" ht="18" customHeight="1">
      <c r="D667" s="12" t="s">
        <v>3975</v>
      </c>
      <c r="G667" s="9"/>
      <c r="H667" s="12"/>
      <c r="I667" s="9" t="s">
        <v>4635</v>
      </c>
      <c r="J667" s="173" t="str">
        <f>IF(cst_shinsei_strtower04_prgo04_NINTEI__umu="有",IF(shinsei_strtower04_prgo04_MAKER_NAME="","",shinsei_strtower04_prgo04_MAKER_NAME&amp;"  "),"")</f>
        <v/>
      </c>
    </row>
    <row r="668" spans="2:12" s="10" customFormat="1" ht="18" customHeight="1">
      <c r="D668" s="12" t="s">
        <v>3972</v>
      </c>
      <c r="G668" s="9"/>
      <c r="H668" s="12"/>
      <c r="I668" s="9" t="s">
        <v>4636</v>
      </c>
      <c r="J668" s="25" t="str">
        <f>IF(cst_shinsei_strtower04_prgo04_NINTEI__umu="有",IF(shinsei_strtower04_prgo04_NAME="","",shinsei_strtower04_prgo04_NAME&amp;" ")&amp;IF(shinsei_strtower04_prgo04_VER="","","Ver."&amp;shinsei_strtower04_prgo04_VER&amp;"  "),"")</f>
        <v/>
      </c>
    </row>
    <row r="669" spans="2:12" s="10" customFormat="1" ht="18" customHeight="1">
      <c r="C669" s="12" t="s">
        <v>3981</v>
      </c>
      <c r="D669" s="12"/>
      <c r="G669" s="9"/>
      <c r="H669" s="12"/>
    </row>
    <row r="670" spans="2:12" s="10" customFormat="1" ht="18" customHeight="1">
      <c r="D670" s="12" t="s">
        <v>5759</v>
      </c>
      <c r="G670" s="9"/>
      <c r="H670" s="12"/>
      <c r="I670" s="9" t="s">
        <v>4637</v>
      </c>
      <c r="J670" s="173" t="str">
        <f>IF(cst_shinsei_strtower04_prgo04_NINTEI__umu="無",IF(shinsei_strtower04_prgo04_MAKER_NAME="","",shinsei_strtower04_prgo04_MAKER_NAME&amp;"  "),"")</f>
        <v/>
      </c>
    </row>
    <row r="671" spans="2:12" s="10" customFormat="1" ht="18" customHeight="1">
      <c r="D671" s="12" t="s">
        <v>3972</v>
      </c>
      <c r="G671" s="9"/>
      <c r="H671" s="12"/>
      <c r="I671" s="9" t="s">
        <v>4638</v>
      </c>
      <c r="J671" s="25" t="str">
        <f>IF(cst_shinsei_strtower04_prgo04_NINTEI__umu="無",IF(shinsei_strtower04_prgo04_NAME="","",shinsei_strtower04_prgo04_NAME&amp;" ")&amp;IF(shinsei_strtower04_prgo04_VER="","","Ver."&amp;shinsei_strtower04_prgo04_VER&amp;"  "),"")</f>
        <v/>
      </c>
    </row>
    <row r="672" spans="2:12" s="10" customFormat="1" ht="18" customHeight="1">
      <c r="B672" s="105" t="s">
        <v>4639</v>
      </c>
      <c r="C672" s="105"/>
      <c r="D672" s="105"/>
      <c r="E672" s="24"/>
      <c r="F672" s="24"/>
      <c r="G672" s="9"/>
      <c r="H672" s="12"/>
    </row>
    <row r="673" spans="2:12" s="10" customFormat="1" ht="18" customHeight="1">
      <c r="C673" s="10" t="s">
        <v>3951</v>
      </c>
      <c r="D673" s="12"/>
      <c r="G673" s="9" t="s">
        <v>4640</v>
      </c>
      <c r="H673" s="13"/>
      <c r="K673" s="10" t="s">
        <v>5764</v>
      </c>
      <c r="L673" s="10" t="s">
        <v>3879</v>
      </c>
    </row>
    <row r="674" spans="2:12" s="10" customFormat="1" ht="18" customHeight="1">
      <c r="C674" s="12" t="s">
        <v>5765</v>
      </c>
      <c r="D674" s="12"/>
      <c r="G674" s="9" t="s">
        <v>4641</v>
      </c>
      <c r="H674" s="13"/>
    </row>
    <row r="675" spans="2:12" s="10" customFormat="1" ht="18" customHeight="1">
      <c r="C675" s="12" t="s">
        <v>3957</v>
      </c>
      <c r="D675" s="12"/>
      <c r="G675" s="9"/>
      <c r="H675" s="9"/>
      <c r="I675" s="10" t="s">
        <v>4642</v>
      </c>
      <c r="J675" s="25" t="str">
        <f>IF(shinsei_strtower04_prgo05_NAME="","",IF(shinsei_strtower04_prgo05_NINTEI_NO="","無","有"))</f>
        <v/>
      </c>
      <c r="K675" s="10" t="s">
        <v>2941</v>
      </c>
      <c r="L675" s="10" t="s">
        <v>3879</v>
      </c>
    </row>
    <row r="676" spans="2:12" s="10" customFormat="1" ht="18" customHeight="1">
      <c r="C676" s="12" t="s">
        <v>3960</v>
      </c>
      <c r="D676" s="12"/>
      <c r="G676" s="9" t="s">
        <v>4643</v>
      </c>
      <c r="H676" s="13"/>
      <c r="K676" s="10" t="s">
        <v>3862</v>
      </c>
      <c r="L676" s="10" t="s">
        <v>3879</v>
      </c>
    </row>
    <row r="677" spans="2:12" s="10" customFormat="1" ht="18" customHeight="1">
      <c r="C677" s="12" t="s">
        <v>3964</v>
      </c>
      <c r="D677" s="12"/>
      <c r="G677" s="9" t="s">
        <v>4644</v>
      </c>
      <c r="H677" s="74"/>
      <c r="I677" s="10" t="s">
        <v>4645</v>
      </c>
      <c r="J677" s="25" t="str">
        <f>IF(shinsei_strtower04_prgo05_NINTEI_DATE="","",TEXT(shinsei_strtower04_prgo05_NINTEI_DATE,"ggge年m月d日")&amp;"  ")</f>
        <v/>
      </c>
    </row>
    <row r="678" spans="2:12" s="10" customFormat="1" ht="18" customHeight="1">
      <c r="C678" s="12" t="s">
        <v>3967</v>
      </c>
      <c r="D678" s="12"/>
      <c r="G678" s="9" t="s">
        <v>4646</v>
      </c>
      <c r="H678" s="13"/>
    </row>
    <row r="679" spans="2:12" s="10" customFormat="1" ht="18" customHeight="1">
      <c r="C679" s="12" t="s">
        <v>3970</v>
      </c>
      <c r="D679" s="12"/>
      <c r="G679" s="9"/>
      <c r="H679" s="12"/>
      <c r="I679" s="9" t="s">
        <v>4647</v>
      </c>
      <c r="J679" s="25" t="str">
        <f>IF(shinsei_strtower04_prgo05_NAME="","",shinsei_strtower04_prgo05_NAME)&amp;CHAR(10)&amp;IF(shinsei_strtower04_prgo05_VER="","","Ver."&amp;shinsei_strtower04_prgo05_VER&amp;CHAR(10))</f>
        <v xml:space="preserve">
</v>
      </c>
    </row>
    <row r="680" spans="2:12" s="10" customFormat="1" ht="18" customHeight="1">
      <c r="C680" s="12" t="s">
        <v>3972</v>
      </c>
      <c r="D680" s="12"/>
      <c r="G680" s="9"/>
      <c r="H680" s="12"/>
      <c r="I680" s="9" t="s">
        <v>4648</v>
      </c>
      <c r="J680" s="25" t="str">
        <f>IF(shinsei_strtower04_prgo05_NAME="","",shinsei_strtower04_prgo05_NAME&amp;" ")&amp;IF(shinsei_strtower04_prgo05_VER="","","Ver."&amp;shinsei_strtower04_prgo05_VER&amp;"  ")</f>
        <v/>
      </c>
    </row>
    <row r="681" spans="2:12" s="10" customFormat="1" ht="18" customHeight="1">
      <c r="C681" s="12" t="s">
        <v>3974</v>
      </c>
      <c r="D681" s="12"/>
      <c r="G681" s="9"/>
      <c r="H681" s="12"/>
    </row>
    <row r="682" spans="2:12" s="10" customFormat="1" ht="18" customHeight="1">
      <c r="D682" s="12" t="s">
        <v>3975</v>
      </c>
      <c r="G682" s="9"/>
      <c r="H682" s="12"/>
      <c r="I682" s="9" t="s">
        <v>4649</v>
      </c>
      <c r="J682" s="173" t="str">
        <f>IF(cst_shinsei_strtower04_prgo05_NINTEI__umu="有",IF(shinsei_strtower04_prgo05_MAKER_NAME="","",shinsei_strtower04_prgo05_MAKER_NAME&amp;"  "),"")</f>
        <v/>
      </c>
    </row>
    <row r="683" spans="2:12" s="10" customFormat="1" ht="18" customHeight="1">
      <c r="D683" s="12" t="s">
        <v>3972</v>
      </c>
      <c r="G683" s="9"/>
      <c r="H683" s="12"/>
      <c r="I683" s="9" t="s">
        <v>4650</v>
      </c>
      <c r="J683" s="25" t="str">
        <f>IF(cst_shinsei_strtower04_prgo05_NINTEI__umu="有",IF(shinsei_strtower04_prgo05_NAME="","",shinsei_strtower04_prgo05_NAME&amp;" ")&amp;IF(shinsei_strtower04_prgo05_VER="","","Ver."&amp;shinsei_strtower04_prgo05_VER&amp;"  "),"")</f>
        <v/>
      </c>
    </row>
    <row r="684" spans="2:12" s="10" customFormat="1" ht="18" customHeight="1">
      <c r="C684" s="12" t="s">
        <v>3981</v>
      </c>
      <c r="D684" s="12"/>
      <c r="G684" s="9"/>
      <c r="H684" s="12"/>
    </row>
    <row r="685" spans="2:12" s="10" customFormat="1" ht="18" customHeight="1">
      <c r="D685" s="12" t="s">
        <v>3975</v>
      </c>
      <c r="G685" s="9"/>
      <c r="H685" s="12"/>
      <c r="I685" s="9" t="s">
        <v>4651</v>
      </c>
      <c r="J685" s="173" t="str">
        <f>IF(cst_shinsei_strtower04_prgo05_NINTEI__umu="無",IF(shinsei_strtower04_prgo05_MAKER_NAME="","",shinsei_strtower04_prgo05_MAKER_NAME&amp;"  "),"")</f>
        <v/>
      </c>
    </row>
    <row r="686" spans="2:12" s="10" customFormat="1" ht="18" customHeight="1">
      <c r="D686" s="12" t="s">
        <v>3972</v>
      </c>
      <c r="G686" s="9"/>
      <c r="H686" s="12"/>
      <c r="I686" s="9" t="s">
        <v>4652</v>
      </c>
      <c r="J686" s="25" t="str">
        <f>IF(cst_shinsei_strtower04_prgo05_NINTEI__umu="無",IF(shinsei_strtower04_prgo05_NAME="","",shinsei_strtower04_prgo05_NAME&amp;" ")&amp;IF(shinsei_strtower04_prgo05_VER="","","Ver."&amp;shinsei_strtower04_prgo05_VER&amp;"  "),"")</f>
        <v/>
      </c>
    </row>
    <row r="687" spans="2:12" s="10" customFormat="1" ht="18" customHeight="1">
      <c r="B687" s="13" t="s">
        <v>3827</v>
      </c>
      <c r="C687" s="13"/>
      <c r="D687" s="13"/>
      <c r="E687" s="25"/>
      <c r="F687" s="25"/>
      <c r="G687" s="9"/>
      <c r="H687" s="80"/>
      <c r="I687" s="9"/>
      <c r="J687" s="80"/>
    </row>
    <row r="688" spans="2:12" s="10" customFormat="1" ht="18" customHeight="1">
      <c r="C688" s="12" t="s">
        <v>3970</v>
      </c>
      <c r="D688" s="12"/>
      <c r="G688" s="9"/>
      <c r="H688" s="80"/>
      <c r="I688" s="166" t="s">
        <v>4653</v>
      </c>
      <c r="J688" s="74" t="str">
        <f>cst_shinsei_strtower04_prgo01_NAME_VER&amp;cst_shinsei_strtower04_prgo02_NAME_VER&amp;cst_shinsei_strtower04_prgo03_NAME_VER&amp;cst_shinsei_strtower04_prgo04_NAME_VER&amp;cst_shinsei_strtower04_prgo05_NAME_VER</f>
        <v xml:space="preserve">
</v>
      </c>
    </row>
    <row r="689" spans="1:12" s="10" customFormat="1" ht="18" customHeight="1">
      <c r="C689" s="12" t="s">
        <v>3972</v>
      </c>
      <c r="D689" s="12"/>
      <c r="G689" s="9"/>
      <c r="H689" s="80"/>
      <c r="I689" s="166" t="s">
        <v>4654</v>
      </c>
      <c r="J689" s="74" t="str">
        <f>cst_shinsei_strtower04_prgo01_NAME_VER__SP&amp;cst_shinsei_strtower04_prgo02_NAME_VER__SP&amp;cst_shinsei_strtower04_prgo03_NAME_VER__SP&amp;cst_shinsei_strtower04_prgo04_NAME_VER__SP&amp;cst_shinsei_strtower04_prgo05_NAME_VER__SP</f>
        <v/>
      </c>
    </row>
    <row r="690" spans="1:12" s="10" customFormat="1" ht="18" customHeight="1">
      <c r="B690" s="13" t="s">
        <v>4068</v>
      </c>
      <c r="C690" s="13"/>
      <c r="D690" s="13"/>
      <c r="E690" s="25"/>
      <c r="F690" s="25"/>
      <c r="G690" s="9"/>
      <c r="H690" s="80"/>
      <c r="I690" s="9"/>
      <c r="J690" s="80"/>
    </row>
    <row r="691" spans="1:12" s="10" customFormat="1" ht="18" customHeight="1">
      <c r="C691" s="12" t="s">
        <v>3975</v>
      </c>
      <c r="D691" s="12"/>
      <c r="G691" s="9"/>
      <c r="H691" s="80"/>
      <c r="I691" s="166" t="s">
        <v>4655</v>
      </c>
      <c r="J691" s="74" t="str">
        <f>cst_shinsei_strtower04_prgo01_NINTEI_DATE_dsp&amp;cst_shinsei_strtower04_prgo02_MAKER__NINTEI_ari&amp;cst_shinsei_strtower04_prgo03_MAKER__NINTEI_ari&amp;cst_shinsei_strtower04_prgo04_MAKER__NINTEI_ari&amp;cst_shinsei_strtower04_prgo05_MAKER__NINTEI_ari</f>
        <v/>
      </c>
    </row>
    <row r="692" spans="1:12" s="10" customFormat="1" ht="18" customHeight="1">
      <c r="C692" s="12" t="s">
        <v>3972</v>
      </c>
      <c r="D692" s="12"/>
      <c r="G692" s="9"/>
      <c r="H692" s="80"/>
      <c r="I692" s="166" t="s">
        <v>4656</v>
      </c>
      <c r="J692" s="173" t="str">
        <f>cst_shinsei_strtower04_prgo01_NAME_VER__NINTEI_ari&amp;cst_shinsei_strtower04_prgo02_NAME_VER__NINTEI_ari&amp;cst_shinsei_strtower04_prgo03_NAME_VER__NINTEI_ari&amp;cst_shinsei_strtower04_prgo04_NAME_VER__NINTEI_ari&amp;cst_shinsei_strtower04_prgo05_NAME_VER__NINTEI_ari</f>
        <v/>
      </c>
    </row>
    <row r="693" spans="1:12" s="10" customFormat="1" ht="18" customHeight="1">
      <c r="C693" s="12" t="s">
        <v>3964</v>
      </c>
      <c r="D693" s="12"/>
      <c r="G693" s="9"/>
      <c r="H693" s="80"/>
      <c r="I693" s="166" t="s">
        <v>4657</v>
      </c>
      <c r="J693" s="74" t="str">
        <f>cst_shinsei_strtower04_prgo01_NINTEI_DATE_dsp&amp;cst_shinsei_strtower04_prgo02_NINTEI_DATE_dsp&amp;cst_shinsei_strtower04_prgo03_NINTEI_DATE_dsp&amp;cst_shinsei_strtower04_prgo04_NINTEI_DATE_dsp&amp;cst_shinsei_strtower04_prgo05_NINTEI_DATE_dsp</f>
        <v/>
      </c>
    </row>
    <row r="694" spans="1:12" s="10" customFormat="1" ht="18" customHeight="1">
      <c r="B694" s="13" t="s">
        <v>4072</v>
      </c>
      <c r="C694" s="13"/>
      <c r="D694" s="13"/>
      <c r="E694" s="25"/>
      <c r="F694" s="25"/>
      <c r="G694" s="9"/>
      <c r="H694" s="80"/>
      <c r="I694" s="9"/>
      <c r="J694" s="80"/>
    </row>
    <row r="695" spans="1:12" s="10" customFormat="1" ht="18" customHeight="1">
      <c r="C695" s="12" t="s">
        <v>3975</v>
      </c>
      <c r="D695" s="12"/>
      <c r="G695" s="9"/>
      <c r="H695" s="80"/>
      <c r="I695" s="166" t="s">
        <v>4658</v>
      </c>
      <c r="J695" s="74" t="str">
        <f>cst_shinsei_strtower04_prgo01_MAKER__NINTEI_non&amp;cst_shinsei_strtower04_prgo02_MAKER__NINTEI_non&amp;cst_shinsei_strtower04_prgo03_MAKER__NINTEI_non&amp;cst_shinsei_strtower04_prgo04_MAKER__NINTEI_non&amp;cst_shinsei_strtower04_prgo05_MAKER__NINTEI_non</f>
        <v/>
      </c>
    </row>
    <row r="696" spans="1:12" s="10" customFormat="1" ht="18" customHeight="1">
      <c r="C696" s="12" t="s">
        <v>3972</v>
      </c>
      <c r="D696" s="12"/>
      <c r="G696" s="9"/>
      <c r="H696" s="80"/>
      <c r="I696" s="166" t="s">
        <v>4659</v>
      </c>
      <c r="J696" s="173" t="str">
        <f>cst_shinsei_strtower04_prgo01_NAME_VER__NINTEI_non&amp;cst_shinsei_strtower04_prgo02_NAME_VER__NINTEI_non&amp;cst_shinsei_strtower04_prgo03_NAME_VER__NINTEI_non&amp;cst_shinsei_strtower04_prgo04_NAME_VER__NINTEI_non&amp;cst_shinsei_strtower04_prgo05_NAME_VER__NINTEI_non</f>
        <v/>
      </c>
    </row>
    <row r="697" spans="1:12" s="10" customFormat="1" ht="18" customHeight="1">
      <c r="B697" s="12" t="s">
        <v>4075</v>
      </c>
      <c r="G697" s="9" t="s">
        <v>4660</v>
      </c>
      <c r="H697" s="20"/>
      <c r="I697" s="9" t="s">
        <v>4661</v>
      </c>
      <c r="J697" s="20" t="str">
        <f>IF(shinsei_strtower04_DISK_FLAG="","",IF(shinsei_strtower04_DISK_FLAG=1,"有","無"))</f>
        <v/>
      </c>
    </row>
    <row r="698" spans="1:12" s="10" customFormat="1" ht="18" customHeight="1">
      <c r="A698" s="9"/>
      <c r="B698" s="9" t="s">
        <v>2955</v>
      </c>
      <c r="C698" s="9"/>
      <c r="D698" s="9"/>
      <c r="E698" s="9"/>
      <c r="F698" s="9"/>
      <c r="G698" s="9" t="s">
        <v>4662</v>
      </c>
      <c r="H698" s="136"/>
      <c r="I698" s="19" t="s">
        <v>4663</v>
      </c>
      <c r="J698" s="171" t="str">
        <f>IF(shinsei_strtower04_CHARGE="","",shinsei_strtower04_CHARGE)</f>
        <v/>
      </c>
      <c r="K698" s="9" t="s">
        <v>2528</v>
      </c>
      <c r="L698" s="9" t="s">
        <v>2528</v>
      </c>
    </row>
    <row r="699" spans="1:12" ht="18" customHeight="1">
      <c r="A699" s="149"/>
      <c r="B699" s="149"/>
      <c r="C699" s="149"/>
      <c r="D699" s="149"/>
      <c r="E699" s="12" t="s">
        <v>3907</v>
      </c>
      <c r="F699" s="12"/>
      <c r="G699" s="149"/>
      <c r="I699" s="100" t="s">
        <v>4664</v>
      </c>
      <c r="J699" s="171" t="str">
        <f>IF(shinsei_strtower04_CHARGE="","",TEXT(shinsei_strtower04_CHARGE,"#,##0_ ")&amp;"円")</f>
        <v/>
      </c>
      <c r="K699" s="9"/>
      <c r="L699" s="9"/>
    </row>
    <row r="700" spans="1:12" ht="18" customHeight="1">
      <c r="A700" s="149"/>
      <c r="B700" s="149" t="s">
        <v>3041</v>
      </c>
      <c r="C700" s="149"/>
      <c r="D700" s="149"/>
      <c r="E700" s="149"/>
      <c r="F700" s="149"/>
      <c r="G700" s="149" t="s">
        <v>4665</v>
      </c>
      <c r="H700" s="136"/>
      <c r="I700" s="100" t="s">
        <v>4666</v>
      </c>
      <c r="J700" s="136" t="str">
        <f>IF(shinsei_strtower04_CHARGE_WARIMASHI="","",shinsei_strtower04_CHARGE_WARIMASHI)</f>
        <v/>
      </c>
      <c r="K700" s="9" t="s">
        <v>2528</v>
      </c>
      <c r="L700" s="9" t="s">
        <v>2528</v>
      </c>
    </row>
    <row r="701" spans="1:12" ht="18" customHeight="1">
      <c r="A701" s="149"/>
      <c r="B701" s="149" t="s">
        <v>3043</v>
      </c>
      <c r="C701" s="149"/>
      <c r="D701" s="149"/>
      <c r="E701" s="149"/>
      <c r="F701" s="149"/>
      <c r="G701" s="149" t="s">
        <v>4667</v>
      </c>
      <c r="H701" s="136"/>
      <c r="I701" s="100" t="s">
        <v>4668</v>
      </c>
      <c r="J701" s="136" t="str">
        <f>IF(shinsei_strtower04_CHARGE_TOTAL="","",shinsei_strtower04_CHARGE_TOTAL)</f>
        <v/>
      </c>
      <c r="K701" s="9" t="s">
        <v>2528</v>
      </c>
      <c r="L701" s="9" t="s">
        <v>2528</v>
      </c>
    </row>
    <row r="702" spans="1:12" ht="18" customHeight="1">
      <c r="A702" s="149"/>
      <c r="B702" s="149" t="s">
        <v>4085</v>
      </c>
      <c r="C702" s="149"/>
      <c r="D702" s="149"/>
      <c r="E702" s="149"/>
      <c r="F702" s="149"/>
      <c r="G702" s="149" t="s">
        <v>1304</v>
      </c>
      <c r="H702" s="136"/>
      <c r="I702" s="100" t="s">
        <v>4669</v>
      </c>
      <c r="J702" s="136" t="str">
        <f>IF(shinsei_strtower04_CHARGE_SANTEI_MENSEKI="","",shinsei_strtower04_CHARGE_SANTEI_MENSEKI)</f>
        <v/>
      </c>
      <c r="K702" s="9"/>
      <c r="L702" s="9"/>
    </row>
    <row r="703" spans="1:12" ht="18" customHeight="1">
      <c r="A703" s="149"/>
      <c r="B703" s="149" t="s">
        <v>5637</v>
      </c>
      <c r="C703" s="149"/>
      <c r="D703" s="149"/>
      <c r="E703" s="149"/>
      <c r="F703" s="149"/>
      <c r="G703" s="149" t="s">
        <v>4670</v>
      </c>
      <c r="H703" s="13" t="s">
        <v>11787</v>
      </c>
      <c r="I703" s="176" t="s">
        <v>4671</v>
      </c>
      <c r="J703" s="20" t="str">
        <f>IF(shinsei_strtower04_CHARGE_KEISAN_NOTE="","",shinsei_strtower04_CHARGE_KEISAN_NOTE)</f>
        <v/>
      </c>
      <c r="K703" s="10" t="s">
        <v>3862</v>
      </c>
      <c r="L703" s="10" t="s">
        <v>3879</v>
      </c>
    </row>
    <row r="704" spans="1:12" ht="18" customHeight="1">
      <c r="A704" s="149"/>
      <c r="B704" s="149"/>
      <c r="C704" s="149"/>
      <c r="D704" s="149"/>
      <c r="E704" s="149" t="s">
        <v>5640</v>
      </c>
      <c r="F704" s="149"/>
      <c r="G704" s="149"/>
      <c r="I704" s="100" t="s">
        <v>4672</v>
      </c>
      <c r="J704" s="20" t="str">
        <f>IF(shinsei_INSPECTION_TYPE="計画変更",IF(shinsei_strtower04_CHARGE="","","延べ面積×1/2により算出"),IF(shinsei_strtower04_CHARGE_KEISAN_NOTE="","",shinsei_strtower04_CHARGE_KEISAN_NOTE))</f>
        <v/>
      </c>
    </row>
    <row r="705" spans="1:12" ht="18" customHeight="1">
      <c r="A705" s="149"/>
      <c r="B705" s="149" t="s">
        <v>5642</v>
      </c>
      <c r="C705" s="149"/>
      <c r="D705" s="149"/>
      <c r="E705" s="149"/>
      <c r="F705" s="149"/>
      <c r="G705" s="149" t="s">
        <v>4673</v>
      </c>
      <c r="H705" s="13" t="s">
        <v>11787</v>
      </c>
      <c r="I705" s="149" t="s">
        <v>4674</v>
      </c>
      <c r="J705" s="20" t="str">
        <f>IF(shinsei_strtower04_KEISAN_X_ROUTE="","",shinsei_strtower04_KEISAN_X_ROUTE)</f>
        <v/>
      </c>
    </row>
    <row r="706" spans="1:12" ht="18" customHeight="1">
      <c r="A706" s="149"/>
      <c r="B706" s="149" t="s">
        <v>5645</v>
      </c>
      <c r="C706" s="149"/>
      <c r="D706" s="149"/>
      <c r="E706" s="149"/>
      <c r="F706" s="149"/>
      <c r="G706" s="149" t="s">
        <v>4675</v>
      </c>
      <c r="H706" s="13" t="s">
        <v>11787</v>
      </c>
      <c r="I706" s="149" t="s">
        <v>4676</v>
      </c>
      <c r="J706" s="20" t="str">
        <f>IF(shinsei_strtower04_KEISAN_Y_ROUTE="","",shinsei_strtower04_KEISAN_Y_ROUTE)</f>
        <v/>
      </c>
    </row>
    <row r="707" spans="1:12" ht="18" customHeight="1">
      <c r="A707" s="149"/>
      <c r="B707" s="149"/>
      <c r="C707" s="149" t="s">
        <v>3805</v>
      </c>
      <c r="D707" s="149"/>
      <c r="E707" s="149"/>
      <c r="F707" s="149"/>
      <c r="G707" s="149"/>
      <c r="H707" s="12"/>
      <c r="I707" s="149" t="s">
        <v>4677</v>
      </c>
      <c r="J707" s="20" t="str">
        <f>IF(AND(cst_shinsei_strtower04_KEISAN_X_ROUTE="3",cst_shinsei_strtower04_KEISAN_Y_ROUTE="3"),"■","□")</f>
        <v>□</v>
      </c>
    </row>
    <row r="708" spans="1:12" ht="18" customHeight="1">
      <c r="A708" s="149"/>
      <c r="B708" s="149" t="s">
        <v>5650</v>
      </c>
      <c r="C708" s="149"/>
      <c r="D708" s="149"/>
      <c r="E708" s="149"/>
      <c r="F708" s="149"/>
      <c r="G708" s="149" t="s">
        <v>4678</v>
      </c>
      <c r="H708" s="13" t="s">
        <v>11787</v>
      </c>
      <c r="I708" s="149" t="s">
        <v>4679</v>
      </c>
      <c r="J708" s="20" t="str">
        <f>IF(shinsei_strtower04_PROGRAM_KIND_SONOTA="","",shinsei_strtower04_PROGRAM_KIND_SONOTA)</f>
        <v/>
      </c>
    </row>
    <row r="709" spans="1:12" ht="18" customHeight="1">
      <c r="A709" s="149"/>
      <c r="B709" s="149"/>
      <c r="C709" s="149"/>
      <c r="D709" s="149"/>
      <c r="E709" s="149"/>
      <c r="F709" s="149"/>
      <c r="G709" s="149"/>
      <c r="I709" s="149"/>
    </row>
    <row r="710" spans="1:12" s="10" customFormat="1" ht="18" customHeight="1">
      <c r="A710" s="162" t="s">
        <v>4680</v>
      </c>
      <c r="B710" s="162"/>
      <c r="C710" s="162"/>
      <c r="D710" s="162"/>
      <c r="E710" s="163"/>
      <c r="F710" s="163"/>
      <c r="G710" s="164"/>
      <c r="H710" s="165"/>
      <c r="I710" s="9"/>
    </row>
    <row r="711" spans="1:12" s="10" customFormat="1" ht="18" customHeight="1">
      <c r="A711" s="12"/>
      <c r="B711" s="12" t="s">
        <v>3859</v>
      </c>
      <c r="C711" s="12"/>
      <c r="D711" s="12"/>
      <c r="E711" s="11"/>
      <c r="F711" s="11"/>
      <c r="G711" s="10" t="s">
        <v>4681</v>
      </c>
      <c r="H711" s="13" t="s">
        <v>11787</v>
      </c>
      <c r="I711" s="19" t="s">
        <v>4682</v>
      </c>
      <c r="J711" s="25" t="str">
        <f>IF(shinsei_strtower05_TOWER_NO="","",shinsei_strtower05_TOWER_NO)</f>
        <v/>
      </c>
      <c r="K711" s="10" t="s">
        <v>3862</v>
      </c>
    </row>
    <row r="712" spans="1:12" s="10" customFormat="1" ht="18" customHeight="1">
      <c r="A712" s="12"/>
      <c r="B712" s="12" t="s">
        <v>3864</v>
      </c>
      <c r="C712" s="12"/>
      <c r="D712" s="12"/>
      <c r="E712" s="11"/>
      <c r="F712" s="11"/>
      <c r="G712" s="9" t="s">
        <v>4683</v>
      </c>
      <c r="H712" s="13" t="s">
        <v>11787</v>
      </c>
      <c r="I712" s="19" t="s">
        <v>4684</v>
      </c>
      <c r="J712" s="25" t="str">
        <f>IF(shinsei_strtower05_STR_TOWER_NO="","",shinsei_strtower05_STR_TOWER_NO)</f>
        <v/>
      </c>
      <c r="K712" s="10" t="s">
        <v>3862</v>
      </c>
      <c r="L712" s="10" t="s">
        <v>3879</v>
      </c>
    </row>
    <row r="713" spans="1:12" s="166" customFormat="1" ht="18" customHeight="1">
      <c r="B713" s="12" t="s">
        <v>3868</v>
      </c>
      <c r="I713" s="9" t="s">
        <v>4685</v>
      </c>
      <c r="J713" s="167" t="str">
        <f>CONCATENATE(cst_shinsei_strtower05_TOWER_NO," - ",cst_shinsei_strtower05_STR_TOWER_NO)</f>
        <v xml:space="preserve"> - </v>
      </c>
    </row>
    <row r="714" spans="1:12" s="166" customFormat="1" ht="18" customHeight="1">
      <c r="B714" s="12" t="s">
        <v>3870</v>
      </c>
      <c r="I714" s="9" t="s">
        <v>4686</v>
      </c>
      <c r="J714" s="167" t="str">
        <f>CONCATENATE(cst_shinsei_strtower05_STR_TOWER_NO," ／ ",cst_shinsei_STR_SHINSEI_TOWERS)</f>
        <v xml:space="preserve"> ／ </v>
      </c>
    </row>
    <row r="715" spans="1:12" s="10" customFormat="1" ht="18" customHeight="1">
      <c r="A715" s="12"/>
      <c r="B715" s="12" t="s">
        <v>3872</v>
      </c>
      <c r="C715" s="11"/>
      <c r="D715" s="11"/>
      <c r="E715" s="11"/>
      <c r="F715" s="11"/>
      <c r="G715" s="9" t="s">
        <v>4687</v>
      </c>
      <c r="H715" s="13" t="s">
        <v>11787</v>
      </c>
      <c r="I715" s="9" t="s">
        <v>4688</v>
      </c>
      <c r="J715" s="25" t="str">
        <f>IF(shinsei_strtower05_STR_TOWER_NAME="","",shinsei_strtower05_STR_TOWER_NAME)</f>
        <v/>
      </c>
    </row>
    <row r="716" spans="1:12" s="10" customFormat="1" ht="18" customHeight="1">
      <c r="A716" s="12"/>
      <c r="B716" s="12" t="s">
        <v>3875</v>
      </c>
      <c r="C716" s="12"/>
      <c r="D716" s="12"/>
      <c r="E716" s="11"/>
      <c r="F716" s="11"/>
      <c r="G716" s="9" t="s">
        <v>4689</v>
      </c>
      <c r="H716" s="20"/>
      <c r="I716" s="20" t="s">
        <v>4690</v>
      </c>
      <c r="J716" s="25" t="str">
        <f>IF(shinsei_strtower05_JUDGE="","",shinsei_strtower05_JUDGE)</f>
        <v/>
      </c>
      <c r="K716" s="10" t="s">
        <v>3878</v>
      </c>
      <c r="L716" s="10" t="s">
        <v>3879</v>
      </c>
    </row>
    <row r="717" spans="1:12" s="10" customFormat="1" ht="18" customHeight="1">
      <c r="A717" s="12"/>
      <c r="B717" s="12" t="s">
        <v>4441</v>
      </c>
      <c r="C717" s="12"/>
      <c r="D717" s="12"/>
      <c r="E717" s="11"/>
      <c r="F717" s="11"/>
      <c r="G717" s="9" t="s">
        <v>4691</v>
      </c>
      <c r="H717" s="13" t="s">
        <v>11787</v>
      </c>
      <c r="I717" s="9" t="s">
        <v>4692</v>
      </c>
      <c r="J717" s="25" t="str">
        <f>IF(shinsei_strtower05_STR_TOWER_YOUTO_TEXT="","",shinsei_strtower05_STR_TOWER_YOUTO_TEXT)</f>
        <v/>
      </c>
      <c r="K717" s="10" t="s">
        <v>3862</v>
      </c>
      <c r="L717" s="10" t="s">
        <v>3879</v>
      </c>
    </row>
    <row r="718" spans="1:12" s="10" customFormat="1" ht="18" customHeight="1">
      <c r="A718" s="12"/>
      <c r="B718" s="12" t="s">
        <v>3790</v>
      </c>
      <c r="C718" s="12"/>
      <c r="D718" s="12"/>
      <c r="E718" s="11"/>
      <c r="F718" s="11"/>
      <c r="G718" s="9" t="s">
        <v>4693</v>
      </c>
      <c r="H718" s="13" t="s">
        <v>11787</v>
      </c>
      <c r="I718" s="9" t="s">
        <v>4694</v>
      </c>
      <c r="J718" s="25" t="str">
        <f>IF(shinsei_strtower05_KOUJI_TEXT="","",shinsei_strtower05_KOUJI_TEXT)</f>
        <v/>
      </c>
      <c r="K718" s="10" t="s">
        <v>4695</v>
      </c>
      <c r="L718" s="10" t="s">
        <v>3879</v>
      </c>
    </row>
    <row r="719" spans="1:12" s="10" customFormat="1" ht="18" customHeight="1">
      <c r="A719" s="12"/>
      <c r="B719" s="12" t="s">
        <v>4696</v>
      </c>
      <c r="C719" s="11"/>
      <c r="D719" s="11"/>
      <c r="E719" s="11"/>
      <c r="F719" s="11"/>
      <c r="G719" s="9" t="s">
        <v>4697</v>
      </c>
      <c r="H719" s="13"/>
      <c r="I719" s="9" t="s">
        <v>4698</v>
      </c>
      <c r="J719" s="25" t="str">
        <f>IF(shinsei_strtower05_KOUZOU_TEXT="","",shinsei_strtower05_KOUZOU_TEXT)</f>
        <v/>
      </c>
    </row>
    <row r="720" spans="1:12" s="10" customFormat="1" ht="18" customHeight="1">
      <c r="A720" s="12"/>
      <c r="B720" s="12" t="s">
        <v>3888</v>
      </c>
      <c r="C720" s="12"/>
      <c r="D720" s="12"/>
      <c r="E720" s="11"/>
      <c r="F720" s="11"/>
      <c r="G720" s="9" t="s">
        <v>4699</v>
      </c>
      <c r="H720" s="13" t="s">
        <v>11787</v>
      </c>
      <c r="I720" s="9" t="s">
        <v>4700</v>
      </c>
      <c r="J720" s="25" t="str">
        <f>IF(shinsei_strtower05_KOUZOU_TEXT="","",shinsei_strtower05_KOUZOU_TEXT)</f>
        <v/>
      </c>
    </row>
    <row r="721" spans="1:12" s="10" customFormat="1" ht="18" customHeight="1">
      <c r="A721" s="12"/>
      <c r="B721" s="12" t="s">
        <v>3893</v>
      </c>
      <c r="C721" s="11"/>
      <c r="D721" s="11"/>
      <c r="E721" s="11"/>
      <c r="F721" s="11"/>
      <c r="G721" s="9" t="s">
        <v>4701</v>
      </c>
      <c r="H721" s="13"/>
      <c r="I721" s="9" t="s">
        <v>4702</v>
      </c>
      <c r="J721" s="25" t="str">
        <f>IF(shinsei_strtower05_KOUZOU_KEISAN="","",shinsei_strtower05_KOUZOU_KEISAN)</f>
        <v/>
      </c>
    </row>
    <row r="722" spans="1:12" s="10" customFormat="1" ht="18" customHeight="1">
      <c r="A722" s="12"/>
      <c r="B722" s="12" t="s">
        <v>3893</v>
      </c>
      <c r="C722" s="12"/>
      <c r="D722" s="12"/>
      <c r="E722" s="11"/>
      <c r="F722" s="11"/>
      <c r="G722" s="9" t="s">
        <v>4703</v>
      </c>
      <c r="H722" s="13" t="s">
        <v>11787</v>
      </c>
      <c r="I722" s="10" t="s">
        <v>4704</v>
      </c>
      <c r="J722" s="25" t="str">
        <f>IF(shinsei_strtower05_KOUZOU_KEISAN_TEXT="","",shinsei_strtower05_KOUZOU_KEISAN_TEXT)</f>
        <v/>
      </c>
    </row>
    <row r="723" spans="1:12" s="10" customFormat="1" ht="18" customHeight="1">
      <c r="A723" s="12"/>
      <c r="B723" s="12" t="s">
        <v>3902</v>
      </c>
      <c r="C723" s="12"/>
      <c r="D723" s="12"/>
      <c r="E723" s="11"/>
      <c r="F723" s="11"/>
      <c r="G723" s="9" t="s">
        <v>4705</v>
      </c>
      <c r="H723" s="65"/>
      <c r="I723" s="19" t="s">
        <v>4706</v>
      </c>
      <c r="J723" s="168" t="str">
        <f>IF(shinsei_strtower05_MENSEKI="","",shinsei_strtower05_MENSEKI)</f>
        <v/>
      </c>
      <c r="K723" s="10" t="s">
        <v>3906</v>
      </c>
      <c r="L723" s="10" t="s">
        <v>3906</v>
      </c>
    </row>
    <row r="724" spans="1:12" ht="18" customHeight="1">
      <c r="A724" s="12"/>
      <c r="B724" s="12"/>
      <c r="C724" s="12"/>
      <c r="D724" s="12"/>
      <c r="E724" s="12" t="s">
        <v>3907</v>
      </c>
      <c r="F724" s="12"/>
      <c r="G724" s="9"/>
      <c r="H724" s="9"/>
      <c r="I724" s="9" t="s">
        <v>4707</v>
      </c>
      <c r="J724" s="168" t="str">
        <f>IF(shinsei_strtower05_MENSEKI="","",TEXT(shinsei_strtower05_MENSEKI,"#,##0.00_ ")&amp;"㎡")</f>
        <v/>
      </c>
    </row>
    <row r="725" spans="1:12" s="10" customFormat="1" ht="18" customHeight="1">
      <c r="A725" s="12"/>
      <c r="B725" s="12" t="s">
        <v>4390</v>
      </c>
      <c r="C725" s="12"/>
      <c r="D725" s="12"/>
      <c r="E725" s="11"/>
      <c r="F725" s="11"/>
      <c r="G725" s="9" t="s">
        <v>4708</v>
      </c>
      <c r="H725" s="93"/>
      <c r="I725" s="9" t="s">
        <v>4709</v>
      </c>
      <c r="J725" s="170" t="str">
        <f>IF(shinsei_strtower05_MAX_TAKASA="","",shinsei_strtower05_MAX_TAKASA)</f>
        <v/>
      </c>
      <c r="K725" s="10" t="s">
        <v>3911</v>
      </c>
      <c r="L725" s="10" t="s">
        <v>3911</v>
      </c>
    </row>
    <row r="726" spans="1:12" s="10" customFormat="1" ht="18" customHeight="1">
      <c r="A726" s="12"/>
      <c r="B726" s="12" t="s">
        <v>4388</v>
      </c>
      <c r="C726" s="11"/>
      <c r="D726" s="11"/>
      <c r="E726" s="11"/>
      <c r="F726" s="11"/>
      <c r="G726" s="9" t="s">
        <v>4710</v>
      </c>
      <c r="H726" s="93"/>
      <c r="I726" s="9" t="s">
        <v>4711</v>
      </c>
      <c r="J726" s="170" t="str">
        <f>IF(shinsei_strtower05_MAX_NOKI_TAKASA="","",shinsei_strtower05_MAX_NOKI_TAKASA)</f>
        <v/>
      </c>
    </row>
    <row r="727" spans="1:12" s="10" customFormat="1" ht="18" customHeight="1">
      <c r="A727" s="12"/>
      <c r="B727" s="12" t="s">
        <v>3782</v>
      </c>
      <c r="C727" s="12"/>
      <c r="D727" s="12"/>
      <c r="E727" s="11"/>
      <c r="F727" s="11"/>
      <c r="G727" s="9"/>
      <c r="H727" s="9"/>
      <c r="I727" s="9"/>
    </row>
    <row r="728" spans="1:12" s="10" customFormat="1" ht="18" customHeight="1">
      <c r="A728" s="12"/>
      <c r="B728" s="12"/>
      <c r="C728" s="11" t="s">
        <v>3783</v>
      </c>
      <c r="D728" s="12"/>
      <c r="G728" s="9" t="s">
        <v>4712</v>
      </c>
      <c r="H728" s="136"/>
      <c r="I728" s="9" t="s">
        <v>4713</v>
      </c>
      <c r="J728" s="171" t="str">
        <f>IF(shinsei_strtower05_KAISU_TIJYOU="","",shinsei_strtower05_KAISU_TIJYOU)</f>
        <v/>
      </c>
      <c r="K728" s="10" t="s">
        <v>3916</v>
      </c>
      <c r="L728" s="10" t="s">
        <v>3916</v>
      </c>
    </row>
    <row r="729" spans="1:12" s="10" customFormat="1" ht="18" customHeight="1">
      <c r="A729" s="12"/>
      <c r="B729" s="12"/>
      <c r="C729" s="11" t="s">
        <v>3785</v>
      </c>
      <c r="D729" s="12"/>
      <c r="G729" s="9" t="s">
        <v>4714</v>
      </c>
      <c r="H729" s="136"/>
      <c r="I729" s="9" t="s">
        <v>4715</v>
      </c>
      <c r="J729" s="171" t="str">
        <f>IF(shinsei_strtower05_KAISU_TIKA="","",shinsei_strtower05_KAISU_TIKA)</f>
        <v/>
      </c>
      <c r="K729" s="10" t="s">
        <v>3916</v>
      </c>
      <c r="L729" s="10" t="s">
        <v>3916</v>
      </c>
    </row>
    <row r="730" spans="1:12" s="10" customFormat="1" ht="18" customHeight="1">
      <c r="A730" s="12"/>
      <c r="B730" s="12"/>
      <c r="C730" s="11" t="s">
        <v>3787</v>
      </c>
      <c r="D730" s="12"/>
      <c r="G730" s="9" t="s">
        <v>4716</v>
      </c>
      <c r="H730" s="136"/>
      <c r="I730" s="9" t="s">
        <v>4717</v>
      </c>
      <c r="J730" s="171" t="str">
        <f>IF(shinsei_strtower05_KAISU_TOUYA="","",shinsei_strtower05_KAISU_TOUYA)</f>
        <v/>
      </c>
      <c r="K730" s="10" t="s">
        <v>3916</v>
      </c>
      <c r="L730" s="10" t="s">
        <v>3916</v>
      </c>
    </row>
    <row r="731" spans="1:12" s="10" customFormat="1" ht="18" customHeight="1">
      <c r="B731" s="12" t="s">
        <v>3923</v>
      </c>
      <c r="G731" s="9" t="s">
        <v>4718</v>
      </c>
      <c r="H731" s="13"/>
      <c r="I731" s="10" t="s">
        <v>4719</v>
      </c>
      <c r="J731" s="25" t="str">
        <f>IF(shinsei_strtower05_BUILD_KUBUN="","",shinsei_strtower05_BUILD_KUBUN)</f>
        <v/>
      </c>
    </row>
    <row r="732" spans="1:12" s="10" customFormat="1" ht="18" customHeight="1">
      <c r="B732" s="12" t="s">
        <v>3923</v>
      </c>
      <c r="C732" s="12"/>
      <c r="D732" s="12"/>
      <c r="G732" s="9" t="s">
        <v>4720</v>
      </c>
      <c r="H732" s="13" t="s">
        <v>11787</v>
      </c>
      <c r="I732" s="10" t="s">
        <v>4721</v>
      </c>
      <c r="J732" s="25" t="str">
        <f>IF(shinsei_strtower05_BUILD_KUBUN_TEXT="","",shinsei_strtower05_BUILD_KUBUN_TEXT)</f>
        <v/>
      </c>
      <c r="K732" s="10" t="s">
        <v>3863</v>
      </c>
    </row>
    <row r="733" spans="1:12" s="10" customFormat="1" ht="18" customHeight="1">
      <c r="A733" s="149"/>
      <c r="B733" s="149"/>
      <c r="C733" s="149" t="s">
        <v>3801</v>
      </c>
      <c r="D733" s="149"/>
      <c r="E733" s="149"/>
      <c r="F733" s="149"/>
      <c r="G733" s="149"/>
      <c r="H733" s="12"/>
      <c r="I733" s="149" t="s">
        <v>4722</v>
      </c>
      <c r="J733" s="20" t="str">
        <f>IF(shinsei_strtower05_BUILD_KUBUN_TEXT="建築基準法第20条第２号に掲げる建築物","■","□")</f>
        <v>□</v>
      </c>
    </row>
    <row r="734" spans="1:12" s="10" customFormat="1" ht="18" customHeight="1">
      <c r="A734" s="149"/>
      <c r="B734" s="149"/>
      <c r="C734" s="149" t="s">
        <v>3801</v>
      </c>
      <c r="D734" s="149"/>
      <c r="E734" s="149"/>
      <c r="F734" s="149"/>
      <c r="G734" s="149"/>
      <c r="H734" s="12"/>
      <c r="I734" s="149" t="s">
        <v>4723</v>
      </c>
      <c r="J734" s="20" t="str">
        <f>IF(shinsei_strtower05_BUILD_KUBUN_TEXT="建築基準法第20条第３号に掲げる建築物","■","□")</f>
        <v>□</v>
      </c>
    </row>
    <row r="735" spans="1:12" s="10" customFormat="1" ht="18" customHeight="1">
      <c r="A735" s="12"/>
      <c r="B735" s="12" t="s">
        <v>4724</v>
      </c>
      <c r="C735" s="12"/>
      <c r="D735" s="12"/>
      <c r="E735" s="11"/>
      <c r="F735" s="11"/>
      <c r="G735" s="9" t="s">
        <v>4725</v>
      </c>
      <c r="H735" s="13" t="s">
        <v>11787</v>
      </c>
      <c r="I735" s="9" t="s">
        <v>4726</v>
      </c>
      <c r="J735" s="25" t="str">
        <f>IF(shinsei_strtower05_MENJYO_TEXT="","",shinsei_strtower05_MENJYO_TEXT)</f>
        <v/>
      </c>
      <c r="K735" s="10" t="s">
        <v>3862</v>
      </c>
    </row>
    <row r="736" spans="1:12" s="10" customFormat="1" ht="18" customHeight="1">
      <c r="A736" s="12"/>
      <c r="B736" s="12" t="s">
        <v>3935</v>
      </c>
      <c r="C736" s="12"/>
      <c r="D736" s="12"/>
      <c r="E736" s="11"/>
      <c r="F736" s="11"/>
      <c r="G736" s="9" t="s">
        <v>4727</v>
      </c>
      <c r="H736" s="20"/>
      <c r="I736" s="9" t="s">
        <v>4728</v>
      </c>
      <c r="J736" s="25" t="str">
        <f>IF(shinsei_strtower05_PROGRAM_KIND="","",shinsei_strtower05_PROGRAM_KIND)</f>
        <v/>
      </c>
      <c r="K736" s="10" t="s">
        <v>5704</v>
      </c>
    </row>
    <row r="737" spans="2:12" s="10" customFormat="1" ht="18" customHeight="1">
      <c r="B737" s="12" t="s">
        <v>3939</v>
      </c>
      <c r="C737" s="12"/>
      <c r="D737" s="12"/>
      <c r="G737" s="9" t="s">
        <v>4729</v>
      </c>
      <c r="H737" s="13" t="s">
        <v>11787</v>
      </c>
      <c r="I737" s="10" t="s">
        <v>4730</v>
      </c>
      <c r="J737" s="25" t="str">
        <f>IF(shinsei_strtower05_REI80_2_KOKUJI_TEXT="","",shinsei_strtower05_REI80_2_KOKUJI_TEXT)</f>
        <v/>
      </c>
    </row>
    <row r="738" spans="2:12" s="10" customFormat="1" ht="18" customHeight="1">
      <c r="B738" s="12" t="s">
        <v>3943</v>
      </c>
      <c r="C738" s="12"/>
      <c r="D738" s="12"/>
      <c r="G738" s="9" t="s">
        <v>4731</v>
      </c>
      <c r="H738" s="13" t="s">
        <v>11814</v>
      </c>
      <c r="I738" s="10" t="s">
        <v>4732</v>
      </c>
      <c r="J738" s="25">
        <f>IF(shinsei_strtower05_PROGRAM_KIND__nintei__box="■",2,IF(OR(shinsei_strtower05_PROGRAM_KIND__hyouka__box="■",shinsei_strtower05_PROGRAM_KIND__sonota__box="■"),1,0))</f>
        <v>0</v>
      </c>
      <c r="K738" s="10" t="s">
        <v>3946</v>
      </c>
    </row>
    <row r="739" spans="2:12" s="10" customFormat="1" ht="18" customHeight="1">
      <c r="B739" s="12" t="s">
        <v>3947</v>
      </c>
      <c r="C739" s="12"/>
      <c r="D739" s="12"/>
      <c r="G739" s="9" t="s">
        <v>4733</v>
      </c>
      <c r="H739" s="13" t="s">
        <v>11814</v>
      </c>
    </row>
    <row r="740" spans="2:12" s="10" customFormat="1" ht="18" customHeight="1">
      <c r="B740" s="12" t="s">
        <v>4305</v>
      </c>
      <c r="C740" s="12"/>
      <c r="D740" s="12"/>
      <c r="G740" s="9" t="s">
        <v>4734</v>
      </c>
      <c r="H740" s="13" t="s">
        <v>11814</v>
      </c>
    </row>
    <row r="741" spans="2:12" s="10" customFormat="1" ht="18" customHeight="1">
      <c r="B741" s="105" t="s">
        <v>3950</v>
      </c>
      <c r="C741" s="105"/>
      <c r="D741" s="105"/>
      <c r="E741" s="24"/>
      <c r="F741" s="24"/>
      <c r="G741" s="9"/>
      <c r="H741" s="12"/>
    </row>
    <row r="742" spans="2:12" s="10" customFormat="1" ht="18" customHeight="1">
      <c r="C742" s="10" t="s">
        <v>3951</v>
      </c>
      <c r="D742" s="12"/>
      <c r="G742" s="9" t="s">
        <v>4735</v>
      </c>
      <c r="H742" s="13" t="s">
        <v>11787</v>
      </c>
      <c r="I742" s="10" t="s">
        <v>4736</v>
      </c>
      <c r="J742" s="25" t="str">
        <f>IF(shinsei_strtower05_prgo01_NAME="","",shinsei_strtower05_prgo01_NAME)</f>
        <v/>
      </c>
      <c r="K742" s="10" t="s">
        <v>3862</v>
      </c>
      <c r="L742" s="10" t="s">
        <v>3879</v>
      </c>
    </row>
    <row r="743" spans="2:12" s="10" customFormat="1" ht="18" customHeight="1">
      <c r="C743" s="12" t="s">
        <v>3954</v>
      </c>
      <c r="D743" s="12"/>
      <c r="E743" s="12"/>
      <c r="F743" s="12"/>
      <c r="G743" s="9" t="s">
        <v>4737</v>
      </c>
      <c r="H743" s="13" t="s">
        <v>11787</v>
      </c>
      <c r="I743" s="10" t="s">
        <v>4738</v>
      </c>
      <c r="J743" s="25" t="str">
        <f>IF(shinsei_strtower05_prgo01_VER="","","Ver."&amp;shinsei_strtower05_prgo01_VER)</f>
        <v/>
      </c>
    </row>
    <row r="744" spans="2:12" s="10" customFormat="1" ht="18" customHeight="1">
      <c r="C744" s="12" t="s">
        <v>3957</v>
      </c>
      <c r="D744" s="12"/>
      <c r="G744" s="9"/>
      <c r="H744" s="9"/>
      <c r="I744" s="10" t="s">
        <v>4739</v>
      </c>
      <c r="J744" s="25" t="str">
        <f>IF(shinsei_strtower05_prgo01_NAME="","",IF(shinsei_strtower05_prgo01_NINTEI_NO="","無","有"))</f>
        <v/>
      </c>
      <c r="K744" s="10" t="s">
        <v>3959</v>
      </c>
      <c r="L744" s="10" t="s">
        <v>3879</v>
      </c>
    </row>
    <row r="745" spans="2:12" s="10" customFormat="1" ht="18" customHeight="1">
      <c r="C745" s="12" t="s">
        <v>3960</v>
      </c>
      <c r="D745" s="12"/>
      <c r="G745" s="9" t="s">
        <v>4740</v>
      </c>
      <c r="H745" s="13" t="s">
        <v>11787</v>
      </c>
      <c r="I745" s="10" t="s">
        <v>4741</v>
      </c>
      <c r="J745" s="25" t="str">
        <f>IF(shinsei_strtower05_prgo01_NINTEI_NO="","",shinsei_strtower05_prgo01_NINTEI_NO)</f>
        <v/>
      </c>
      <c r="K745" s="10" t="s">
        <v>5764</v>
      </c>
      <c r="L745" s="10" t="s">
        <v>3879</v>
      </c>
    </row>
    <row r="746" spans="2:12" s="10" customFormat="1" ht="18" customHeight="1">
      <c r="C746" s="12" t="s">
        <v>3964</v>
      </c>
      <c r="D746" s="12"/>
      <c r="G746" s="9" t="s">
        <v>4742</v>
      </c>
      <c r="H746" s="74"/>
      <c r="I746" s="10" t="s">
        <v>4743</v>
      </c>
      <c r="J746" s="25" t="str">
        <f>IF(shinsei_strtower05_prgo01_NINTEI_DATE="","",TEXT(shinsei_strtower05_prgo01_NINTEI_DATE,"ggge年m月d日")&amp;"  ")</f>
        <v/>
      </c>
    </row>
    <row r="747" spans="2:12" s="10" customFormat="1" ht="18" customHeight="1">
      <c r="C747" s="12" t="s">
        <v>3967</v>
      </c>
      <c r="D747" s="12"/>
      <c r="G747" s="9" t="s">
        <v>4744</v>
      </c>
      <c r="H747" s="13" t="s">
        <v>11787</v>
      </c>
    </row>
    <row r="748" spans="2:12" s="10" customFormat="1" ht="18" customHeight="1">
      <c r="C748" s="12" t="s">
        <v>3970</v>
      </c>
      <c r="D748" s="12"/>
      <c r="G748" s="9"/>
      <c r="H748" s="12"/>
      <c r="I748" s="9" t="s">
        <v>4745</v>
      </c>
      <c r="J748" s="25" t="str">
        <f>IF(shinsei_strtower05_prgo01_NAME="","",shinsei_strtower05_prgo01_NAME)&amp;CHAR(10)&amp;IF(shinsei_strtower05_prgo01_VER="","","Ver."&amp;shinsei_strtower05_prgo01_VER&amp;CHAR(10))</f>
        <v xml:space="preserve">
</v>
      </c>
    </row>
    <row r="749" spans="2:12" s="10" customFormat="1" ht="18" customHeight="1">
      <c r="C749" s="12" t="s">
        <v>3972</v>
      </c>
      <c r="D749" s="12"/>
      <c r="G749" s="9"/>
      <c r="H749" s="12"/>
      <c r="I749" s="9" t="s">
        <v>4746</v>
      </c>
      <c r="J749" s="25" t="str">
        <f>IF(shinsei_strtower05_prgo01_NAME="","",shinsei_strtower05_prgo01_NAME&amp;" ")&amp;IF(shinsei_strtower05_prgo01_VER="","","Ver."&amp;shinsei_strtower05_prgo01_VER&amp;"  ")</f>
        <v/>
      </c>
    </row>
    <row r="750" spans="2:12" s="10" customFormat="1" ht="18" customHeight="1">
      <c r="C750" s="12" t="s">
        <v>3974</v>
      </c>
      <c r="D750" s="12"/>
      <c r="G750" s="9"/>
      <c r="H750" s="12"/>
    </row>
    <row r="751" spans="2:12" s="10" customFormat="1" ht="18" customHeight="1">
      <c r="D751" s="12" t="s">
        <v>3975</v>
      </c>
      <c r="G751" s="9"/>
      <c r="H751" s="12"/>
      <c r="I751" s="9" t="s">
        <v>4747</v>
      </c>
      <c r="J751" s="173" t="str">
        <f>IF(cst_shinsei_strtower05_prgo01_NINTEI__umu="有",shinsei_strtower05_prgo01_MAKER_NAME,"")</f>
        <v/>
      </c>
    </row>
    <row r="752" spans="2:12" s="10" customFormat="1" ht="18" customHeight="1">
      <c r="B752" s="12"/>
      <c r="D752" s="12" t="s">
        <v>3972</v>
      </c>
      <c r="G752" s="9"/>
      <c r="H752" s="12"/>
      <c r="I752" s="9" t="s">
        <v>4748</v>
      </c>
      <c r="J752" s="25" t="str">
        <f>IF(cst_shinsei_strtower05_prgo01_NINTEI__umu="有",IF(shinsei_strtower05_prgo01_NAME="","",shinsei_strtower05_prgo01_NAME&amp;" ")&amp;IF(shinsei_strtower05_prgo01_VER="","","Ver."&amp;shinsei_strtower05_prgo01_VER&amp;"  "),"")</f>
        <v/>
      </c>
    </row>
    <row r="753" spans="1:12" s="10" customFormat="1" ht="18" customHeight="1">
      <c r="C753" s="12" t="s">
        <v>3981</v>
      </c>
      <c r="D753" s="12"/>
      <c r="G753" s="9"/>
      <c r="H753" s="12"/>
    </row>
    <row r="754" spans="1:12" s="10" customFormat="1" ht="18" customHeight="1">
      <c r="B754" s="12"/>
      <c r="D754" s="12" t="s">
        <v>4749</v>
      </c>
      <c r="G754" s="9"/>
      <c r="H754" s="12"/>
      <c r="I754" s="9" t="s">
        <v>4750</v>
      </c>
      <c r="J754" s="173" t="str">
        <f>IF(cst_shinsei_strtower05_prgo01_NINTEI__umu="無",IF(shinsei_strtower05_prgo01_MAKER_NAME="","",shinsei_strtower05_prgo01_MAKER_NAME&amp;"  "),"")</f>
        <v/>
      </c>
    </row>
    <row r="755" spans="1:12" s="10" customFormat="1" ht="18" customHeight="1">
      <c r="B755" s="12"/>
      <c r="D755" s="12" t="s">
        <v>3972</v>
      </c>
      <c r="G755" s="9"/>
      <c r="H755" s="12"/>
      <c r="I755" s="9" t="s">
        <v>4751</v>
      </c>
      <c r="J755" s="25" t="str">
        <f>IF(cst_shinsei_strtower05_prgo01_NINTEI__umu="無",IF(shinsei_strtower05_prgo01_NAME="","",shinsei_strtower05_prgo01_NAME&amp;" ")&amp;IF(shinsei_strtower05_prgo01_VER="","","Ver."&amp;shinsei_strtower05_prgo01_VER&amp;"  "),"")</f>
        <v/>
      </c>
    </row>
    <row r="756" spans="1:12" s="166" customFormat="1" ht="18" customHeight="1">
      <c r="A756" s="174"/>
      <c r="C756" s="166" t="s">
        <v>3985</v>
      </c>
      <c r="I756" s="166" t="s">
        <v>4752</v>
      </c>
      <c r="J756" s="173" t="str">
        <f>IF(cst_shinsei_strtower05_prgo01_NINTEI__umu="有",cst_shinsei_strtower05_prgo01_NAME,"")</f>
        <v/>
      </c>
    </row>
    <row r="757" spans="1:12" s="166" customFormat="1" ht="18" customHeight="1">
      <c r="A757" s="174"/>
      <c r="C757" s="166" t="s">
        <v>3987</v>
      </c>
      <c r="I757" s="10" t="s">
        <v>4753</v>
      </c>
      <c r="J757" s="173" t="str">
        <f>IF(cst_shinsei_strtower05_prgo01_NINTEI__umu="有",cst_shinsei_strtower05_prgo01_VER,"")</f>
        <v/>
      </c>
    </row>
    <row r="758" spans="1:12" s="166" customFormat="1" ht="18" customHeight="1">
      <c r="A758" s="174"/>
      <c r="C758" s="166" t="s">
        <v>3990</v>
      </c>
      <c r="I758" s="166" t="s">
        <v>4754</v>
      </c>
      <c r="J758" s="173" t="str">
        <f>IF(cst_shinsei_strtower05_prgo01_NINTEI__umu="有",shinsei_strtower05_prgo01_NINTEI_DATE,"")</f>
        <v/>
      </c>
    </row>
    <row r="759" spans="1:12" s="166" customFormat="1" ht="18" customHeight="1">
      <c r="A759" s="174"/>
      <c r="C759" s="166" t="s">
        <v>3993</v>
      </c>
      <c r="I759" s="166" t="s">
        <v>4755</v>
      </c>
      <c r="J759" s="173" t="str">
        <f>IF(cst_shinsei_strtower05_prgo01_NINTEI__umu="無",shinsei_strtower05_prgo01_MAKER_NAME,"")</f>
        <v/>
      </c>
    </row>
    <row r="760" spans="1:12" s="166" customFormat="1" ht="18" customHeight="1">
      <c r="A760" s="174"/>
      <c r="C760" s="166" t="s">
        <v>5732</v>
      </c>
      <c r="I760" s="166" t="s">
        <v>4756</v>
      </c>
      <c r="J760" s="173" t="str">
        <f>IF(cst_shinsei_strtower05_prgo01_NINTEI__umu="無",cst_shinsei_strtower05_prgo01_NAME,"")</f>
        <v/>
      </c>
    </row>
    <row r="761" spans="1:12" s="166" customFormat="1" ht="18" customHeight="1">
      <c r="A761" s="174"/>
      <c r="C761" s="166" t="s">
        <v>3997</v>
      </c>
      <c r="I761" s="10" t="s">
        <v>4757</v>
      </c>
      <c r="J761" s="173" t="str">
        <f>IF(cst_shinsei_strtower05_prgo01_NINTEI__umu="無",cst_shinsei_strtower05_prgo01_VER,"")</f>
        <v/>
      </c>
    </row>
    <row r="762" spans="1:12" s="10" customFormat="1" ht="18" customHeight="1">
      <c r="B762" s="105" t="s">
        <v>4000</v>
      </c>
      <c r="C762" s="105"/>
      <c r="D762" s="105"/>
      <c r="E762" s="24"/>
      <c r="F762" s="24"/>
      <c r="G762" s="9"/>
      <c r="H762" s="12"/>
    </row>
    <row r="763" spans="1:12" s="10" customFormat="1" ht="18" customHeight="1">
      <c r="C763" s="10" t="s">
        <v>3951</v>
      </c>
      <c r="D763" s="12"/>
      <c r="G763" s="9" t="s">
        <v>4758</v>
      </c>
      <c r="H763" s="13"/>
      <c r="K763" s="10" t="s">
        <v>3862</v>
      </c>
      <c r="L763" s="10" t="s">
        <v>3879</v>
      </c>
    </row>
    <row r="764" spans="1:12" s="10" customFormat="1" ht="18" customHeight="1">
      <c r="C764" s="12" t="s">
        <v>3954</v>
      </c>
      <c r="D764" s="12"/>
      <c r="G764" s="9" t="s">
        <v>4759</v>
      </c>
      <c r="H764" s="13"/>
    </row>
    <row r="765" spans="1:12" s="10" customFormat="1" ht="18" customHeight="1">
      <c r="C765" s="12" t="s">
        <v>3957</v>
      </c>
      <c r="D765" s="12"/>
      <c r="G765" s="9"/>
      <c r="H765" s="9"/>
      <c r="I765" s="10" t="s">
        <v>4760</v>
      </c>
      <c r="J765" s="25" t="str">
        <f>IF(shinsei_strtower05_prgo02_NAME="","",IF(shinsei_strtower05_prgo02_NINTEI_NO="","無","有"))</f>
        <v/>
      </c>
      <c r="K765" s="10" t="s">
        <v>2941</v>
      </c>
      <c r="L765" s="10" t="s">
        <v>3879</v>
      </c>
    </row>
    <row r="766" spans="1:12" s="10" customFormat="1" ht="18" customHeight="1">
      <c r="C766" s="12" t="s">
        <v>3960</v>
      </c>
      <c r="D766" s="12"/>
      <c r="G766" s="9" t="s">
        <v>4761</v>
      </c>
      <c r="H766" s="13"/>
      <c r="K766" s="10" t="s">
        <v>4762</v>
      </c>
      <c r="L766" s="10" t="s">
        <v>3879</v>
      </c>
    </row>
    <row r="767" spans="1:12" s="10" customFormat="1" ht="18" customHeight="1">
      <c r="C767" s="12" t="s">
        <v>3964</v>
      </c>
      <c r="D767" s="12"/>
      <c r="G767" s="9" t="s">
        <v>4763</v>
      </c>
      <c r="H767" s="74"/>
      <c r="I767" s="10" t="s">
        <v>4764</v>
      </c>
      <c r="J767" s="25" t="str">
        <f>IF(shinsei_strtower05_prgo02_NINTEI_DATE="","",shinsei_strtower05_prgo02_NINTEI_DATE)</f>
        <v/>
      </c>
    </row>
    <row r="768" spans="1:12" s="10" customFormat="1" ht="18" customHeight="1">
      <c r="C768" s="12" t="s">
        <v>3967</v>
      </c>
      <c r="D768" s="12"/>
      <c r="G768" s="9" t="s">
        <v>4765</v>
      </c>
      <c r="H768" s="13"/>
    </row>
    <row r="769" spans="2:12" s="10" customFormat="1" ht="18" customHeight="1">
      <c r="C769" s="12" t="s">
        <v>3970</v>
      </c>
      <c r="D769" s="12"/>
      <c r="G769" s="9"/>
      <c r="H769" s="12"/>
      <c r="I769" s="9" t="s">
        <v>4766</v>
      </c>
      <c r="J769" s="25" t="str">
        <f>IF(shinsei_strtower05_prgo02_NAME="","",shinsei_strtower05_prgo02_NAME)&amp;CHAR(10)&amp;IF(shinsei_strtower05_prgo02_VER="","","Ver."&amp;shinsei_strtower05_prgo02_VER&amp;CHAR(10))</f>
        <v xml:space="preserve">
</v>
      </c>
    </row>
    <row r="770" spans="2:12" s="10" customFormat="1" ht="18" customHeight="1">
      <c r="C770" s="12" t="s">
        <v>3972</v>
      </c>
      <c r="D770" s="12"/>
      <c r="G770" s="9"/>
      <c r="H770" s="12"/>
      <c r="I770" s="9" t="s">
        <v>4767</v>
      </c>
      <c r="J770" s="25" t="str">
        <f>IF(shinsei_strtower05_prgo02_NAME="","",shinsei_strtower05_prgo02_NAME&amp;" ")&amp;IF(shinsei_strtower05_prgo02_VER="","","Ver."&amp;shinsei_strtower05_prgo02_VER&amp;"  ")</f>
        <v/>
      </c>
    </row>
    <row r="771" spans="2:12" s="10" customFormat="1" ht="18" customHeight="1">
      <c r="C771" s="12" t="s">
        <v>3974</v>
      </c>
      <c r="D771" s="12"/>
      <c r="G771" s="9"/>
      <c r="H771" s="12"/>
    </row>
    <row r="772" spans="2:12" s="10" customFormat="1" ht="18" customHeight="1">
      <c r="D772" s="12" t="s">
        <v>4768</v>
      </c>
      <c r="G772" s="9"/>
      <c r="H772" s="12"/>
      <c r="I772" s="9" t="s">
        <v>4769</v>
      </c>
      <c r="J772" s="173" t="str">
        <f>IF(cst_shinsei_strtower05_prgo02_NINTEI__umu="有",IF(shinsei_strtower05_prgo02_MAKER_NAME="","",shinsei_strtower05_prgo02_MAKER_NAME&amp;"  "),"")</f>
        <v/>
      </c>
    </row>
    <row r="773" spans="2:12" s="10" customFormat="1" ht="18" customHeight="1">
      <c r="D773" s="12" t="s">
        <v>3972</v>
      </c>
      <c r="G773" s="9"/>
      <c r="H773" s="12"/>
      <c r="I773" s="9" t="s">
        <v>4770</v>
      </c>
      <c r="J773" s="25" t="str">
        <f>IF(cst_shinsei_strtower05_prgo02_NINTEI__umu="有",IF(shinsei_strtower05_prgo02_NAME="","",shinsei_strtower05_prgo02_NAME&amp;" ")&amp;IF(shinsei_strtower05_prgo02_VER="","","Ver."&amp;shinsei_strtower05_prgo02_VER&amp;"  "),"")</f>
        <v/>
      </c>
    </row>
    <row r="774" spans="2:12" s="10" customFormat="1" ht="18" customHeight="1">
      <c r="C774" s="12" t="s">
        <v>3981</v>
      </c>
      <c r="D774" s="12"/>
      <c r="G774" s="9"/>
      <c r="H774" s="12"/>
    </row>
    <row r="775" spans="2:12" s="10" customFormat="1" ht="18" customHeight="1">
      <c r="D775" s="12" t="s">
        <v>3975</v>
      </c>
      <c r="G775" s="9"/>
      <c r="H775" s="12"/>
      <c r="I775" s="9" t="s">
        <v>4771</v>
      </c>
      <c r="J775" s="173" t="str">
        <f>IF(cst_shinsei_strtower05_prgo02_NINTEI__umu="無",IF(shinsei_strtower05_prgo02_MAKER_NAME="","",shinsei_strtower05_prgo02_MAKER_NAME&amp;"  "),"")</f>
        <v/>
      </c>
    </row>
    <row r="776" spans="2:12" s="10" customFormat="1" ht="18" customHeight="1">
      <c r="D776" s="12" t="s">
        <v>3972</v>
      </c>
      <c r="G776" s="9"/>
      <c r="H776" s="12"/>
      <c r="I776" s="9" t="s">
        <v>4772</v>
      </c>
      <c r="J776" s="25" t="str">
        <f>IF(cst_shinsei_strtower05_prgo02_NINTEI__umu="無",IF(shinsei_strtower05_prgo02_NAME="","",shinsei_strtower05_prgo02_NAME&amp;" ")&amp;IF(shinsei_strtower05_prgo02_VER="","","Ver."&amp;shinsei_strtower05_prgo02_VER&amp;"  "),"")</f>
        <v/>
      </c>
    </row>
    <row r="777" spans="2:12" s="10" customFormat="1" ht="18" customHeight="1">
      <c r="B777" s="105" t="s">
        <v>4016</v>
      </c>
      <c r="C777" s="105"/>
      <c r="D777" s="105"/>
      <c r="E777" s="24"/>
      <c r="F777" s="24"/>
      <c r="G777" s="9"/>
      <c r="H777" s="12"/>
    </row>
    <row r="778" spans="2:12" s="10" customFormat="1" ht="18" customHeight="1">
      <c r="C778" s="10" t="s">
        <v>3951</v>
      </c>
      <c r="D778" s="12"/>
      <c r="G778" s="9" t="s">
        <v>4773</v>
      </c>
      <c r="H778" s="13"/>
      <c r="K778" s="10" t="s">
        <v>3862</v>
      </c>
      <c r="L778" s="10" t="s">
        <v>3879</v>
      </c>
    </row>
    <row r="779" spans="2:12" s="10" customFormat="1" ht="18" customHeight="1">
      <c r="C779" s="12" t="s">
        <v>3954</v>
      </c>
      <c r="D779" s="12"/>
      <c r="G779" s="9" t="s">
        <v>4774</v>
      </c>
      <c r="H779" s="13"/>
    </row>
    <row r="780" spans="2:12" s="10" customFormat="1" ht="18" customHeight="1">
      <c r="C780" s="12" t="s">
        <v>3957</v>
      </c>
      <c r="D780" s="12"/>
      <c r="G780" s="9"/>
      <c r="H780" s="9"/>
      <c r="I780" s="10" t="s">
        <v>4775</v>
      </c>
      <c r="J780" s="25" t="str">
        <f>IF(shinsei_strtower05_prgo03_NAME="","",IF(shinsei_strtower05_prgo03_NINTEI_NO="","無","有"))</f>
        <v/>
      </c>
      <c r="K780" s="10" t="s">
        <v>2941</v>
      </c>
      <c r="L780" s="10" t="s">
        <v>3879</v>
      </c>
    </row>
    <row r="781" spans="2:12" s="10" customFormat="1" ht="18" customHeight="1">
      <c r="C781" s="12" t="s">
        <v>3960</v>
      </c>
      <c r="D781" s="12"/>
      <c r="G781" s="9" t="s">
        <v>4776</v>
      </c>
      <c r="H781" s="13"/>
      <c r="K781" s="10" t="s">
        <v>3862</v>
      </c>
      <c r="L781" s="10" t="s">
        <v>3879</v>
      </c>
    </row>
    <row r="782" spans="2:12" s="10" customFormat="1" ht="18" customHeight="1">
      <c r="C782" s="12" t="s">
        <v>3964</v>
      </c>
      <c r="D782" s="12"/>
      <c r="G782" s="9" t="s">
        <v>4777</v>
      </c>
      <c r="H782" s="74"/>
      <c r="I782" s="10" t="s">
        <v>4778</v>
      </c>
      <c r="J782" s="25" t="str">
        <f>IF(shinsei_strtower05_prgo03_NINTEI_DATE="","",TEXT(shinsei_strtower05_prgo03_NINTEI_DATE,"ggge年m月d日")&amp;"  ")</f>
        <v/>
      </c>
    </row>
    <row r="783" spans="2:12" s="10" customFormat="1" ht="18" customHeight="1">
      <c r="C783" s="12" t="s">
        <v>4779</v>
      </c>
      <c r="D783" s="12"/>
      <c r="G783" s="9" t="s">
        <v>4780</v>
      </c>
      <c r="H783" s="13"/>
      <c r="I783" s="9"/>
      <c r="J783" s="9"/>
    </row>
    <row r="784" spans="2:12" s="10" customFormat="1" ht="18" customHeight="1">
      <c r="C784" s="12" t="s">
        <v>3970</v>
      </c>
      <c r="D784" s="12"/>
      <c r="G784" s="9"/>
      <c r="H784" s="12"/>
      <c r="I784" s="9" t="s">
        <v>4781</v>
      </c>
      <c r="J784" s="25" t="str">
        <f>IF(shinsei_strtower05_prgo03_NAME="","",shinsei_strtower05_prgo03_NAME)&amp;CHAR(10)&amp;IF(shinsei_strtower05_prgo03_VER="","","Ver."&amp;shinsei_strtower05_prgo03_VER&amp;CHAR(10))</f>
        <v xml:space="preserve">
</v>
      </c>
    </row>
    <row r="785" spans="2:12" s="10" customFormat="1" ht="18" customHeight="1">
      <c r="C785" s="12" t="s">
        <v>3972</v>
      </c>
      <c r="D785" s="12"/>
      <c r="G785" s="9"/>
      <c r="H785" s="12"/>
      <c r="I785" s="9" t="s">
        <v>4782</v>
      </c>
      <c r="J785" s="25" t="str">
        <f>IF(shinsei_strtower05_prgo03_NAME="","",shinsei_strtower05_prgo03_NAME&amp;" ")&amp;IF(shinsei_strtower05_prgo03_VER="","","Ver."&amp;shinsei_strtower05_prgo03_VER&amp;"  ")</f>
        <v/>
      </c>
    </row>
    <row r="786" spans="2:12" s="10" customFormat="1" ht="18" customHeight="1">
      <c r="C786" s="12" t="s">
        <v>3974</v>
      </c>
      <c r="D786" s="12"/>
      <c r="G786" s="9"/>
      <c r="H786" s="12"/>
    </row>
    <row r="787" spans="2:12" s="10" customFormat="1" ht="18" customHeight="1">
      <c r="D787" s="12" t="s">
        <v>3975</v>
      </c>
      <c r="G787" s="9"/>
      <c r="H787" s="12"/>
      <c r="I787" s="9" t="s">
        <v>4783</v>
      </c>
      <c r="J787" s="173" t="str">
        <f>IF(cst_shinsei_strtower05_prgo03_NINTEI__umu="有",IF(shinsei_strtower05_prgo03_MAKER_NAME="","",shinsei_strtower05_prgo03_MAKER_NAME&amp;"  "),"")</f>
        <v/>
      </c>
    </row>
    <row r="788" spans="2:12" s="10" customFormat="1" ht="18" customHeight="1">
      <c r="D788" s="12" t="s">
        <v>3972</v>
      </c>
      <c r="G788" s="9"/>
      <c r="H788" s="12"/>
      <c r="I788" s="9" t="s">
        <v>4784</v>
      </c>
      <c r="J788" s="25" t="str">
        <f>IF(cst_shinsei_strtower05_prgo03_NINTEI__umu="有",IF(shinsei_strtower05_prgo03_NAME="","",shinsei_strtower05_prgo03_NAME&amp;" ")&amp;IF(shinsei_strtower05_prgo03_VER="","","Ver."&amp;shinsei_strtower05_prgo03_VER&amp;"  "),"")</f>
        <v/>
      </c>
    </row>
    <row r="789" spans="2:12" s="10" customFormat="1" ht="18" customHeight="1">
      <c r="C789" s="12" t="s">
        <v>3981</v>
      </c>
      <c r="D789" s="12"/>
      <c r="G789" s="9"/>
      <c r="H789" s="12"/>
    </row>
    <row r="790" spans="2:12" s="10" customFormat="1" ht="18" customHeight="1">
      <c r="D790" s="12" t="s">
        <v>3975</v>
      </c>
      <c r="G790" s="9"/>
      <c r="H790" s="12"/>
      <c r="I790" s="9" t="s">
        <v>4785</v>
      </c>
      <c r="J790" s="173" t="str">
        <f>IF(cst_shinsei_strtower05_prgo03_NINTEI__umu="無",IF(shinsei_strtower05_prgo03_MAKER_NAME="","",shinsei_strtower05_prgo03_MAKER_NAME&amp;"  "),"")</f>
        <v/>
      </c>
    </row>
    <row r="791" spans="2:12" s="10" customFormat="1" ht="18" customHeight="1">
      <c r="D791" s="12" t="s">
        <v>3972</v>
      </c>
      <c r="G791" s="9"/>
      <c r="H791" s="12"/>
      <c r="I791" s="9" t="s">
        <v>4786</v>
      </c>
      <c r="J791" s="25" t="str">
        <f>IF(cst_shinsei_strtower05_prgo03_NINTEI__umu="無",IF(shinsei_strtower05_prgo03_NAME="","",shinsei_strtower05_prgo03_NAME&amp;" ")&amp;IF(shinsei_strtower05_prgo03_VER="","","Ver."&amp;shinsei_strtower05_prgo03_VER&amp;"  "),"")</f>
        <v/>
      </c>
    </row>
    <row r="792" spans="2:12" s="10" customFormat="1" ht="18" customHeight="1">
      <c r="B792" s="105" t="s">
        <v>4031</v>
      </c>
      <c r="C792" s="105"/>
      <c r="D792" s="105"/>
      <c r="E792" s="24"/>
      <c r="F792" s="24"/>
      <c r="G792" s="9"/>
      <c r="H792" s="12"/>
    </row>
    <row r="793" spans="2:12" s="10" customFormat="1" ht="18" customHeight="1">
      <c r="C793" s="10" t="s">
        <v>3951</v>
      </c>
      <c r="D793" s="12"/>
      <c r="G793" s="9" t="s">
        <v>4787</v>
      </c>
      <c r="H793" s="13"/>
      <c r="K793" s="10" t="s">
        <v>3862</v>
      </c>
      <c r="L793" s="10" t="s">
        <v>3879</v>
      </c>
    </row>
    <row r="794" spans="2:12" s="10" customFormat="1" ht="18" customHeight="1">
      <c r="C794" s="12" t="s">
        <v>3954</v>
      </c>
      <c r="D794" s="12"/>
      <c r="G794" s="9" t="s">
        <v>4788</v>
      </c>
      <c r="H794" s="13"/>
    </row>
    <row r="795" spans="2:12" s="10" customFormat="1" ht="18" customHeight="1">
      <c r="C795" s="12" t="s">
        <v>3957</v>
      </c>
      <c r="D795" s="12"/>
      <c r="G795" s="9"/>
      <c r="H795" s="9"/>
      <c r="I795" s="10" t="s">
        <v>4789</v>
      </c>
      <c r="J795" s="25" t="str">
        <f>IF(shinsei_strtower05_prgo04_NAME="","",IF(shinsei_strtower05_prgo04_NINTEI_NO="","無","有"))</f>
        <v/>
      </c>
      <c r="K795" s="10" t="s">
        <v>2941</v>
      </c>
      <c r="L795" s="10" t="s">
        <v>3879</v>
      </c>
    </row>
    <row r="796" spans="2:12" s="10" customFormat="1" ht="18" customHeight="1">
      <c r="C796" s="12" t="s">
        <v>3960</v>
      </c>
      <c r="D796" s="12"/>
      <c r="G796" s="9" t="s">
        <v>4790</v>
      </c>
      <c r="H796" s="13"/>
      <c r="K796" s="10" t="s">
        <v>4791</v>
      </c>
      <c r="L796" s="10" t="s">
        <v>3879</v>
      </c>
    </row>
    <row r="797" spans="2:12" s="10" customFormat="1" ht="18" customHeight="1">
      <c r="C797" s="12" t="s">
        <v>3964</v>
      </c>
      <c r="D797" s="12"/>
      <c r="G797" s="9" t="s">
        <v>4792</v>
      </c>
      <c r="H797" s="74"/>
      <c r="I797" s="10" t="s">
        <v>4793</v>
      </c>
      <c r="J797" s="25" t="str">
        <f>IF(shinsei_strtower05_prgo04_NINTEI_DATE="","",TEXT(shinsei_strtower05_prgo04_NINTEI_DATE,"ggge年m月d日")&amp;"  ")</f>
        <v/>
      </c>
    </row>
    <row r="798" spans="2:12" s="10" customFormat="1" ht="18" customHeight="1">
      <c r="C798" s="12" t="s">
        <v>4794</v>
      </c>
      <c r="D798" s="12"/>
      <c r="G798" s="9" t="s">
        <v>4795</v>
      </c>
      <c r="H798" s="13"/>
      <c r="I798" s="9"/>
      <c r="J798" s="9"/>
    </row>
    <row r="799" spans="2:12" s="10" customFormat="1" ht="18" customHeight="1">
      <c r="C799" s="12" t="s">
        <v>3970</v>
      </c>
      <c r="D799" s="12"/>
      <c r="G799" s="9"/>
      <c r="H799" s="12"/>
      <c r="I799" s="9" t="s">
        <v>4796</v>
      </c>
      <c r="J799" s="25" t="str">
        <f>IF(shinsei_strtower05_prgo04_NAME="","",shinsei_strtower05_prgo04_NAME)&amp;CHAR(10)&amp;IF(shinsei_strtower05_prgo04_VER="","","Ver."&amp;shinsei_strtower05_prgo04_VER&amp;CHAR(10))</f>
        <v xml:space="preserve">
</v>
      </c>
    </row>
    <row r="800" spans="2:12" s="10" customFormat="1" ht="18" customHeight="1">
      <c r="C800" s="12" t="s">
        <v>3972</v>
      </c>
      <c r="D800" s="12"/>
      <c r="G800" s="9"/>
      <c r="H800" s="12"/>
      <c r="I800" s="9" t="s">
        <v>4797</v>
      </c>
      <c r="J800" s="25" t="str">
        <f>IF(shinsei_strtower05_prgo04_NAME="","",shinsei_strtower05_prgo04_NAME&amp;" ")&amp;IF(shinsei_strtower05_prgo04_VER="","","Ver."&amp;shinsei_strtower05_prgo04_VER&amp;"  ")</f>
        <v/>
      </c>
    </row>
    <row r="801" spans="2:12" s="10" customFormat="1" ht="18" customHeight="1">
      <c r="C801" s="12" t="s">
        <v>3974</v>
      </c>
      <c r="D801" s="12"/>
      <c r="G801" s="9"/>
      <c r="H801" s="12"/>
    </row>
    <row r="802" spans="2:12" s="10" customFormat="1" ht="18" customHeight="1">
      <c r="D802" s="12" t="s">
        <v>3975</v>
      </c>
      <c r="G802" s="9"/>
      <c r="H802" s="12"/>
      <c r="I802" s="9" t="s">
        <v>4798</v>
      </c>
      <c r="J802" s="173" t="str">
        <f>IF(cst_shinsei_strtower05_prgo04_NINTEI__umu="有",IF(shinsei_strtower05_prgo04_MAKER_NAME="","",shinsei_strtower05_prgo04_MAKER_NAME&amp;"  "),"")</f>
        <v/>
      </c>
    </row>
    <row r="803" spans="2:12" s="10" customFormat="1" ht="18" customHeight="1">
      <c r="D803" s="12" t="s">
        <v>3972</v>
      </c>
      <c r="G803" s="9"/>
      <c r="H803" s="12"/>
      <c r="I803" s="9" t="s">
        <v>4799</v>
      </c>
      <c r="J803" s="25" t="str">
        <f>IF(cst_shinsei_strtower05_prgo04_NINTEI__umu="有",IF(shinsei_strtower05_prgo04_NAME="","",shinsei_strtower05_prgo04_NAME&amp;" ")&amp;IF(shinsei_strtower05_prgo04_VER="","","Ver."&amp;shinsei_strtower05_prgo04_VER&amp;"  "),"")</f>
        <v/>
      </c>
    </row>
    <row r="804" spans="2:12" s="10" customFormat="1" ht="18" customHeight="1">
      <c r="C804" s="12" t="s">
        <v>3981</v>
      </c>
      <c r="D804" s="12"/>
      <c r="G804" s="9"/>
      <c r="H804" s="12"/>
    </row>
    <row r="805" spans="2:12" s="10" customFormat="1" ht="18" customHeight="1">
      <c r="D805" s="12" t="s">
        <v>3976</v>
      </c>
      <c r="G805" s="9"/>
      <c r="H805" s="12"/>
      <c r="I805" s="9" t="s">
        <v>4800</v>
      </c>
      <c r="J805" s="173" t="str">
        <f>IF(cst_shinsei_strtower05_prgo04_NINTEI__umu="無",IF(shinsei_strtower05_prgo04_MAKER_NAME="","",shinsei_strtower05_prgo04_MAKER_NAME&amp;"  "),"")</f>
        <v/>
      </c>
    </row>
    <row r="806" spans="2:12" s="10" customFormat="1" ht="18" customHeight="1">
      <c r="D806" s="12" t="s">
        <v>3972</v>
      </c>
      <c r="G806" s="9"/>
      <c r="H806" s="12"/>
      <c r="I806" s="9" t="s">
        <v>4801</v>
      </c>
      <c r="J806" s="25" t="str">
        <f>IF(cst_shinsei_strtower05_prgo04_NINTEI__umu="無",IF(shinsei_strtower05_prgo04_NAME="","",shinsei_strtower05_prgo04_NAME&amp;" ")&amp;IF(shinsei_strtower05_prgo04_VER="","","Ver."&amp;shinsei_strtower05_prgo04_VER&amp;"  "),"")</f>
        <v/>
      </c>
    </row>
    <row r="807" spans="2:12" s="10" customFormat="1" ht="18" customHeight="1">
      <c r="B807" s="105" t="s">
        <v>4802</v>
      </c>
      <c r="C807" s="105"/>
      <c r="D807" s="105"/>
      <c r="E807" s="24"/>
      <c r="F807" s="24"/>
      <c r="G807" s="9"/>
      <c r="H807" s="12"/>
    </row>
    <row r="808" spans="2:12" s="10" customFormat="1" ht="18" customHeight="1">
      <c r="C808" s="10" t="s">
        <v>3951</v>
      </c>
      <c r="D808" s="12"/>
      <c r="G808" s="9" t="s">
        <v>4803</v>
      </c>
      <c r="H808" s="13"/>
      <c r="K808" s="10" t="s">
        <v>3863</v>
      </c>
      <c r="L808" s="10" t="s">
        <v>3879</v>
      </c>
    </row>
    <row r="809" spans="2:12" s="10" customFormat="1" ht="18" customHeight="1">
      <c r="C809" s="12" t="s">
        <v>4034</v>
      </c>
      <c r="D809" s="12"/>
      <c r="G809" s="9" t="s">
        <v>4804</v>
      </c>
      <c r="H809" s="13"/>
    </row>
    <row r="810" spans="2:12" s="10" customFormat="1" ht="18" customHeight="1">
      <c r="C810" s="12" t="s">
        <v>3957</v>
      </c>
      <c r="D810" s="12"/>
      <c r="G810" s="9"/>
      <c r="H810" s="9"/>
      <c r="I810" s="10" t="s">
        <v>4805</v>
      </c>
      <c r="J810" s="25" t="str">
        <f>IF(shinsei_strtower05_prgo05_NAME="","",IF(shinsei_strtower05_prgo05_NINTEI_NO="","無","有"))</f>
        <v/>
      </c>
      <c r="K810" s="10" t="s">
        <v>2941</v>
      </c>
      <c r="L810" s="10" t="s">
        <v>3879</v>
      </c>
    </row>
    <row r="811" spans="2:12" s="10" customFormat="1" ht="18" customHeight="1">
      <c r="C811" s="12" t="s">
        <v>3960</v>
      </c>
      <c r="D811" s="12"/>
      <c r="G811" s="9" t="s">
        <v>4806</v>
      </c>
      <c r="H811" s="13"/>
      <c r="K811" s="10" t="s">
        <v>4807</v>
      </c>
      <c r="L811" s="10" t="s">
        <v>3879</v>
      </c>
    </row>
    <row r="812" spans="2:12" s="10" customFormat="1" ht="18" customHeight="1">
      <c r="C812" s="12" t="s">
        <v>3964</v>
      </c>
      <c r="D812" s="12"/>
      <c r="G812" s="9" t="s">
        <v>4808</v>
      </c>
      <c r="H812" s="74"/>
      <c r="I812" s="10" t="s">
        <v>4809</v>
      </c>
      <c r="J812" s="25" t="str">
        <f>IF(shinsei_strtower05_prgo05_NINTEI_DATE="","",TEXT(shinsei_strtower05_prgo05_NINTEI_DATE,"ggge年m月d日")&amp;"  ")</f>
        <v/>
      </c>
    </row>
    <row r="813" spans="2:12" s="10" customFormat="1" ht="18" customHeight="1">
      <c r="C813" s="12" t="s">
        <v>3967</v>
      </c>
      <c r="D813" s="12"/>
      <c r="G813" s="9" t="s">
        <v>4810</v>
      </c>
      <c r="H813" s="13"/>
    </row>
    <row r="814" spans="2:12" s="10" customFormat="1" ht="18" customHeight="1">
      <c r="C814" s="12" t="s">
        <v>3970</v>
      </c>
      <c r="D814" s="12"/>
      <c r="G814" s="9"/>
      <c r="H814" s="12"/>
      <c r="I814" s="9" t="s">
        <v>4811</v>
      </c>
      <c r="J814" s="25" t="str">
        <f>IF(shinsei_strtower05_prgo05_NAME="","",shinsei_strtower05_prgo05_NAME)&amp;CHAR(10)&amp;IF(shinsei_strtower05_prgo05_VER="","","Ver."&amp;shinsei_strtower05_prgo05_VER&amp;CHAR(10))</f>
        <v xml:space="preserve">
</v>
      </c>
    </row>
    <row r="815" spans="2:12" s="10" customFormat="1" ht="18" customHeight="1">
      <c r="C815" s="12" t="s">
        <v>3972</v>
      </c>
      <c r="D815" s="12"/>
      <c r="G815" s="9"/>
      <c r="H815" s="12"/>
      <c r="I815" s="9" t="s">
        <v>4812</v>
      </c>
      <c r="J815" s="25" t="str">
        <f>IF(shinsei_strtower05_prgo05_NAME="","",shinsei_strtower05_prgo05_NAME&amp;" ")&amp;IF(shinsei_strtower05_prgo05_VER="","","Ver."&amp;shinsei_strtower05_prgo05_VER&amp;"  ")</f>
        <v/>
      </c>
    </row>
    <row r="816" spans="2:12" s="10" customFormat="1" ht="18" customHeight="1">
      <c r="C816" s="12" t="s">
        <v>3974</v>
      </c>
      <c r="D816" s="12"/>
      <c r="G816" s="9"/>
      <c r="H816" s="12"/>
    </row>
    <row r="817" spans="2:10" s="10" customFormat="1" ht="18" customHeight="1">
      <c r="D817" s="12" t="s">
        <v>3975</v>
      </c>
      <c r="G817" s="9"/>
      <c r="H817" s="12"/>
      <c r="I817" s="9" t="s">
        <v>4813</v>
      </c>
      <c r="J817" s="173" t="str">
        <f>IF(cst_shinsei_strtower05_prgo05_NINTEI__umu="有",IF(shinsei_strtower05_prgo05_MAKER_NAME="","",shinsei_strtower05_prgo05_MAKER_NAME&amp;"  "),"")</f>
        <v/>
      </c>
    </row>
    <row r="818" spans="2:10" s="10" customFormat="1" ht="18" customHeight="1">
      <c r="D818" s="12" t="s">
        <v>3972</v>
      </c>
      <c r="G818" s="9"/>
      <c r="H818" s="12"/>
      <c r="I818" s="9" t="s">
        <v>4814</v>
      </c>
      <c r="J818" s="25" t="str">
        <f>IF(cst_shinsei_strtower05_prgo05_NINTEI__umu="有",IF(shinsei_strtower05_prgo05_NAME="","",shinsei_strtower05_prgo05_NAME&amp;" ")&amp;IF(shinsei_strtower05_prgo05_VER="","","Ver."&amp;shinsei_strtower05_prgo05_VER&amp;"  "),"")</f>
        <v/>
      </c>
    </row>
    <row r="819" spans="2:10" s="10" customFormat="1" ht="18" customHeight="1">
      <c r="C819" s="12" t="s">
        <v>3981</v>
      </c>
      <c r="D819" s="12"/>
      <c r="G819" s="9"/>
      <c r="H819" s="12"/>
    </row>
    <row r="820" spans="2:10" s="10" customFormat="1" ht="18" customHeight="1">
      <c r="D820" s="12" t="s">
        <v>4815</v>
      </c>
      <c r="G820" s="9"/>
      <c r="H820" s="12"/>
      <c r="I820" s="9" t="s">
        <v>4816</v>
      </c>
      <c r="J820" s="173" t="str">
        <f>IF(cst_shinsei_strtower05_prgo05_NINTEI__umu="無",IF(shinsei_strtower05_prgo05_MAKER_NAME="","",shinsei_strtower05_prgo05_MAKER_NAME&amp;"  "),"")</f>
        <v/>
      </c>
    </row>
    <row r="821" spans="2:10" s="10" customFormat="1" ht="18" customHeight="1">
      <c r="D821" s="12" t="s">
        <v>3972</v>
      </c>
      <c r="G821" s="9"/>
      <c r="H821" s="12"/>
      <c r="I821" s="9" t="s">
        <v>4817</v>
      </c>
      <c r="J821" s="25" t="str">
        <f>IF(cst_shinsei_strtower05_prgo05_NINTEI__umu="無",IF(shinsei_strtower05_prgo05_NAME="","",shinsei_strtower05_prgo05_NAME&amp;" ")&amp;IF(shinsei_strtower05_prgo05_VER="","","Ver."&amp;shinsei_strtower05_prgo05_VER&amp;"  "),"")</f>
        <v/>
      </c>
    </row>
    <row r="822" spans="2:10" s="10" customFormat="1" ht="18" customHeight="1">
      <c r="B822" s="13" t="s">
        <v>4818</v>
      </c>
      <c r="C822" s="13"/>
      <c r="D822" s="13"/>
      <c r="E822" s="25"/>
      <c r="F822" s="25"/>
      <c r="G822" s="9"/>
      <c r="H822" s="80"/>
      <c r="I822" s="9"/>
      <c r="J822" s="80"/>
    </row>
    <row r="823" spans="2:10" s="10" customFormat="1" ht="18" customHeight="1">
      <c r="C823" s="12" t="s">
        <v>3970</v>
      </c>
      <c r="D823" s="12"/>
      <c r="G823" s="9"/>
      <c r="H823" s="80"/>
      <c r="I823" s="166" t="s">
        <v>4819</v>
      </c>
      <c r="J823" s="74" t="str">
        <f>cst_shinsei_strtower05_prgo01_NAME_VER&amp;cst_shinsei_strtower05_prgo02_NAME_VER&amp;cst_shinsei_strtower05_prgo03_NAME_VER&amp;cst_shinsei_strtower05_prgo04_NAME_VER&amp;cst_shinsei_strtower05_prgo05_NAME_VER</f>
        <v xml:space="preserve">
</v>
      </c>
    </row>
    <row r="824" spans="2:10" s="10" customFormat="1" ht="18" customHeight="1">
      <c r="C824" s="12" t="s">
        <v>3972</v>
      </c>
      <c r="D824" s="12"/>
      <c r="G824" s="9"/>
      <c r="H824" s="80"/>
      <c r="I824" s="166" t="s">
        <v>4820</v>
      </c>
      <c r="J824" s="74" t="str">
        <f>cst_shinsei_strtower05_prgo01_NAME_VER__SP&amp;cst_shinsei_strtower05_prgo02_NAME_VER__SP&amp;cst_shinsei_strtower05_prgo03_NAME_VER__SP&amp;cst_shinsei_strtower05_prgo04_NAME_VER__SP&amp;cst_shinsei_strtower05_prgo05_NAME_VER__SP</f>
        <v/>
      </c>
    </row>
    <row r="825" spans="2:10" s="10" customFormat="1" ht="18" customHeight="1">
      <c r="B825" s="13" t="s">
        <v>4068</v>
      </c>
      <c r="C825" s="13"/>
      <c r="D825" s="13"/>
      <c r="E825" s="25"/>
      <c r="F825" s="25"/>
      <c r="G825" s="9"/>
      <c r="H825" s="80"/>
      <c r="I825" s="9"/>
      <c r="J825" s="80"/>
    </row>
    <row r="826" spans="2:10" s="10" customFormat="1" ht="18" customHeight="1">
      <c r="C826" s="12" t="s">
        <v>3975</v>
      </c>
      <c r="D826" s="12"/>
      <c r="G826" s="9"/>
      <c r="H826" s="80"/>
      <c r="I826" s="166" t="s">
        <v>4821</v>
      </c>
      <c r="J826" s="74" t="str">
        <f>cst_shinsei_strtower05_prgo01_MAKER__NINTEI_ari&amp;cst_shinsei_strtower05_prgo02_MAKER__NINTEI_ari&amp;cst_shinsei_strtower05_prgo03_MAKER__NINTEI_ari&amp;cst_shinsei_strtower05_prgo04_MAKER__NINTEI_ari&amp;cst_shinsei_strtower05_prgo05_MAKER__NINTEI_ari</f>
        <v/>
      </c>
    </row>
    <row r="827" spans="2:10" s="10" customFormat="1" ht="18" customHeight="1">
      <c r="C827" s="12" t="s">
        <v>3972</v>
      </c>
      <c r="D827" s="12"/>
      <c r="G827" s="9"/>
      <c r="H827" s="80"/>
      <c r="I827" s="166" t="s">
        <v>4822</v>
      </c>
      <c r="J827" s="173" t="str">
        <f>cst_shinsei_strtower05_prgo01_NAME_VER__NINTEI_ari&amp;cst_shinsei_strtower05_prgo02_NAME_VER__NINTEI_ari&amp;cst_shinsei_strtower05_prgo03_NAME_VER__NINTEI_ari&amp;cst_shinsei_strtower05_prgo04_NAME_VER__NINTEI_ari&amp;cst_shinsei_strtower05_prgo05_NAME_VER__NINTEI_ari</f>
        <v/>
      </c>
    </row>
    <row r="828" spans="2:10" s="10" customFormat="1" ht="18" customHeight="1">
      <c r="C828" s="12" t="s">
        <v>3964</v>
      </c>
      <c r="D828" s="12"/>
      <c r="G828" s="9"/>
      <c r="H828" s="80"/>
      <c r="I828" s="166" t="s">
        <v>4823</v>
      </c>
      <c r="J828" s="74" t="str">
        <f>cst_shinsei_strtower05_prgo01_NINTEI_DATE_dsp&amp;cst_shinsei_strtower05_prgo02_NINTEI_DATE_dsp&amp;cst_shinsei_strtower05_prgo03_NINTEI_DATE_dsp&amp;cst_shinsei_strtower05_prgo04_NINTEI_DATE_dsp&amp;cst_shinsei_strtower05_prgo05_NINTEI_DATE_dsp</f>
        <v/>
      </c>
    </row>
    <row r="829" spans="2:10" s="10" customFormat="1" ht="18" customHeight="1">
      <c r="B829" s="13" t="s">
        <v>4072</v>
      </c>
      <c r="C829" s="13"/>
      <c r="D829" s="13"/>
      <c r="E829" s="25"/>
      <c r="F829" s="25"/>
      <c r="G829" s="9"/>
      <c r="H829" s="80"/>
      <c r="I829" s="9"/>
      <c r="J829" s="80"/>
    </row>
    <row r="830" spans="2:10" s="10" customFormat="1" ht="18" customHeight="1">
      <c r="C830" s="12" t="s">
        <v>4815</v>
      </c>
      <c r="D830" s="12"/>
      <c r="G830" s="9"/>
      <c r="H830" s="80"/>
      <c r="I830" s="166" t="s">
        <v>4824</v>
      </c>
      <c r="J830" s="74" t="str">
        <f>cst_shinsei_strtower05_prgo01_MAKER__NINTEI_non&amp;cst_shinsei_strtower05_prgo02_MAKER__NINTEI_non&amp;cst_shinsei_strtower05_prgo03_MAKER__NINTEI_non&amp;cst_shinsei_strtower05_prgo04_MAKER__NINTEI_non&amp;cst_shinsei_strtower05_prgo05_MAKER__NINTEI_non</f>
        <v/>
      </c>
    </row>
    <row r="831" spans="2:10" s="10" customFormat="1" ht="18" customHeight="1">
      <c r="C831" s="12" t="s">
        <v>3972</v>
      </c>
      <c r="D831" s="12"/>
      <c r="G831" s="9"/>
      <c r="H831" s="80"/>
      <c r="I831" s="166" t="s">
        <v>4825</v>
      </c>
      <c r="J831" s="173" t="str">
        <f>cst_shinsei_strtower05_prgo01_NAME_VER__NINTEI_non&amp;cst_shinsei_strtower05_prgo02_NAME_VER__NINTEI_non&amp;cst_shinsei_strtower05_prgo03_NAME_VER__NINTEI_non&amp;cst_shinsei_strtower05_prgo04_NAME_VER__NINTEI_non&amp;cst_shinsei_strtower05_prgo05_NAME_VER__NINTEI_non</f>
        <v/>
      </c>
    </row>
    <row r="832" spans="2:10" s="10" customFormat="1" ht="18" customHeight="1">
      <c r="B832" s="12" t="s">
        <v>4075</v>
      </c>
      <c r="G832" s="9" t="s">
        <v>4826</v>
      </c>
      <c r="H832" s="20"/>
      <c r="I832" s="9" t="s">
        <v>4827</v>
      </c>
      <c r="J832" s="20" t="str">
        <f>IF(shinsei_strtower05_DISK_FLAG="","",IF(shinsei_strtower05_DISK_FLAG=1,"有","無"))</f>
        <v/>
      </c>
    </row>
    <row r="833" spans="1:12" s="10" customFormat="1" ht="18" customHeight="1">
      <c r="A833" s="9"/>
      <c r="B833" s="9" t="s">
        <v>2955</v>
      </c>
      <c r="C833" s="9"/>
      <c r="D833" s="9"/>
      <c r="E833" s="9"/>
      <c r="F833" s="9"/>
      <c r="G833" s="9" t="s">
        <v>4828</v>
      </c>
      <c r="H833" s="136"/>
      <c r="I833" s="19" t="s">
        <v>4829</v>
      </c>
      <c r="J833" s="171" t="str">
        <f>IF(shinsei_strtower05_CHARGE="","",shinsei_strtower05_CHARGE)</f>
        <v/>
      </c>
      <c r="K833" s="9" t="s">
        <v>2528</v>
      </c>
      <c r="L833" s="9" t="s">
        <v>2528</v>
      </c>
    </row>
    <row r="834" spans="1:12" ht="18" customHeight="1">
      <c r="A834" s="149"/>
      <c r="B834" s="149"/>
      <c r="C834" s="149"/>
      <c r="D834" s="149"/>
      <c r="E834" s="12" t="s">
        <v>3907</v>
      </c>
      <c r="F834" s="12"/>
      <c r="G834" s="149"/>
      <c r="I834" s="100" t="s">
        <v>4830</v>
      </c>
      <c r="J834" s="171" t="str">
        <f>IF(shinsei_strtower05_CHARGE="","",TEXT(shinsei_strtower05_CHARGE,"#,##0_ ")&amp;"円")</f>
        <v/>
      </c>
      <c r="K834" s="9"/>
      <c r="L834" s="9"/>
    </row>
    <row r="835" spans="1:12" ht="18" customHeight="1">
      <c r="A835" s="149"/>
      <c r="B835" s="149" t="s">
        <v>3041</v>
      </c>
      <c r="C835" s="149"/>
      <c r="D835" s="149"/>
      <c r="E835" s="149"/>
      <c r="F835" s="149"/>
      <c r="G835" s="149" t="s">
        <v>4831</v>
      </c>
      <c r="H835" s="136"/>
      <c r="I835" s="100" t="s">
        <v>4832</v>
      </c>
      <c r="J835" s="136" t="str">
        <f>IF(shinsei_strtower05_CHARGE_WARIMASHI="","",shinsei_strtower05_CHARGE_WARIMASHI)</f>
        <v/>
      </c>
      <c r="K835" s="9" t="s">
        <v>2528</v>
      </c>
      <c r="L835" s="9" t="s">
        <v>2528</v>
      </c>
    </row>
    <row r="836" spans="1:12" ht="18" customHeight="1">
      <c r="A836" s="149"/>
      <c r="B836" s="149" t="s">
        <v>3043</v>
      </c>
      <c r="C836" s="149"/>
      <c r="D836" s="149"/>
      <c r="E836" s="149"/>
      <c r="F836" s="149"/>
      <c r="G836" s="149" t="s">
        <v>4833</v>
      </c>
      <c r="H836" s="136"/>
      <c r="I836" s="100" t="s">
        <v>4834</v>
      </c>
      <c r="J836" s="136" t="str">
        <f>IF(shinsei_strtower05_CHARGE_TOTAL="","",shinsei_strtower05_CHARGE_TOTAL)</f>
        <v/>
      </c>
      <c r="K836" s="9" t="s">
        <v>2528</v>
      </c>
      <c r="L836" s="9" t="s">
        <v>2528</v>
      </c>
    </row>
    <row r="837" spans="1:12" ht="18" customHeight="1">
      <c r="A837" s="149"/>
      <c r="B837" s="149" t="s">
        <v>4085</v>
      </c>
      <c r="C837" s="149"/>
      <c r="D837" s="149"/>
      <c r="E837" s="149"/>
      <c r="F837" s="149"/>
      <c r="G837" s="149" t="s">
        <v>1305</v>
      </c>
      <c r="H837" s="136"/>
      <c r="I837" s="100" t="s">
        <v>4835</v>
      </c>
      <c r="J837" s="136" t="str">
        <f>IF(shinsei_strtower05_CHARGE_SANTEI_MENSEKI="","",shinsei_strtower05_CHARGE_SANTEI_MENSEKI)</f>
        <v/>
      </c>
      <c r="K837" s="9"/>
      <c r="L837" s="9"/>
    </row>
    <row r="838" spans="1:12" ht="18" customHeight="1">
      <c r="A838" s="149"/>
      <c r="B838" s="149" t="s">
        <v>5637</v>
      </c>
      <c r="C838" s="149"/>
      <c r="D838" s="149"/>
      <c r="E838" s="149"/>
      <c r="F838" s="149"/>
      <c r="G838" s="149" t="s">
        <v>4836</v>
      </c>
      <c r="H838" s="13" t="s">
        <v>11787</v>
      </c>
      <c r="I838" s="176" t="s">
        <v>4837</v>
      </c>
      <c r="J838" s="20" t="str">
        <f>IF(shinsei_strtower05_CHARGE_KEISAN_NOTE="","",shinsei_strtower05_CHARGE_KEISAN_NOTE)</f>
        <v/>
      </c>
      <c r="K838" s="10" t="s">
        <v>3862</v>
      </c>
      <c r="L838" s="10" t="s">
        <v>3879</v>
      </c>
    </row>
    <row r="839" spans="1:12" ht="18" customHeight="1">
      <c r="A839" s="149"/>
      <c r="B839" s="149"/>
      <c r="C839" s="149"/>
      <c r="D839" s="149"/>
      <c r="E839" s="149" t="s">
        <v>5640</v>
      </c>
      <c r="F839" s="149"/>
      <c r="G839" s="149"/>
      <c r="I839" s="100" t="s">
        <v>4838</v>
      </c>
      <c r="J839" s="20" t="str">
        <f>IF(shinsei_INSPECTION_TYPE="計画変更",IF(shinsei_strtower05_CHARGE="","","延べ面積×1/2により算出"),IF(shinsei_strtower05_CHARGE_KEISAN_NOTE="","",shinsei_strtower05_CHARGE_KEISAN_NOTE))</f>
        <v/>
      </c>
    </row>
    <row r="840" spans="1:12" ht="18" customHeight="1">
      <c r="A840" s="149"/>
      <c r="B840" s="149" t="s">
        <v>5642</v>
      </c>
      <c r="C840" s="149"/>
      <c r="D840" s="149"/>
      <c r="E840" s="149"/>
      <c r="F840" s="149"/>
      <c r="G840" s="149" t="s">
        <v>4839</v>
      </c>
      <c r="H840" s="13" t="s">
        <v>11787</v>
      </c>
      <c r="I840" s="149" t="s">
        <v>4840</v>
      </c>
      <c r="J840" s="20" t="str">
        <f>IF(shinsei_strtower05_KEISAN_X_ROUTE="","",shinsei_strtower05_KEISAN_X_ROUTE)</f>
        <v/>
      </c>
    </row>
    <row r="841" spans="1:12" ht="18" customHeight="1">
      <c r="A841" s="149"/>
      <c r="B841" s="149" t="s">
        <v>5645</v>
      </c>
      <c r="C841" s="149"/>
      <c r="D841" s="149"/>
      <c r="E841" s="149"/>
      <c r="F841" s="149"/>
      <c r="G841" s="149" t="s">
        <v>4841</v>
      </c>
      <c r="H841" s="13" t="s">
        <v>11787</v>
      </c>
      <c r="I841" s="149" t="s">
        <v>4842</v>
      </c>
      <c r="J841" s="20" t="str">
        <f>IF(shinsei_strtower05_KEISAN_Y_ROUTE="","",shinsei_strtower05_KEISAN_Y_ROUTE)</f>
        <v/>
      </c>
    </row>
    <row r="842" spans="1:12" ht="18" customHeight="1">
      <c r="A842" s="149"/>
      <c r="B842" s="149"/>
      <c r="C842" s="149" t="s">
        <v>3805</v>
      </c>
      <c r="D842" s="149"/>
      <c r="E842" s="149"/>
      <c r="F842" s="149"/>
      <c r="G842" s="149"/>
      <c r="H842" s="12"/>
      <c r="I842" s="149" t="s">
        <v>4843</v>
      </c>
      <c r="J842" s="20" t="str">
        <f>IF(AND(cst_shinsei_strtower05_KEISAN_X_ROUTE="3",cst_shinsei_strtower05_KEISAN_Y_ROUTE="3"),"■","□")</f>
        <v>□</v>
      </c>
    </row>
    <row r="843" spans="1:12" ht="18" customHeight="1">
      <c r="A843" s="149"/>
      <c r="B843" s="149" t="s">
        <v>5650</v>
      </c>
      <c r="C843" s="149"/>
      <c r="D843" s="149"/>
      <c r="E843" s="149"/>
      <c r="F843" s="149"/>
      <c r="G843" s="149" t="s">
        <v>4844</v>
      </c>
      <c r="H843" s="13" t="s">
        <v>11787</v>
      </c>
      <c r="I843" s="149" t="s">
        <v>4845</v>
      </c>
      <c r="J843" s="20" t="str">
        <f>IF(shinsei_strtower05_PROGRAM_KIND_SONOTA="","",shinsei_strtower05_PROGRAM_KIND_SONOTA)</f>
        <v/>
      </c>
    </row>
    <row r="844" spans="1:12" ht="18" customHeight="1">
      <c r="A844" s="149"/>
      <c r="B844" s="149"/>
      <c r="C844" s="149"/>
      <c r="D844" s="149"/>
      <c r="E844" s="149"/>
      <c r="F844" s="149"/>
      <c r="G844" s="149"/>
      <c r="I844" s="149"/>
    </row>
    <row r="845" spans="1:12" s="10" customFormat="1" ht="18" customHeight="1">
      <c r="A845" s="162" t="s">
        <v>4846</v>
      </c>
      <c r="B845" s="162"/>
      <c r="C845" s="162"/>
      <c r="D845" s="162"/>
      <c r="E845" s="163"/>
      <c r="F845" s="163"/>
      <c r="G845" s="164"/>
      <c r="H845" s="165"/>
      <c r="I845" s="9"/>
    </row>
    <row r="846" spans="1:12" s="10" customFormat="1" ht="18" customHeight="1">
      <c r="A846" s="12"/>
      <c r="B846" s="12" t="s">
        <v>3859</v>
      </c>
      <c r="C846" s="12"/>
      <c r="D846" s="12"/>
      <c r="E846" s="11"/>
      <c r="F846" s="11"/>
      <c r="G846" s="10" t="s">
        <v>4847</v>
      </c>
      <c r="H846" s="13"/>
      <c r="I846" s="19" t="s">
        <v>4848</v>
      </c>
      <c r="J846" s="25" t="e">
        <f>IF(shinsei_strtower06_TOWER_NO="","",shinsei_strtower06_TOWER_NO)</f>
        <v>#NAME?</v>
      </c>
      <c r="K846" s="10" t="s">
        <v>3862</v>
      </c>
    </row>
    <row r="847" spans="1:12" s="10" customFormat="1" ht="18" customHeight="1">
      <c r="A847" s="12"/>
      <c r="B847" s="12" t="s">
        <v>3864</v>
      </c>
      <c r="C847" s="12"/>
      <c r="D847" s="12"/>
      <c r="E847" s="11"/>
      <c r="F847" s="11"/>
      <c r="G847" s="9" t="s">
        <v>4849</v>
      </c>
      <c r="H847" s="13"/>
      <c r="I847" s="19" t="s">
        <v>4850</v>
      </c>
      <c r="J847" s="25" t="e">
        <f>IF(shinsei_strtower06_STR_TOWER_NO="","",shinsei_strtower06_STR_TOWER_NO)</f>
        <v>#NAME?</v>
      </c>
      <c r="K847" s="10" t="s">
        <v>4762</v>
      </c>
      <c r="L847" s="10" t="s">
        <v>3879</v>
      </c>
    </row>
    <row r="848" spans="1:12" s="166" customFormat="1" ht="18" customHeight="1">
      <c r="B848" s="12" t="s">
        <v>3868</v>
      </c>
      <c r="I848" s="9" t="s">
        <v>4851</v>
      </c>
      <c r="J848" s="167" t="e">
        <f>CONCATENATE(cst_shinsei_strtower06_TOWER_NO," - ",cst_shinsei_strtower06_STR_TOWER_NO)</f>
        <v>#NAME?</v>
      </c>
    </row>
    <row r="849" spans="1:12" s="166" customFormat="1" ht="18" customHeight="1">
      <c r="B849" s="12" t="s">
        <v>3870</v>
      </c>
      <c r="I849" s="9" t="s">
        <v>4852</v>
      </c>
      <c r="J849" s="167" t="e">
        <f>CONCATENATE(cst_shinsei_strtower06_STR_TOWER_NO," ／ ",cst_shinsei_STR_SHINSEI_TOWERS)</f>
        <v>#NAME?</v>
      </c>
    </row>
    <row r="850" spans="1:12" s="10" customFormat="1" ht="18" customHeight="1">
      <c r="A850" s="12"/>
      <c r="B850" s="12" t="s">
        <v>4853</v>
      </c>
      <c r="C850" s="11"/>
      <c r="D850" s="11"/>
      <c r="E850" s="11"/>
      <c r="F850" s="11"/>
      <c r="G850" s="9" t="s">
        <v>4854</v>
      </c>
      <c r="H850" s="13"/>
      <c r="I850" s="9" t="s">
        <v>4855</v>
      </c>
      <c r="J850" s="25" t="e">
        <f>IF(shinsei_strtower06_STR_TOWER_NAME="","",shinsei_strtower06_STR_TOWER_NAME)</f>
        <v>#NAME?</v>
      </c>
    </row>
    <row r="851" spans="1:12" s="10" customFormat="1" ht="18" customHeight="1">
      <c r="A851" s="12"/>
      <c r="B851" s="12" t="s">
        <v>3875</v>
      </c>
      <c r="C851" s="12"/>
      <c r="D851" s="12"/>
      <c r="E851" s="11"/>
      <c r="F851" s="11"/>
      <c r="G851" s="9" t="s">
        <v>4856</v>
      </c>
      <c r="H851" s="20"/>
      <c r="I851" s="20" t="s">
        <v>4857</v>
      </c>
      <c r="J851" s="25" t="e">
        <f>IF(shinsei_strtower06_JUDGE="","",shinsei_strtower06_JUDGE)</f>
        <v>#NAME?</v>
      </c>
      <c r="K851" s="10" t="s">
        <v>3878</v>
      </c>
      <c r="L851" s="10" t="s">
        <v>3879</v>
      </c>
    </row>
    <row r="852" spans="1:12" s="10" customFormat="1" ht="18" customHeight="1">
      <c r="A852" s="12"/>
      <c r="B852" s="12" t="s">
        <v>4441</v>
      </c>
      <c r="C852" s="12"/>
      <c r="D852" s="12"/>
      <c r="E852" s="11"/>
      <c r="F852" s="11"/>
      <c r="G852" s="9" t="s">
        <v>4858</v>
      </c>
      <c r="H852" s="13"/>
      <c r="I852" s="9" t="s">
        <v>4859</v>
      </c>
      <c r="J852" s="25" t="e">
        <f>IF(shinsei_strtower06_STR_TOWER_YOUTO_TEXT="","",shinsei_strtower06_STR_TOWER_YOUTO_TEXT)</f>
        <v>#NAME?</v>
      </c>
      <c r="K852" s="10" t="s">
        <v>4860</v>
      </c>
      <c r="L852" s="10" t="s">
        <v>3879</v>
      </c>
    </row>
    <row r="853" spans="1:12" s="10" customFormat="1" ht="18" customHeight="1">
      <c r="A853" s="12"/>
      <c r="B853" s="12" t="s">
        <v>3790</v>
      </c>
      <c r="C853" s="12"/>
      <c r="D853" s="12"/>
      <c r="E853" s="11"/>
      <c r="F853" s="11"/>
      <c r="G853" s="9" t="s">
        <v>4861</v>
      </c>
      <c r="H853" s="13"/>
      <c r="I853" s="9" t="s">
        <v>4862</v>
      </c>
      <c r="J853" s="25" t="e">
        <f>IF(shinsei_strtower06_KOUJI_TEXT="","",shinsei_strtower06_KOUJI_TEXT)</f>
        <v>#NAME?</v>
      </c>
      <c r="K853" s="10" t="s">
        <v>3862</v>
      </c>
      <c r="L853" s="10" t="s">
        <v>3879</v>
      </c>
    </row>
    <row r="854" spans="1:12" s="10" customFormat="1" ht="18" customHeight="1">
      <c r="A854" s="12"/>
      <c r="B854" s="12" t="s">
        <v>3888</v>
      </c>
      <c r="C854" s="11"/>
      <c r="D854" s="11"/>
      <c r="E854" s="11"/>
      <c r="F854" s="11"/>
      <c r="G854" s="9" t="s">
        <v>4863</v>
      </c>
      <c r="H854" s="13"/>
      <c r="I854" s="9" t="s">
        <v>4864</v>
      </c>
      <c r="J854" s="25" t="e">
        <f>IF(shinsei_strtower06_KOUZOU_TEXT="","",shinsei_strtower06_KOUZOU_TEXT)</f>
        <v>#NAME?</v>
      </c>
    </row>
    <row r="855" spans="1:12" s="10" customFormat="1" ht="18" customHeight="1">
      <c r="A855" s="12"/>
      <c r="B855" s="12" t="s">
        <v>4865</v>
      </c>
      <c r="C855" s="12"/>
      <c r="D855" s="12"/>
      <c r="E855" s="11"/>
      <c r="F855" s="11"/>
      <c r="G855" s="9" t="s">
        <v>6324</v>
      </c>
      <c r="H855" s="13"/>
      <c r="I855" s="9" t="s">
        <v>6325</v>
      </c>
      <c r="J855" s="25" t="e">
        <f>IF(shinsei_strtower06_KOUZOU_TEXT="","",shinsei_strtower06_KOUZOU_TEXT)</f>
        <v>#NAME?</v>
      </c>
    </row>
    <row r="856" spans="1:12" s="10" customFormat="1" ht="18" customHeight="1">
      <c r="A856" s="12"/>
      <c r="B856" s="12" t="s">
        <v>3893</v>
      </c>
      <c r="C856" s="11"/>
      <c r="D856" s="11"/>
      <c r="E856" s="11"/>
      <c r="F856" s="11"/>
      <c r="G856" s="9" t="s">
        <v>6326</v>
      </c>
      <c r="H856" s="13"/>
      <c r="I856" s="9" t="s">
        <v>6327</v>
      </c>
      <c r="J856" s="25" t="e">
        <f>IF(shinsei_strtower06_KOUZOU_KEISAN="","",shinsei_strtower06_KOUZOU_KEISAN)</f>
        <v>#NAME?</v>
      </c>
    </row>
    <row r="857" spans="1:12" s="10" customFormat="1" ht="18" customHeight="1">
      <c r="A857" s="12"/>
      <c r="B857" s="12" t="s">
        <v>3893</v>
      </c>
      <c r="C857" s="12"/>
      <c r="D857" s="12"/>
      <c r="E857" s="11"/>
      <c r="F857" s="11"/>
      <c r="G857" s="9" t="s">
        <v>6328</v>
      </c>
      <c r="H857" s="13"/>
      <c r="I857" s="10" t="s">
        <v>6329</v>
      </c>
      <c r="J857" s="25" t="e">
        <f>IF(shinsei_strtower06_KOUZOU_KEISAN_TEXT="","",shinsei_strtower06_KOUZOU_KEISAN_TEXT)</f>
        <v>#NAME?</v>
      </c>
    </row>
    <row r="858" spans="1:12" s="10" customFormat="1" ht="18" customHeight="1">
      <c r="A858" s="12"/>
      <c r="B858" s="12" t="s">
        <v>6330</v>
      </c>
      <c r="C858" s="12"/>
      <c r="D858" s="12"/>
      <c r="E858" s="11"/>
      <c r="F858" s="11"/>
      <c r="G858" s="9" t="s">
        <v>6331</v>
      </c>
      <c r="H858" s="65"/>
      <c r="I858" s="19" t="s">
        <v>6332</v>
      </c>
      <c r="J858" s="168" t="e">
        <f>IF(shinsei_strtower06_MENSEKI="","",shinsei_strtower06_MENSEKI)</f>
        <v>#NAME?</v>
      </c>
      <c r="K858" s="10" t="s">
        <v>3906</v>
      </c>
      <c r="L858" s="10" t="s">
        <v>3906</v>
      </c>
    </row>
    <row r="859" spans="1:12" ht="18" customHeight="1">
      <c r="A859" s="12"/>
      <c r="B859" s="12"/>
      <c r="C859" s="12"/>
      <c r="D859" s="12"/>
      <c r="E859" s="12" t="s">
        <v>3907</v>
      </c>
      <c r="F859" s="12"/>
      <c r="G859" s="9"/>
      <c r="H859" s="9"/>
      <c r="I859" s="9" t="s">
        <v>6333</v>
      </c>
      <c r="J859" s="168" t="e">
        <f>IF(shinsei_strtower06_MENSEKI="","",TEXT(shinsei_strtower06_MENSEKI,"#,##0.00_ ")&amp;"㎡")</f>
        <v>#NAME?</v>
      </c>
    </row>
    <row r="860" spans="1:12" s="10" customFormat="1" ht="18" customHeight="1">
      <c r="A860" s="12"/>
      <c r="B860" s="12" t="s">
        <v>4390</v>
      </c>
      <c r="C860" s="12"/>
      <c r="D860" s="12"/>
      <c r="E860" s="11"/>
      <c r="F860" s="11"/>
      <c r="G860" s="9" t="s">
        <v>6334</v>
      </c>
      <c r="H860" s="93"/>
      <c r="I860" s="9" t="s">
        <v>6335</v>
      </c>
      <c r="J860" s="170" t="e">
        <f>IF(shinsei_strtower06_MAX_TAKASA="","",shinsei_strtower06_MAX_TAKASA)</f>
        <v>#NAME?</v>
      </c>
      <c r="K860" s="10" t="s">
        <v>3911</v>
      </c>
      <c r="L860" s="10" t="s">
        <v>3911</v>
      </c>
    </row>
    <row r="861" spans="1:12" s="10" customFormat="1" ht="18" customHeight="1">
      <c r="A861" s="12"/>
      <c r="B861" s="12" t="s">
        <v>4388</v>
      </c>
      <c r="C861" s="11"/>
      <c r="D861" s="11"/>
      <c r="E861" s="11"/>
      <c r="F861" s="11"/>
      <c r="G861" s="9" t="s">
        <v>6336</v>
      </c>
      <c r="H861" s="93"/>
      <c r="I861" s="9" t="s">
        <v>6337</v>
      </c>
      <c r="J861" s="170" t="e">
        <f>IF(shinsei_strtower06_MAX_NOKI_TAKASA="","",shinsei_strtower06_MAX_NOKI_TAKASA)</f>
        <v>#NAME?</v>
      </c>
    </row>
    <row r="862" spans="1:12" s="10" customFormat="1" ht="18" customHeight="1">
      <c r="A862" s="12"/>
      <c r="B862" s="12" t="s">
        <v>3782</v>
      </c>
      <c r="C862" s="12"/>
      <c r="D862" s="12"/>
      <c r="E862" s="11"/>
      <c r="F862" s="11"/>
      <c r="G862" s="9"/>
      <c r="H862" s="9"/>
      <c r="I862" s="9"/>
    </row>
    <row r="863" spans="1:12" s="10" customFormat="1" ht="18" customHeight="1">
      <c r="A863" s="12"/>
      <c r="B863" s="12"/>
      <c r="C863" s="11" t="s">
        <v>3783</v>
      </c>
      <c r="D863" s="12"/>
      <c r="G863" s="9" t="s">
        <v>6338</v>
      </c>
      <c r="H863" s="136"/>
      <c r="I863" s="9" t="s">
        <v>6339</v>
      </c>
      <c r="J863" s="171" t="e">
        <f>IF(shinsei_strtower06_KAISU_TIJYOU="","",shinsei_strtower06_KAISU_TIJYOU)</f>
        <v>#NAME?</v>
      </c>
      <c r="K863" s="10" t="s">
        <v>6340</v>
      </c>
      <c r="L863" s="10" t="s">
        <v>6340</v>
      </c>
    </row>
    <row r="864" spans="1:12" s="10" customFormat="1" ht="18" customHeight="1">
      <c r="A864" s="12"/>
      <c r="B864" s="12"/>
      <c r="C864" s="11" t="s">
        <v>3785</v>
      </c>
      <c r="D864" s="12"/>
      <c r="G864" s="9" t="s">
        <v>6341</v>
      </c>
      <c r="H864" s="136"/>
      <c r="I864" s="9" t="s">
        <v>6342</v>
      </c>
      <c r="J864" s="171" t="e">
        <f>IF(shinsei_strtower06_KAISU_TIKA="","",shinsei_strtower06_KAISU_TIKA)</f>
        <v>#NAME?</v>
      </c>
      <c r="K864" s="10" t="s">
        <v>3916</v>
      </c>
      <c r="L864" s="10" t="s">
        <v>3916</v>
      </c>
    </row>
    <row r="865" spans="1:12" s="10" customFormat="1" ht="18" customHeight="1">
      <c r="A865" s="12"/>
      <c r="B865" s="12"/>
      <c r="C865" s="11" t="s">
        <v>3787</v>
      </c>
      <c r="D865" s="12"/>
      <c r="G865" s="9" t="s">
        <v>6343</v>
      </c>
      <c r="H865" s="136"/>
      <c r="I865" s="9" t="s">
        <v>6344</v>
      </c>
      <c r="J865" s="171" t="e">
        <f>IF(shinsei_strtower06_KAISU_TOUYA="","",shinsei_strtower06_KAISU_TOUYA)</f>
        <v>#NAME?</v>
      </c>
      <c r="K865" s="10" t="s">
        <v>3916</v>
      </c>
      <c r="L865" s="10" t="s">
        <v>3916</v>
      </c>
    </row>
    <row r="866" spans="1:12" s="10" customFormat="1" ht="18" customHeight="1">
      <c r="B866" s="12" t="s">
        <v>3923</v>
      </c>
      <c r="G866" s="9" t="s">
        <v>6345</v>
      </c>
      <c r="H866" s="13"/>
      <c r="I866" s="10" t="s">
        <v>6346</v>
      </c>
      <c r="J866" s="25" t="e">
        <f>IF(shinsei_strtower06_BUILD_KUBUN="","",shinsei_strtower06_BUILD_KUBUN)</f>
        <v>#NAME?</v>
      </c>
    </row>
    <row r="867" spans="1:12" s="10" customFormat="1" ht="18" customHeight="1">
      <c r="B867" s="12" t="s">
        <v>3923</v>
      </c>
      <c r="C867" s="12"/>
      <c r="D867" s="12"/>
      <c r="G867" s="9" t="s">
        <v>6347</v>
      </c>
      <c r="H867" s="13"/>
      <c r="I867" s="10" t="s">
        <v>6348</v>
      </c>
      <c r="J867" s="25" t="e">
        <f>IF(shinsei_strtower06_BUILD_KUBUN_TEXT="","",shinsei_strtower06_BUILD_KUBUN_TEXT)</f>
        <v>#NAME?</v>
      </c>
      <c r="K867" s="10" t="s">
        <v>4762</v>
      </c>
    </row>
    <row r="868" spans="1:12" s="10" customFormat="1" ht="18" customHeight="1">
      <c r="A868" s="149"/>
      <c r="B868" s="149"/>
      <c r="C868" s="149" t="s">
        <v>3801</v>
      </c>
      <c r="D868" s="149"/>
      <c r="E868" s="149"/>
      <c r="F868" s="149"/>
      <c r="G868" s="149"/>
      <c r="H868" s="12"/>
      <c r="I868" s="149" t="s">
        <v>6349</v>
      </c>
      <c r="J868" s="20" t="e">
        <f>IF(shinsei_strtower06_BUILD_KUBUN_TEXT="建築基準法第20条第２号に掲げる建築物","■","□")</f>
        <v>#NAME?</v>
      </c>
    </row>
    <row r="869" spans="1:12" s="10" customFormat="1" ht="18" customHeight="1">
      <c r="A869" s="149"/>
      <c r="B869" s="149"/>
      <c r="C869" s="149" t="s">
        <v>3801</v>
      </c>
      <c r="D869" s="149"/>
      <c r="E869" s="149"/>
      <c r="F869" s="149"/>
      <c r="G869" s="149"/>
      <c r="H869" s="12"/>
      <c r="I869" s="149" t="s">
        <v>6350</v>
      </c>
      <c r="J869" s="20" t="e">
        <f>IF(shinsei_strtower06_BUILD_KUBUN_TEXT="建築基準法第20条第３号に掲げる建築物","■","□")</f>
        <v>#NAME?</v>
      </c>
    </row>
    <row r="870" spans="1:12" s="10" customFormat="1" ht="18" customHeight="1">
      <c r="A870" s="12"/>
      <c r="B870" s="12" t="s">
        <v>6351</v>
      </c>
      <c r="C870" s="12"/>
      <c r="D870" s="12"/>
      <c r="E870" s="11"/>
      <c r="F870" s="11"/>
      <c r="G870" s="9" t="s">
        <v>6352</v>
      </c>
      <c r="H870" s="13"/>
      <c r="I870" s="9" t="s">
        <v>6353</v>
      </c>
      <c r="J870" s="25" t="e">
        <f>IF(shinsei_strtower06_MENJYO_TEXT="","",shinsei_strtower06_MENJYO_TEXT)</f>
        <v>#NAME?</v>
      </c>
      <c r="K870" s="10" t="s">
        <v>4807</v>
      </c>
    </row>
    <row r="871" spans="1:12" s="10" customFormat="1" ht="18" customHeight="1">
      <c r="A871" s="12"/>
      <c r="B871" s="12" t="s">
        <v>3935</v>
      </c>
      <c r="C871" s="12"/>
      <c r="D871" s="12"/>
      <c r="E871" s="11"/>
      <c r="F871" s="11"/>
      <c r="G871" s="9" t="s">
        <v>6354</v>
      </c>
      <c r="H871" s="20"/>
      <c r="I871" s="9" t="s">
        <v>6355</v>
      </c>
      <c r="J871" s="25" t="e">
        <f>IF(shinsei_strtower06_PROGRAM_KIND="","",shinsei_strtower06_PROGRAM_KIND)</f>
        <v>#NAME?</v>
      </c>
      <c r="K871" s="10" t="s">
        <v>5704</v>
      </c>
    </row>
    <row r="872" spans="1:12" s="10" customFormat="1" ht="18" customHeight="1">
      <c r="B872" s="12" t="s">
        <v>3939</v>
      </c>
      <c r="C872" s="12"/>
      <c r="D872" s="12"/>
      <c r="G872" s="9" t="s">
        <v>6356</v>
      </c>
      <c r="H872" s="13"/>
      <c r="I872" s="10" t="s">
        <v>6357</v>
      </c>
      <c r="J872" s="25" t="e">
        <f>IF(shinsei_strtower06_REI80_2_KOKUJI_TEXT="","",shinsei_strtower06_REI80_2_KOKUJI_TEXT)</f>
        <v>#NAME?</v>
      </c>
    </row>
    <row r="873" spans="1:12" s="10" customFormat="1" ht="18" customHeight="1">
      <c r="B873" s="12" t="s">
        <v>3943</v>
      </c>
      <c r="C873" s="12"/>
      <c r="D873" s="12"/>
      <c r="G873" s="9" t="s">
        <v>6358</v>
      </c>
      <c r="H873" s="13"/>
      <c r="I873" s="10" t="s">
        <v>6359</v>
      </c>
      <c r="J873" s="25" t="e">
        <f>IF(shinsei_strtower06_PROGRAM_KIND__nintei__box="■",2,IF(OR(shinsei_strtower06_PROGRAM_KIND__hyouka__box="■",shinsei_strtower06_PROGRAM_KIND__sonota__box="■"),1,0))</f>
        <v>#NAME?</v>
      </c>
      <c r="K873" s="10" t="s">
        <v>3946</v>
      </c>
    </row>
    <row r="874" spans="1:12" s="10" customFormat="1" ht="18" customHeight="1">
      <c r="B874" s="12" t="s">
        <v>3947</v>
      </c>
      <c r="C874" s="12"/>
      <c r="D874" s="12"/>
      <c r="G874" s="9" t="s">
        <v>6360</v>
      </c>
      <c r="H874" s="13"/>
    </row>
    <row r="875" spans="1:12" s="10" customFormat="1" ht="18" customHeight="1">
      <c r="B875" s="12" t="s">
        <v>4305</v>
      </c>
      <c r="C875" s="12"/>
      <c r="D875" s="12"/>
      <c r="G875" s="9" t="s">
        <v>6361</v>
      </c>
      <c r="H875" s="13"/>
    </row>
    <row r="876" spans="1:12" s="10" customFormat="1" ht="18" customHeight="1">
      <c r="B876" s="105" t="s">
        <v>3950</v>
      </c>
      <c r="C876" s="105"/>
      <c r="D876" s="105"/>
      <c r="E876" s="24"/>
      <c r="F876" s="24"/>
      <c r="G876" s="9"/>
      <c r="H876" s="12"/>
    </row>
    <row r="877" spans="1:12" s="10" customFormat="1" ht="18" customHeight="1">
      <c r="C877" s="10" t="s">
        <v>3951</v>
      </c>
      <c r="D877" s="12"/>
      <c r="G877" s="9" t="s">
        <v>6362</v>
      </c>
      <c r="H877" s="13"/>
      <c r="I877" s="10" t="s">
        <v>6363</v>
      </c>
      <c r="J877" s="25" t="e">
        <f>IF(shinsei_strtower06_prgo01_NAME="","",shinsei_strtower06_prgo01_NAME)</f>
        <v>#NAME?</v>
      </c>
      <c r="K877" s="10" t="s">
        <v>3862</v>
      </c>
      <c r="L877" s="10" t="s">
        <v>3879</v>
      </c>
    </row>
    <row r="878" spans="1:12" s="10" customFormat="1" ht="18" customHeight="1">
      <c r="C878" s="12" t="s">
        <v>3954</v>
      </c>
      <c r="D878" s="12"/>
      <c r="E878" s="12"/>
      <c r="F878" s="12"/>
      <c r="G878" s="9" t="s">
        <v>6364</v>
      </c>
      <c r="H878" s="13"/>
      <c r="I878" s="10" t="s">
        <v>6365</v>
      </c>
      <c r="J878" s="25" t="e">
        <f>IF(shinsei_strtower06_prgo01_VER="","",shinsei_strtower06_prgo01_VER)</f>
        <v>#NAME?</v>
      </c>
    </row>
    <row r="879" spans="1:12" s="10" customFormat="1" ht="18" customHeight="1">
      <c r="C879" s="12" t="s">
        <v>3957</v>
      </c>
      <c r="D879" s="12"/>
      <c r="G879" s="9"/>
      <c r="H879" s="9"/>
      <c r="I879" s="10" t="s">
        <v>6366</v>
      </c>
      <c r="J879" s="25" t="e">
        <f>IF(shinsei_strtower06_prgo01_NAME="","",IF(shinsei_strtower06_prgo01_NINTEI_NO="","無","有"))</f>
        <v>#NAME?</v>
      </c>
      <c r="K879" s="10" t="s">
        <v>3959</v>
      </c>
      <c r="L879" s="10" t="s">
        <v>3879</v>
      </c>
    </row>
    <row r="880" spans="1:12" s="10" customFormat="1" ht="18" customHeight="1">
      <c r="C880" s="12" t="s">
        <v>3960</v>
      </c>
      <c r="D880" s="12"/>
      <c r="G880" s="9" t="s">
        <v>6367</v>
      </c>
      <c r="H880" s="13"/>
      <c r="I880" s="10" t="s">
        <v>6368</v>
      </c>
      <c r="J880" s="25" t="e">
        <f>IF(shinsei_strtower06_prgo01_NINTEI_NO="","",shinsei_strtower06_prgo01_NINTEI_NO)</f>
        <v>#NAME?</v>
      </c>
      <c r="K880" s="10" t="s">
        <v>4762</v>
      </c>
      <c r="L880" s="10" t="s">
        <v>3879</v>
      </c>
    </row>
    <row r="881" spans="2:12" s="10" customFormat="1" ht="18" customHeight="1">
      <c r="C881" s="12" t="s">
        <v>3964</v>
      </c>
      <c r="D881" s="12"/>
      <c r="G881" s="9" t="s">
        <v>6369</v>
      </c>
      <c r="H881" s="74"/>
      <c r="I881" s="10" t="s">
        <v>6370</v>
      </c>
      <c r="J881" s="25" t="e">
        <f>IF(shinsei_strtower06_prgo01_NINTEI_DATE="","",TEXT(shinsei_strtower06_prgo01_NINTEI_DATE,"ggge年m月d日")&amp;"  ")</f>
        <v>#NAME?</v>
      </c>
    </row>
    <row r="882" spans="2:12" s="10" customFormat="1" ht="18" customHeight="1">
      <c r="C882" s="12" t="s">
        <v>3967</v>
      </c>
      <c r="D882" s="12"/>
      <c r="G882" s="9" t="s">
        <v>6371</v>
      </c>
      <c r="H882" s="13"/>
    </row>
    <row r="883" spans="2:12" s="10" customFormat="1" ht="18" customHeight="1">
      <c r="C883" s="12" t="s">
        <v>3970</v>
      </c>
      <c r="D883" s="12"/>
      <c r="G883" s="9"/>
      <c r="H883" s="12"/>
      <c r="I883" s="9" t="s">
        <v>6372</v>
      </c>
      <c r="J883" s="25" t="e">
        <f>IF(shinsei_strtower06_prgo01_NAME="","",shinsei_strtower06_prgo01_NAME)&amp;CHAR(10)&amp;IF(shinsei_strtower06_prgo01_VER="","","Ver."&amp;shinsei_strtower06_prgo01_VER&amp;CHAR(10))</f>
        <v>#NAME?</v>
      </c>
    </row>
    <row r="884" spans="2:12" s="10" customFormat="1" ht="18" customHeight="1">
      <c r="C884" s="12" t="s">
        <v>3972</v>
      </c>
      <c r="D884" s="12"/>
      <c r="G884" s="9"/>
      <c r="H884" s="12"/>
      <c r="I884" s="9" t="s">
        <v>6373</v>
      </c>
      <c r="J884" s="25" t="e">
        <f>IF(shinsei_strtower06_prgo01_NAME="","",shinsei_strtower06_prgo01_NAME&amp;" ")&amp;IF(shinsei_strtower06_prgo01_VER="","","Ver."&amp;shinsei_strtower06_prgo01_VER&amp;"  ")</f>
        <v>#NAME?</v>
      </c>
    </row>
    <row r="885" spans="2:12" s="10" customFormat="1" ht="18" customHeight="1">
      <c r="C885" s="12" t="s">
        <v>3974</v>
      </c>
      <c r="D885" s="12"/>
      <c r="G885" s="9"/>
      <c r="H885" s="12"/>
    </row>
    <row r="886" spans="2:12" s="10" customFormat="1" ht="18" customHeight="1">
      <c r="D886" s="12" t="s">
        <v>3975</v>
      </c>
      <c r="G886" s="9"/>
      <c r="H886" s="12"/>
      <c r="I886" s="9" t="s">
        <v>6374</v>
      </c>
      <c r="J886" s="173" t="e">
        <f>IF(cst_shinsei_strtower06_prgo01_NINTEI__umu="有",IF(shinsei_strtower06_prgo01_MAKER_NAME="","",shinsei_strtower06_prgo01_MAKER_NAME&amp;"  "),"")</f>
        <v>#NAME?</v>
      </c>
    </row>
    <row r="887" spans="2:12" s="10" customFormat="1" ht="18" customHeight="1">
      <c r="B887" s="12"/>
      <c r="D887" s="12" t="s">
        <v>3972</v>
      </c>
      <c r="G887" s="9"/>
      <c r="H887" s="12"/>
      <c r="I887" s="9" t="s">
        <v>6375</v>
      </c>
      <c r="J887" s="25" t="e">
        <f>IF(cst_shinsei_strtower06_prgo01_NINTEI__umu="有",IF(shinsei_strtower06_prgo01_NAME="","",shinsei_strtower06_prgo01_NAME&amp;" ")&amp;IF(shinsei_strtower06_prgo01_VER="","","Ver."&amp;shinsei_strtower06_prgo01_VER&amp;"  "),"")</f>
        <v>#NAME?</v>
      </c>
    </row>
    <row r="888" spans="2:12" s="10" customFormat="1" ht="18" customHeight="1">
      <c r="C888" s="12" t="s">
        <v>3981</v>
      </c>
      <c r="D888" s="12"/>
      <c r="G888" s="9"/>
      <c r="H888" s="12"/>
    </row>
    <row r="889" spans="2:12" s="10" customFormat="1" ht="18" customHeight="1">
      <c r="B889" s="12"/>
      <c r="D889" s="12" t="s">
        <v>6376</v>
      </c>
      <c r="G889" s="9"/>
      <c r="H889" s="12"/>
      <c r="I889" s="9" t="s">
        <v>6377</v>
      </c>
      <c r="J889" s="173" t="e">
        <f>IF(cst_shinsei_strtower06_prgo01_NINTEI__umu="無",IF(shinsei_strtower06_prgo01_MAKER_NAME="","",shinsei_strtower06_prgo01_MAKER_NAME&amp;"  "),"")</f>
        <v>#NAME?</v>
      </c>
    </row>
    <row r="890" spans="2:12" s="10" customFormat="1" ht="18" customHeight="1">
      <c r="B890" s="12"/>
      <c r="D890" s="12" t="s">
        <v>3972</v>
      </c>
      <c r="G890" s="9"/>
      <c r="H890" s="12"/>
      <c r="I890" s="9" t="s">
        <v>6378</v>
      </c>
      <c r="J890" s="25" t="e">
        <f>IF(cst_shinsei_strtower06_prgo01_NINTEI__umu="無",IF(shinsei_strtower06_prgo01_NAME="","",shinsei_strtower06_prgo01_NAME&amp;" ")&amp;IF(shinsei_strtower06_prgo01_VER="","","Ver."&amp;shinsei_strtower06_prgo01_VER&amp;"  "),"")</f>
        <v>#NAME?</v>
      </c>
    </row>
    <row r="891" spans="2:12" s="10" customFormat="1" ht="18" customHeight="1">
      <c r="B891" s="105" t="s">
        <v>6379</v>
      </c>
      <c r="C891" s="105"/>
      <c r="D891" s="105"/>
      <c r="E891" s="24"/>
      <c r="F891" s="24"/>
      <c r="G891" s="9"/>
      <c r="H891" s="12"/>
    </row>
    <row r="892" spans="2:12" s="10" customFormat="1" ht="18" customHeight="1">
      <c r="C892" s="10" t="s">
        <v>3951</v>
      </c>
      <c r="D892" s="12"/>
      <c r="G892" s="9" t="s">
        <v>6380</v>
      </c>
      <c r="H892" s="13"/>
      <c r="K892" s="10" t="s">
        <v>4791</v>
      </c>
      <c r="L892" s="10" t="s">
        <v>3879</v>
      </c>
    </row>
    <row r="893" spans="2:12" s="10" customFormat="1" ht="18" customHeight="1">
      <c r="C893" s="12" t="s">
        <v>6381</v>
      </c>
      <c r="D893" s="12"/>
      <c r="G893" s="9" t="s">
        <v>6382</v>
      </c>
      <c r="H893" s="13"/>
    </row>
    <row r="894" spans="2:12" s="10" customFormat="1" ht="18" customHeight="1">
      <c r="C894" s="12" t="s">
        <v>3957</v>
      </c>
      <c r="D894" s="12"/>
      <c r="G894" s="9"/>
      <c r="H894" s="9"/>
      <c r="I894" s="10" t="s">
        <v>6383</v>
      </c>
      <c r="J894" s="25" t="e">
        <f>IF(shinsei_strtower06_prgo02_NAME="","",IF(shinsei_strtower06_prgo02_NINTEI_NO="","無","有"))</f>
        <v>#NAME?</v>
      </c>
      <c r="K894" s="10" t="s">
        <v>2941</v>
      </c>
      <c r="L894" s="10" t="s">
        <v>3879</v>
      </c>
    </row>
    <row r="895" spans="2:12" s="10" customFormat="1" ht="18" customHeight="1">
      <c r="C895" s="12" t="s">
        <v>3960</v>
      </c>
      <c r="D895" s="12"/>
      <c r="G895" s="9" t="s">
        <v>6384</v>
      </c>
      <c r="H895" s="13"/>
      <c r="K895" s="10" t="s">
        <v>4860</v>
      </c>
      <c r="L895" s="10" t="s">
        <v>3879</v>
      </c>
    </row>
    <row r="896" spans="2:12" s="10" customFormat="1" ht="18" customHeight="1">
      <c r="C896" s="12" t="s">
        <v>3964</v>
      </c>
      <c r="D896" s="12"/>
      <c r="G896" s="9" t="s">
        <v>6385</v>
      </c>
      <c r="H896" s="74"/>
      <c r="I896" s="10" t="s">
        <v>6386</v>
      </c>
      <c r="J896" s="25" t="e">
        <f>IF(shinsei_strtower06_prgo02_NINTEI_DATE="","",shinsei_strtower06_prgo02_NINTEI_DATE)</f>
        <v>#NAME?</v>
      </c>
    </row>
    <row r="897" spans="2:12" s="10" customFormat="1" ht="18" customHeight="1">
      <c r="C897" s="12" t="s">
        <v>3967</v>
      </c>
      <c r="D897" s="12"/>
      <c r="G897" s="9" t="s">
        <v>6387</v>
      </c>
      <c r="H897" s="13"/>
    </row>
    <row r="898" spans="2:12" s="10" customFormat="1" ht="18" customHeight="1">
      <c r="C898" s="12" t="s">
        <v>3970</v>
      </c>
      <c r="D898" s="12"/>
      <c r="G898" s="9"/>
      <c r="H898" s="12"/>
      <c r="I898" s="9" t="s">
        <v>6388</v>
      </c>
      <c r="J898" s="25" t="e">
        <f>IF(shinsei_strtower06_prgo02_NAME="","",shinsei_strtower06_prgo02_NAME)&amp;CHAR(10)&amp;IF(shinsei_strtower06_prgo02_VER="","","Ver."&amp;shinsei_strtower06_prgo02_VER&amp;CHAR(10))</f>
        <v>#NAME?</v>
      </c>
    </row>
    <row r="899" spans="2:12" s="10" customFormat="1" ht="18" customHeight="1">
      <c r="C899" s="12" t="s">
        <v>3972</v>
      </c>
      <c r="D899" s="12"/>
      <c r="G899" s="9"/>
      <c r="H899" s="12"/>
      <c r="I899" s="9" t="s">
        <v>6389</v>
      </c>
      <c r="J899" s="25" t="e">
        <f>IF(shinsei_strtower06_prgo02_NAME="","",shinsei_strtower06_prgo02_NAME&amp;" ")&amp;IF(shinsei_strtower06_prgo02_VER="","","Ver."&amp;shinsei_strtower06_prgo02_VER&amp;"  ")</f>
        <v>#NAME?</v>
      </c>
    </row>
    <row r="900" spans="2:12" s="10" customFormat="1" ht="18" customHeight="1">
      <c r="C900" s="12" t="s">
        <v>3974</v>
      </c>
      <c r="D900" s="12"/>
      <c r="G900" s="9"/>
      <c r="H900" s="12"/>
    </row>
    <row r="901" spans="2:12" s="10" customFormat="1" ht="18" customHeight="1">
      <c r="D901" s="12" t="s">
        <v>3975</v>
      </c>
      <c r="G901" s="9"/>
      <c r="H901" s="12"/>
      <c r="I901" s="9" t="s">
        <v>6390</v>
      </c>
      <c r="J901" s="173" t="e">
        <f>IF(cst_shinsei_strtower06_prgo02_NINTEI__umu="有",IF(shinsei_strtower06_prgo02_MAKER_NAME="","",shinsei_strtower06_prgo02_MAKER_NAME&amp;"  "),"")</f>
        <v>#NAME?</v>
      </c>
    </row>
    <row r="902" spans="2:12" s="10" customFormat="1" ht="18" customHeight="1">
      <c r="D902" s="12" t="s">
        <v>3972</v>
      </c>
      <c r="G902" s="9"/>
      <c r="H902" s="12"/>
      <c r="I902" s="9" t="s">
        <v>6391</v>
      </c>
      <c r="J902" s="25" t="e">
        <f>IF(cst_shinsei_strtower06_prgo02_NINTEI__umu="有",IF(shinsei_strtower06_prgo02_NAME="","",shinsei_strtower06_prgo02_NAME&amp;" ")&amp;IF(shinsei_strtower06_prgo02_VER="","","Ver."&amp;shinsei_strtower06_prgo02_VER&amp;"  "),"")</f>
        <v>#NAME?</v>
      </c>
    </row>
    <row r="903" spans="2:12" s="10" customFormat="1" ht="18" customHeight="1">
      <c r="C903" s="12" t="s">
        <v>3981</v>
      </c>
      <c r="D903" s="12"/>
      <c r="G903" s="9"/>
      <c r="H903" s="12"/>
    </row>
    <row r="904" spans="2:12" s="10" customFormat="1" ht="18" customHeight="1">
      <c r="D904" s="12" t="s">
        <v>6392</v>
      </c>
      <c r="G904" s="9"/>
      <c r="H904" s="12"/>
      <c r="I904" s="9" t="s">
        <v>6393</v>
      </c>
      <c r="J904" s="173" t="e">
        <f>IF(cst_shinsei_strtower06_prgo02_NINTEI__umu="無",IF(shinsei_strtower06_prgo02_MAKER_NAME="","",shinsei_strtower06_prgo02_MAKER_NAME&amp;"  "),"")</f>
        <v>#NAME?</v>
      </c>
    </row>
    <row r="905" spans="2:12" s="10" customFormat="1" ht="18" customHeight="1">
      <c r="D905" s="12" t="s">
        <v>3972</v>
      </c>
      <c r="G905" s="9"/>
      <c r="H905" s="12"/>
      <c r="I905" s="9" t="s">
        <v>6394</v>
      </c>
      <c r="J905" s="25" t="e">
        <f>IF(cst_shinsei_strtower06_prgo02_NINTEI__umu="無",IF(shinsei_strtower06_prgo02_NAME="","",shinsei_strtower06_prgo02_NAME&amp;" ")&amp;IF(shinsei_strtower06_prgo02_VER="","","Ver."&amp;shinsei_strtower06_prgo02_VER&amp;"  "),"")</f>
        <v>#NAME?</v>
      </c>
    </row>
    <row r="906" spans="2:12" s="10" customFormat="1" ht="18" customHeight="1">
      <c r="B906" s="105" t="s">
        <v>6395</v>
      </c>
      <c r="C906" s="105"/>
      <c r="D906" s="105"/>
      <c r="E906" s="24"/>
      <c r="F906" s="24"/>
      <c r="G906" s="9"/>
      <c r="H906" s="12"/>
    </row>
    <row r="907" spans="2:12" s="10" customFormat="1" ht="18" customHeight="1">
      <c r="C907" s="10" t="s">
        <v>3951</v>
      </c>
      <c r="D907" s="12"/>
      <c r="G907" s="9" t="s">
        <v>6396</v>
      </c>
      <c r="H907" s="13"/>
      <c r="K907" s="10" t="s">
        <v>4762</v>
      </c>
      <c r="L907" s="10" t="s">
        <v>3879</v>
      </c>
    </row>
    <row r="908" spans="2:12" s="10" customFormat="1" ht="18" customHeight="1">
      <c r="C908" s="12" t="s">
        <v>6397</v>
      </c>
      <c r="D908" s="12"/>
      <c r="G908" s="9" t="s">
        <v>6398</v>
      </c>
      <c r="H908" s="13"/>
    </row>
    <row r="909" spans="2:12" s="10" customFormat="1" ht="18" customHeight="1">
      <c r="C909" s="12" t="s">
        <v>3957</v>
      </c>
      <c r="D909" s="12"/>
      <c r="G909" s="9"/>
      <c r="H909" s="9"/>
      <c r="I909" s="10" t="s">
        <v>6399</v>
      </c>
      <c r="J909" s="25" t="e">
        <f>IF(shinsei_strtower06_prgo03_NAME="","",IF(shinsei_strtower06_prgo03_NINTEI_NO="","無","有"))</f>
        <v>#NAME?</v>
      </c>
      <c r="K909" s="10" t="s">
        <v>2941</v>
      </c>
      <c r="L909" s="10" t="s">
        <v>3879</v>
      </c>
    </row>
    <row r="910" spans="2:12" s="10" customFormat="1" ht="18" customHeight="1">
      <c r="C910" s="12" t="s">
        <v>3960</v>
      </c>
      <c r="D910" s="12"/>
      <c r="G910" s="9" t="s">
        <v>6400</v>
      </c>
      <c r="H910" s="13"/>
      <c r="K910" s="10" t="s">
        <v>4524</v>
      </c>
      <c r="L910" s="10" t="s">
        <v>3879</v>
      </c>
    </row>
    <row r="911" spans="2:12" s="10" customFormat="1" ht="18" customHeight="1">
      <c r="C911" s="12" t="s">
        <v>3964</v>
      </c>
      <c r="D911" s="12"/>
      <c r="G911" s="9" t="s">
        <v>6401</v>
      </c>
      <c r="H911" s="74"/>
      <c r="I911" s="10" t="s">
        <v>6402</v>
      </c>
      <c r="J911" s="25" t="e">
        <f>IF(shinsei_strtower06_prgo03_NINTEI_DATE="","",TEXT(shinsei_strtower06_prgo03_NINTEI_DATE,"ggge年m月d日")&amp;"  ")</f>
        <v>#NAME?</v>
      </c>
    </row>
    <row r="912" spans="2:12" s="10" customFormat="1" ht="18" customHeight="1">
      <c r="C912" s="12" t="s">
        <v>3967</v>
      </c>
      <c r="D912" s="12"/>
      <c r="G912" s="9" t="s">
        <v>6403</v>
      </c>
      <c r="H912" s="13"/>
      <c r="I912" s="9"/>
      <c r="J912" s="9"/>
    </row>
    <row r="913" spans="2:12" s="10" customFormat="1" ht="18" customHeight="1">
      <c r="C913" s="12" t="s">
        <v>3970</v>
      </c>
      <c r="D913" s="12"/>
      <c r="G913" s="9"/>
      <c r="H913" s="12"/>
      <c r="I913" s="9" t="s">
        <v>6404</v>
      </c>
      <c r="J913" s="25" t="e">
        <f>IF(shinsei_strtower06_prgo03_NAME="","",shinsei_strtower06_prgo03_NAME)&amp;CHAR(10)&amp;IF(shinsei_strtower06_prgo03_VER="","","Ver."&amp;shinsei_strtower06_prgo03_VER&amp;CHAR(10))</f>
        <v>#NAME?</v>
      </c>
    </row>
    <row r="914" spans="2:12" s="10" customFormat="1" ht="18" customHeight="1">
      <c r="C914" s="12" t="s">
        <v>3972</v>
      </c>
      <c r="D914" s="12"/>
      <c r="G914" s="9"/>
      <c r="H914" s="12"/>
      <c r="I914" s="9" t="s">
        <v>6405</v>
      </c>
      <c r="J914" s="25" t="e">
        <f>IF(shinsei_strtower06_prgo03_NAME="","",shinsei_strtower06_prgo03_NAME&amp;" ")&amp;IF(shinsei_strtower06_prgo03_VER="","","Ver."&amp;shinsei_strtower06_prgo03_VER&amp;"  ")</f>
        <v>#NAME?</v>
      </c>
    </row>
    <row r="915" spans="2:12" s="10" customFormat="1" ht="18" customHeight="1">
      <c r="C915" s="12" t="s">
        <v>3974</v>
      </c>
      <c r="D915" s="12"/>
      <c r="G915" s="9"/>
      <c r="H915" s="12"/>
    </row>
    <row r="916" spans="2:12" s="10" customFormat="1" ht="18" customHeight="1">
      <c r="D916" s="12" t="s">
        <v>3975</v>
      </c>
      <c r="G916" s="9"/>
      <c r="H916" s="12"/>
      <c r="I916" s="9" t="s">
        <v>6406</v>
      </c>
      <c r="J916" s="173" t="e">
        <f>IF(cst_shinsei_strtower06_prgo03_NINTEI__umu="有",IF(shinsei_strtower06_prgo03_MAKER_NAME="","",shinsei_strtower06_prgo03_MAKER_NAME&amp;"  "),"")</f>
        <v>#NAME?</v>
      </c>
    </row>
    <row r="917" spans="2:12" s="10" customFormat="1" ht="18" customHeight="1">
      <c r="D917" s="12" t="s">
        <v>3972</v>
      </c>
      <c r="G917" s="9"/>
      <c r="H917" s="12"/>
      <c r="I917" s="9" t="s">
        <v>6407</v>
      </c>
      <c r="J917" s="25" t="e">
        <f>IF(cst_shinsei_strtower06_prgo03_NINTEI__umu="有",IF(shinsei_strtower06_prgo03_NAME="","",shinsei_strtower06_prgo03_NAME&amp;" ")&amp;IF(shinsei_strtower06_prgo03_VER="","","Ver."&amp;shinsei_strtower06_prgo03_VER&amp;"  "),"")</f>
        <v>#NAME?</v>
      </c>
    </row>
    <row r="918" spans="2:12" s="10" customFormat="1" ht="18" customHeight="1">
      <c r="C918" s="12" t="s">
        <v>3981</v>
      </c>
      <c r="D918" s="12"/>
      <c r="G918" s="9"/>
      <c r="H918" s="12"/>
    </row>
    <row r="919" spans="2:12" s="10" customFormat="1" ht="18" customHeight="1">
      <c r="D919" s="12" t="s">
        <v>3975</v>
      </c>
      <c r="G919" s="9"/>
      <c r="H919" s="12"/>
      <c r="I919" s="9" t="s">
        <v>6408</v>
      </c>
      <c r="J919" s="173" t="e">
        <f>IF(cst_shinsei_strtower06_prgo03_NINTEI__umu="無",IF(shinsei_strtower06_prgo03_MAKER_NAME="","",shinsei_strtower06_prgo03_MAKER_NAME&amp;"  "),"")</f>
        <v>#NAME?</v>
      </c>
    </row>
    <row r="920" spans="2:12" s="10" customFormat="1" ht="18" customHeight="1">
      <c r="D920" s="12" t="s">
        <v>3972</v>
      </c>
      <c r="G920" s="9"/>
      <c r="H920" s="12"/>
      <c r="I920" s="9" t="s">
        <v>6409</v>
      </c>
      <c r="J920" s="25" t="e">
        <f>IF(cst_shinsei_strtower06_prgo03_NINTEI__umu="無",IF(shinsei_strtower06_prgo03_NAME="","",shinsei_strtower06_prgo03_NAME&amp;" ")&amp;IF(shinsei_strtower06_prgo03_VER="","","Ver."&amp;shinsei_strtower06_prgo03_VER&amp;"  "),"")</f>
        <v>#NAME?</v>
      </c>
    </row>
    <row r="921" spans="2:12" s="10" customFormat="1" ht="18" customHeight="1">
      <c r="B921" s="105" t="s">
        <v>4031</v>
      </c>
      <c r="C921" s="105"/>
      <c r="D921" s="105"/>
      <c r="E921" s="24"/>
      <c r="F921" s="24"/>
      <c r="G921" s="9"/>
      <c r="H921" s="12"/>
    </row>
    <row r="922" spans="2:12" s="10" customFormat="1" ht="18" customHeight="1">
      <c r="C922" s="10" t="s">
        <v>3951</v>
      </c>
      <c r="D922" s="12"/>
      <c r="G922" s="9" t="s">
        <v>6410</v>
      </c>
      <c r="H922" s="13"/>
      <c r="K922" s="10" t="s">
        <v>3862</v>
      </c>
      <c r="L922" s="10" t="s">
        <v>3879</v>
      </c>
    </row>
    <row r="923" spans="2:12" s="10" customFormat="1" ht="18" customHeight="1">
      <c r="C923" s="12" t="s">
        <v>3954</v>
      </c>
      <c r="D923" s="12"/>
      <c r="G923" s="9" t="s">
        <v>6411</v>
      </c>
      <c r="H923" s="13"/>
    </row>
    <row r="924" spans="2:12" s="10" customFormat="1" ht="18" customHeight="1">
      <c r="C924" s="12" t="s">
        <v>3957</v>
      </c>
      <c r="D924" s="12"/>
      <c r="G924" s="9"/>
      <c r="H924" s="9"/>
      <c r="I924" s="10" t="s">
        <v>6412</v>
      </c>
      <c r="J924" s="25" t="e">
        <f>IF(shinsei_strtower06_prgo04_NAME="","",IF(shinsei_strtower06_prgo04_NINTEI_NO="","無","有"))</f>
        <v>#NAME?</v>
      </c>
      <c r="K924" s="10" t="s">
        <v>2941</v>
      </c>
      <c r="L924" s="10" t="s">
        <v>3879</v>
      </c>
    </row>
    <row r="925" spans="2:12" s="10" customFormat="1" ht="18" customHeight="1">
      <c r="C925" s="12" t="s">
        <v>3960</v>
      </c>
      <c r="D925" s="12"/>
      <c r="G925" s="9" t="s">
        <v>6413</v>
      </c>
      <c r="H925" s="13"/>
      <c r="K925" s="10" t="s">
        <v>3862</v>
      </c>
      <c r="L925" s="10" t="s">
        <v>3879</v>
      </c>
    </row>
    <row r="926" spans="2:12" s="10" customFormat="1" ht="18" customHeight="1">
      <c r="C926" s="12" t="s">
        <v>3964</v>
      </c>
      <c r="D926" s="12"/>
      <c r="G926" s="9" t="s">
        <v>6414</v>
      </c>
      <c r="H926" s="74"/>
      <c r="I926" s="10" t="s">
        <v>6415</v>
      </c>
      <c r="J926" s="25" t="e">
        <f>IF(shinsei_strtower06_prgo04_NINTEI_DATE="","",TEXT(shinsei_strtower06_prgo04_NINTEI_DATE,"ggge年m月d日")&amp;"  ")</f>
        <v>#NAME?</v>
      </c>
    </row>
    <row r="927" spans="2:12" s="10" customFormat="1" ht="18" customHeight="1">
      <c r="C927" s="12" t="s">
        <v>6416</v>
      </c>
      <c r="D927" s="12"/>
      <c r="G927" s="9" t="s">
        <v>6417</v>
      </c>
      <c r="H927" s="13"/>
      <c r="I927" s="9"/>
      <c r="J927" s="9"/>
    </row>
    <row r="928" spans="2:12" s="10" customFormat="1" ht="18" customHeight="1">
      <c r="C928" s="12" t="s">
        <v>3970</v>
      </c>
      <c r="D928" s="12"/>
      <c r="G928" s="9"/>
      <c r="H928" s="12"/>
      <c r="I928" s="9" t="s">
        <v>6418</v>
      </c>
      <c r="J928" s="25" t="e">
        <f>IF(shinsei_strtower06_prgo04_NAME="","",shinsei_strtower06_prgo04_NAME)&amp;CHAR(10)&amp;IF(shinsei_strtower06_prgo04_VER="","","Ver."&amp;shinsei_strtower06_prgo04_VER&amp;CHAR(10))</f>
        <v>#NAME?</v>
      </c>
    </row>
    <row r="929" spans="2:12" s="10" customFormat="1" ht="18" customHeight="1">
      <c r="C929" s="12" t="s">
        <v>3972</v>
      </c>
      <c r="D929" s="12"/>
      <c r="G929" s="9"/>
      <c r="H929" s="12"/>
      <c r="I929" s="9" t="s">
        <v>6419</v>
      </c>
      <c r="J929" s="25" t="e">
        <f>IF(shinsei_strtower06_prgo04_NAME="","",shinsei_strtower06_prgo04_NAME&amp;" ")&amp;IF(shinsei_strtower06_prgo04_VER="","","Ver."&amp;shinsei_strtower06_prgo04_VER&amp;"  ")</f>
        <v>#NAME?</v>
      </c>
    </row>
    <row r="930" spans="2:12" s="10" customFormat="1" ht="18" customHeight="1">
      <c r="C930" s="12" t="s">
        <v>3974</v>
      </c>
      <c r="D930" s="12"/>
      <c r="G930" s="9"/>
      <c r="H930" s="12"/>
    </row>
    <row r="931" spans="2:12" s="10" customFormat="1" ht="18" customHeight="1">
      <c r="D931" s="12" t="s">
        <v>3975</v>
      </c>
      <c r="G931" s="9"/>
      <c r="H931" s="12"/>
      <c r="I931" s="9" t="s">
        <v>6420</v>
      </c>
      <c r="J931" s="173" t="e">
        <f>IF(cst_shinsei_strtower06_prgo04_NINTEI__umu="有",IF(shinsei_strtower06_prgo04_MAKER_NAME="","",shinsei_strtower06_prgo04_MAKER_NAME&amp;"  "),"")</f>
        <v>#NAME?</v>
      </c>
    </row>
    <row r="932" spans="2:12" s="10" customFormat="1" ht="18" customHeight="1">
      <c r="D932" s="12" t="s">
        <v>3972</v>
      </c>
      <c r="G932" s="9"/>
      <c r="H932" s="12"/>
      <c r="I932" s="9" t="s">
        <v>6421</v>
      </c>
      <c r="J932" s="25" t="e">
        <f>IF(cst_shinsei_strtower06_prgo04_NINTEI__umu="有",IF(shinsei_strtower06_prgo04_NAME="","",shinsei_strtower06_prgo04_NAME&amp;" ")&amp;IF(shinsei_strtower06_prgo04_VER="","","Ver."&amp;shinsei_strtower06_prgo04_VER&amp;"  "),"")</f>
        <v>#NAME?</v>
      </c>
    </row>
    <row r="933" spans="2:12" s="10" customFormat="1" ht="18" customHeight="1">
      <c r="C933" s="12" t="s">
        <v>3981</v>
      </c>
      <c r="D933" s="12"/>
      <c r="G933" s="9"/>
      <c r="H933" s="12"/>
    </row>
    <row r="934" spans="2:12" s="10" customFormat="1" ht="18" customHeight="1">
      <c r="D934" s="12" t="s">
        <v>6376</v>
      </c>
      <c r="G934" s="9"/>
      <c r="H934" s="12"/>
      <c r="I934" s="9" t="s">
        <v>6422</v>
      </c>
      <c r="J934" s="173" t="e">
        <f>IF(cst_shinsei_strtower06_prgo04_NINTEI__umu="無",IF(shinsei_strtower06_prgo04_MAKER_NAME="","",shinsei_strtower06_prgo04_MAKER_NAME&amp;"  "),"")</f>
        <v>#NAME?</v>
      </c>
    </row>
    <row r="935" spans="2:12" s="10" customFormat="1" ht="18" customHeight="1">
      <c r="D935" s="12" t="s">
        <v>3972</v>
      </c>
      <c r="G935" s="9"/>
      <c r="H935" s="12"/>
      <c r="I935" s="9" t="s">
        <v>6423</v>
      </c>
      <c r="J935" s="25" t="e">
        <f>IF(cst_shinsei_strtower06_prgo04_NINTEI__umu="無",IF(shinsei_strtower06_prgo04_NAME="","",shinsei_strtower06_prgo04_NAME&amp;" ")&amp;IF(shinsei_strtower06_prgo04_VER="","","Ver."&amp;shinsei_strtower06_prgo04_VER&amp;"  "),"")</f>
        <v>#NAME?</v>
      </c>
    </row>
    <row r="936" spans="2:12" s="10" customFormat="1" ht="18" customHeight="1">
      <c r="B936" s="105" t="s">
        <v>6424</v>
      </c>
      <c r="C936" s="105"/>
      <c r="D936" s="105"/>
      <c r="E936" s="24"/>
      <c r="F936" s="24"/>
      <c r="G936" s="9"/>
      <c r="H936" s="12"/>
    </row>
    <row r="937" spans="2:12" s="10" customFormat="1" ht="18" customHeight="1">
      <c r="C937" s="10" t="s">
        <v>3951</v>
      </c>
      <c r="D937" s="12"/>
      <c r="G937" s="9" t="s">
        <v>6425</v>
      </c>
      <c r="H937" s="13"/>
      <c r="K937" s="10" t="s">
        <v>4791</v>
      </c>
      <c r="L937" s="10" t="s">
        <v>3879</v>
      </c>
    </row>
    <row r="938" spans="2:12" s="10" customFormat="1" ht="18" customHeight="1">
      <c r="C938" s="12" t="s">
        <v>6381</v>
      </c>
      <c r="D938" s="12"/>
      <c r="G938" s="9" t="s">
        <v>6426</v>
      </c>
      <c r="H938" s="13"/>
    </row>
    <row r="939" spans="2:12" s="10" customFormat="1" ht="18" customHeight="1">
      <c r="C939" s="12" t="s">
        <v>3957</v>
      </c>
      <c r="D939" s="12"/>
      <c r="G939" s="9"/>
      <c r="H939" s="9"/>
      <c r="I939" s="10" t="s">
        <v>6427</v>
      </c>
      <c r="J939" s="25" t="e">
        <f>IF(shinsei_strtower06_prgo05_NAME="","",IF(shinsei_strtower06_prgo05_NINTEI_NO="","無","有"))</f>
        <v>#NAME?</v>
      </c>
      <c r="K939" s="10" t="s">
        <v>2941</v>
      </c>
      <c r="L939" s="10" t="s">
        <v>3879</v>
      </c>
    </row>
    <row r="940" spans="2:12" s="10" customFormat="1" ht="18" customHeight="1">
      <c r="C940" s="12" t="s">
        <v>3960</v>
      </c>
      <c r="D940" s="12"/>
      <c r="G940" s="9" t="s">
        <v>6428</v>
      </c>
      <c r="H940" s="13"/>
      <c r="K940" s="10" t="s">
        <v>3862</v>
      </c>
      <c r="L940" s="10" t="s">
        <v>3879</v>
      </c>
    </row>
    <row r="941" spans="2:12" s="10" customFormat="1" ht="18" customHeight="1">
      <c r="C941" s="12" t="s">
        <v>3964</v>
      </c>
      <c r="D941" s="12"/>
      <c r="G941" s="9" t="s">
        <v>6429</v>
      </c>
      <c r="H941" s="74"/>
      <c r="I941" s="10" t="s">
        <v>6430</v>
      </c>
      <c r="J941" s="25" t="e">
        <f>IF(shinsei_strtower06_prgo05_NINTEI_DATE="","",TEXT(shinsei_strtower06_prgo05_NINTEI_DATE,"ggge年m月d日")&amp;"  ")</f>
        <v>#NAME?</v>
      </c>
    </row>
    <row r="942" spans="2:12" s="10" customFormat="1" ht="18" customHeight="1">
      <c r="C942" s="12" t="s">
        <v>3967</v>
      </c>
      <c r="D942" s="12"/>
      <c r="G942" s="9" t="s">
        <v>6431</v>
      </c>
      <c r="H942" s="13"/>
    </row>
    <row r="943" spans="2:12" s="10" customFormat="1" ht="18" customHeight="1">
      <c r="C943" s="12" t="s">
        <v>3970</v>
      </c>
      <c r="D943" s="12"/>
      <c r="G943" s="9"/>
      <c r="H943" s="12"/>
      <c r="I943" s="9" t="s">
        <v>6432</v>
      </c>
      <c r="J943" s="25" t="e">
        <f>IF(shinsei_strtower06_prgo05_NAME="","",shinsei_strtower06_prgo05_NAME)&amp;CHAR(10)&amp;IF(shinsei_strtower06_prgo05_VER="","","Ver."&amp;shinsei_strtower06_prgo05_VER&amp;CHAR(10))</f>
        <v>#NAME?</v>
      </c>
    </row>
    <row r="944" spans="2:12" s="10" customFormat="1" ht="18" customHeight="1">
      <c r="C944" s="12" t="s">
        <v>3972</v>
      </c>
      <c r="D944" s="12"/>
      <c r="G944" s="9"/>
      <c r="H944" s="12"/>
      <c r="I944" s="9" t="s">
        <v>6433</v>
      </c>
      <c r="J944" s="25" t="e">
        <f>IF(shinsei_strtower06_prgo05_NAME="","",shinsei_strtower06_prgo05_NAME&amp;" ")&amp;IF(shinsei_strtower06_prgo05_VER="","","Ver."&amp;shinsei_strtower06_prgo05_VER&amp;"  ")</f>
        <v>#NAME?</v>
      </c>
    </row>
    <row r="945" spans="2:10" s="10" customFormat="1" ht="18" customHeight="1">
      <c r="C945" s="12" t="s">
        <v>3974</v>
      </c>
      <c r="D945" s="12"/>
      <c r="G945" s="9"/>
      <c r="H945" s="12"/>
    </row>
    <row r="946" spans="2:10" s="10" customFormat="1" ht="18" customHeight="1">
      <c r="D946" s="12" t="s">
        <v>3976</v>
      </c>
      <c r="G946" s="9"/>
      <c r="H946" s="12"/>
      <c r="I946" s="9" t="s">
        <v>6434</v>
      </c>
      <c r="J946" s="173" t="e">
        <f>IF(cst_shinsei_strtower06_prgo05_NINTEI__umu="有",IF(shinsei_strtower06_prgo05_MAKER_NAME="","",shinsei_strtower06_prgo05_MAKER_NAME&amp;"  "),"")</f>
        <v>#NAME?</v>
      </c>
    </row>
    <row r="947" spans="2:10" s="10" customFormat="1" ht="18" customHeight="1">
      <c r="D947" s="12" t="s">
        <v>3972</v>
      </c>
      <c r="G947" s="9"/>
      <c r="H947" s="12"/>
      <c r="I947" s="9" t="s">
        <v>6435</v>
      </c>
      <c r="J947" s="25" t="e">
        <f>IF(cst_shinsei_strtower06_prgo05_NINTEI__umu="有",IF(shinsei_strtower06_prgo05_NAME="","",shinsei_strtower06_prgo05_NAME&amp;" ")&amp;IF(shinsei_strtower06_prgo05_VER="","","Ver."&amp;shinsei_strtower06_prgo05_VER&amp;"  "),"")</f>
        <v>#NAME?</v>
      </c>
    </row>
    <row r="948" spans="2:10" s="10" customFormat="1" ht="18" customHeight="1">
      <c r="C948" s="12" t="s">
        <v>3981</v>
      </c>
      <c r="D948" s="12"/>
      <c r="G948" s="9"/>
      <c r="H948" s="12"/>
    </row>
    <row r="949" spans="2:10" s="10" customFormat="1" ht="18" customHeight="1">
      <c r="D949" s="12" t="s">
        <v>3975</v>
      </c>
      <c r="G949" s="9"/>
      <c r="H949" s="12"/>
      <c r="I949" s="9" t="s">
        <v>6436</v>
      </c>
      <c r="J949" s="173" t="e">
        <f>IF(cst_shinsei_strtower06_prgo05_NINTEI__umu="無",IF(shinsei_strtower06_prgo05_MAKER_NAME="","",shinsei_strtower06_prgo05_MAKER_NAME&amp;"  "),"")</f>
        <v>#NAME?</v>
      </c>
    </row>
    <row r="950" spans="2:10" s="10" customFormat="1" ht="18" customHeight="1">
      <c r="D950" s="12" t="s">
        <v>3972</v>
      </c>
      <c r="G950" s="9"/>
      <c r="H950" s="12"/>
      <c r="I950" s="9" t="s">
        <v>6437</v>
      </c>
      <c r="J950" s="25" t="e">
        <f>IF(cst_shinsei_strtower06_prgo05_NINTEI__umu="無",IF(shinsei_strtower06_prgo05_NAME="","",shinsei_strtower06_prgo05_NAME&amp;" ")&amp;IF(shinsei_strtower06_prgo05_VER="","","Ver."&amp;shinsei_strtower06_prgo05_VER&amp;"  "),"")</f>
        <v>#NAME?</v>
      </c>
    </row>
    <row r="951" spans="2:10" s="10" customFormat="1" ht="18" customHeight="1">
      <c r="B951" s="13" t="s">
        <v>3827</v>
      </c>
      <c r="C951" s="13"/>
      <c r="D951" s="13"/>
      <c r="E951" s="25"/>
      <c r="F951" s="25"/>
      <c r="G951" s="9"/>
      <c r="H951" s="80"/>
      <c r="I951" s="9"/>
      <c r="J951" s="80"/>
    </row>
    <row r="952" spans="2:10" s="10" customFormat="1" ht="18" customHeight="1">
      <c r="C952" s="12" t="s">
        <v>3970</v>
      </c>
      <c r="D952" s="12"/>
      <c r="G952" s="9"/>
      <c r="H952" s="80"/>
      <c r="I952" s="166" t="s">
        <v>6438</v>
      </c>
      <c r="J952" s="74" t="e">
        <f>cst_shinsei_strtower06_prgo01_NAME_VER&amp;cst_shinsei_strtower06_prgo02_NAME_VER&amp;cst_shinsei_strtower06_prgo03_NAME_VER&amp;cst_shinsei_strtower06_prgo04_NAME_VER&amp;cst_shinsei_strtower06_prgo05_NAME_VER</f>
        <v>#NAME?</v>
      </c>
    </row>
    <row r="953" spans="2:10" s="10" customFormat="1" ht="18" customHeight="1">
      <c r="C953" s="12" t="s">
        <v>3972</v>
      </c>
      <c r="D953" s="12"/>
      <c r="G953" s="9"/>
      <c r="H953" s="80"/>
      <c r="I953" s="166" t="s">
        <v>6439</v>
      </c>
      <c r="J953" s="74" t="e">
        <f>cst_shinsei_strtower06_prgo01_NAME_VER__SP&amp;cst_shinsei_strtower06_prgo02_NAME_VER__SP&amp;cst_shinsei_strtower06_prgo03_NAME_VER__SP&amp;cst_shinsei_strtower06_prgo04_NAME_VER__SP&amp;cst_shinsei_strtower06_prgo05_NAME_VER__SP</f>
        <v>#NAME?</v>
      </c>
    </row>
    <row r="954" spans="2:10" s="10" customFormat="1" ht="18" customHeight="1">
      <c r="B954" s="13" t="s">
        <v>4068</v>
      </c>
      <c r="C954" s="13"/>
      <c r="D954" s="13"/>
      <c r="E954" s="25"/>
      <c r="F954" s="25"/>
      <c r="G954" s="9"/>
      <c r="H954" s="80"/>
      <c r="I954" s="9"/>
      <c r="J954" s="80"/>
    </row>
    <row r="955" spans="2:10" s="10" customFormat="1" ht="18" customHeight="1">
      <c r="C955" s="12" t="s">
        <v>3975</v>
      </c>
      <c r="D955" s="12"/>
      <c r="G955" s="9"/>
      <c r="H955" s="80"/>
      <c r="I955" s="166" t="s">
        <v>6440</v>
      </c>
      <c r="J955" s="74" t="e">
        <f>cst_shinsei_strtower06_prgo01_MAKER__NINTEI_ari&amp;cst_shinsei_strtower06_prgo02_MAKER__NINTEI_ari&amp;cst_shinsei_strtower06_prgo03_MAKER__NINTEI_ari&amp;cst_shinsei_strtower06_prgo04_MAKER__NINTEI_ari&amp;cst_shinsei_strtower06_prgo05_MAKER__NINTEI_ari</f>
        <v>#NAME?</v>
      </c>
    </row>
    <row r="956" spans="2:10" s="10" customFormat="1" ht="18" customHeight="1">
      <c r="C956" s="12" t="s">
        <v>3972</v>
      </c>
      <c r="D956" s="12"/>
      <c r="G956" s="9"/>
      <c r="H956" s="80"/>
      <c r="I956" s="166" t="s">
        <v>6441</v>
      </c>
      <c r="J956" s="173" t="e">
        <f>cst_shinsei_strtower06_prgo01_NAME_VER__NINTEI_ari&amp;cst_shinsei_strtower06_prgo02_NAME_VER__NINTEI_ari&amp;cst_shinsei_strtower06_prgo03_NAME_VER__NINTEI_ari&amp;cst_shinsei_strtower06_prgo04_NAME_VER__NINTEI_ari&amp;cst_shinsei_strtower06_prgo05_NAME_VER__NINTEI_ari</f>
        <v>#NAME?</v>
      </c>
    </row>
    <row r="957" spans="2:10" s="10" customFormat="1" ht="18" customHeight="1">
      <c r="C957" s="12" t="s">
        <v>3964</v>
      </c>
      <c r="D957" s="12"/>
      <c r="G957" s="9"/>
      <c r="H957" s="80"/>
      <c r="I957" s="166" t="s">
        <v>6442</v>
      </c>
      <c r="J957" s="74" t="e">
        <f>cst_shinsei_strtower06_prgo01_NINTEI_DATE_dsp&amp;cst_shinsei_strtower06_prgo02_NINTEI_DATE_dsp&amp;cst_shinsei_strtower06_prgo03_NINTEI_DATE_dsp&amp;cst_shinsei_strtower06_prgo04_NINTEI_DATE_dsp&amp;cst_shinsei_strtower06_prgo05_NINTEI_DATE_dsp</f>
        <v>#NAME?</v>
      </c>
    </row>
    <row r="958" spans="2:10" s="10" customFormat="1" ht="18" customHeight="1">
      <c r="B958" s="13" t="s">
        <v>4072</v>
      </c>
      <c r="C958" s="13"/>
      <c r="D958" s="13"/>
      <c r="E958" s="25"/>
      <c r="F958" s="25"/>
      <c r="G958" s="9"/>
      <c r="H958" s="80"/>
      <c r="I958" s="9"/>
      <c r="J958" s="80"/>
    </row>
    <row r="959" spans="2:10" s="10" customFormat="1" ht="18" customHeight="1">
      <c r="C959" s="12" t="s">
        <v>3975</v>
      </c>
      <c r="D959" s="12"/>
      <c r="G959" s="9"/>
      <c r="H959" s="80"/>
      <c r="I959" s="166" t="s">
        <v>6443</v>
      </c>
      <c r="J959" s="74" t="e">
        <f>cst_shinsei_strtower06_prgo01_MAKER__NINTEI_non&amp;cst_shinsei_strtower06_prgo02_MAKER__NINTEI_non&amp;cst_shinsei_strtower06_prgo03_MAKER__NINTEI_non&amp;cst_shinsei_strtower06_prgo04_MAKER__NINTEI_non&amp;cst_shinsei_strtower06_prgo05_MAKER__NINTEI_non</f>
        <v>#NAME?</v>
      </c>
    </row>
    <row r="960" spans="2:10" s="10" customFormat="1" ht="18" customHeight="1">
      <c r="C960" s="12" t="s">
        <v>3972</v>
      </c>
      <c r="D960" s="12"/>
      <c r="G960" s="9"/>
      <c r="H960" s="80"/>
      <c r="I960" s="166" t="s">
        <v>6444</v>
      </c>
      <c r="J960" s="173" t="e">
        <f>cst_shinsei_strtower06_prgo01_NAME_VER__NINTEI_non&amp;cst_shinsei_strtower06_prgo02_NAME_VER__NINTEI_non&amp;cst_shinsei_strtower06_prgo03_NAME_VER__NINTEI_non&amp;cst_shinsei_strtower06_prgo04_NAME_VER__NINTEI_non&amp;cst_shinsei_strtower06_prgo05_NAME_VER__NINTEI_non</f>
        <v>#NAME?</v>
      </c>
    </row>
    <row r="961" spans="1:12" s="10" customFormat="1" ht="18" customHeight="1">
      <c r="B961" s="12" t="s">
        <v>4075</v>
      </c>
      <c r="G961" s="9" t="s">
        <v>6445</v>
      </c>
      <c r="H961" s="20"/>
      <c r="I961" s="9" t="s">
        <v>6446</v>
      </c>
      <c r="J961" s="20" t="e">
        <f>IF(shinsei_strtower06_DISK_FLAG="","",IF(shinsei_strtower06_DISK_FLAG=1,"有","無"))</f>
        <v>#NAME?</v>
      </c>
    </row>
    <row r="962" spans="1:12" s="10" customFormat="1" ht="18" customHeight="1">
      <c r="A962" s="9"/>
      <c r="B962" s="9" t="s">
        <v>2955</v>
      </c>
      <c r="C962" s="9"/>
      <c r="D962" s="9"/>
      <c r="E962" s="9"/>
      <c r="F962" s="9"/>
      <c r="G962" s="9" t="s">
        <v>6447</v>
      </c>
      <c r="H962" s="136"/>
      <c r="I962" s="19" t="s">
        <v>6448</v>
      </c>
      <c r="J962" s="171" t="e">
        <f>IF(shinsei_strtower06_CHARGE="","",shinsei_strtower06_CHARGE)</f>
        <v>#NAME?</v>
      </c>
      <c r="K962" s="9" t="s">
        <v>2528</v>
      </c>
      <c r="L962" s="9" t="s">
        <v>2528</v>
      </c>
    </row>
    <row r="963" spans="1:12" ht="18" customHeight="1">
      <c r="A963" s="149"/>
      <c r="B963" s="149"/>
      <c r="C963" s="149"/>
      <c r="D963" s="149"/>
      <c r="E963" s="12" t="s">
        <v>3907</v>
      </c>
      <c r="F963" s="12"/>
      <c r="G963" s="149"/>
      <c r="I963" s="100" t="s">
        <v>6449</v>
      </c>
      <c r="J963" s="171" t="e">
        <f>IF(shinsei_strtower06_CHARGE="","",TEXT(shinsei_strtower06_CHARGE,"#,##0_ ")&amp;"円")</f>
        <v>#NAME?</v>
      </c>
      <c r="K963" s="9"/>
      <c r="L963" s="9"/>
    </row>
    <row r="964" spans="1:12" ht="18" customHeight="1">
      <c r="A964" s="149"/>
      <c r="B964" s="149" t="s">
        <v>3041</v>
      </c>
      <c r="C964" s="149"/>
      <c r="D964" s="149"/>
      <c r="E964" s="149"/>
      <c r="F964" s="149"/>
      <c r="G964" s="149" t="s">
        <v>6450</v>
      </c>
      <c r="H964" s="136"/>
      <c r="I964" s="100" t="s">
        <v>6451</v>
      </c>
      <c r="J964" s="136" t="e">
        <f>IF(shinsei_strtower06_CHARGE_WARIMASHI="","",shinsei_strtower06_CHARGE_WARIMASHI)</f>
        <v>#NAME?</v>
      </c>
      <c r="K964" s="9" t="s">
        <v>2528</v>
      </c>
      <c r="L964" s="9" t="s">
        <v>2528</v>
      </c>
    </row>
    <row r="965" spans="1:12" ht="18" customHeight="1">
      <c r="A965" s="149"/>
      <c r="B965" s="149" t="s">
        <v>3043</v>
      </c>
      <c r="C965" s="149"/>
      <c r="D965" s="149"/>
      <c r="E965" s="149"/>
      <c r="F965" s="149"/>
      <c r="G965" s="149" t="s">
        <v>6452</v>
      </c>
      <c r="H965" s="136"/>
      <c r="I965" s="100" t="s">
        <v>6453</v>
      </c>
      <c r="J965" s="136" t="e">
        <f>IF(shinsei_strtower06_CHARGE_TOTAL="","",shinsei_strtower06_CHARGE_TOTAL)</f>
        <v>#NAME?</v>
      </c>
      <c r="K965" s="9" t="s">
        <v>2528</v>
      </c>
      <c r="L965" s="9" t="s">
        <v>2528</v>
      </c>
    </row>
    <row r="966" spans="1:12" ht="18" customHeight="1">
      <c r="A966" s="149"/>
      <c r="B966" s="149" t="s">
        <v>5637</v>
      </c>
      <c r="C966" s="149"/>
      <c r="D966" s="149"/>
      <c r="E966" s="149"/>
      <c r="F966" s="149"/>
      <c r="G966" s="149" t="s">
        <v>6454</v>
      </c>
      <c r="H966" s="13"/>
      <c r="I966" s="176" t="s">
        <v>6455</v>
      </c>
      <c r="J966" s="20" t="e">
        <f>IF(shinsei_strtower06_CHARGE_KEISAN_NOTE="","",shinsei_strtower06_CHARGE_KEISAN_NOTE)</f>
        <v>#NAME?</v>
      </c>
      <c r="K966" s="10" t="s">
        <v>3862</v>
      </c>
      <c r="L966" s="10" t="s">
        <v>3879</v>
      </c>
    </row>
    <row r="967" spans="1:12" ht="18" customHeight="1">
      <c r="A967" s="149"/>
      <c r="B967" s="149"/>
      <c r="C967" s="149"/>
      <c r="D967" s="149"/>
      <c r="E967" s="149" t="s">
        <v>5640</v>
      </c>
      <c r="F967" s="149"/>
      <c r="G967" s="149"/>
      <c r="I967" s="100" t="s">
        <v>6456</v>
      </c>
      <c r="J967" s="20" t="e">
        <f>IF(shinsei_INSPECTION_TYPE="計画変更",IF(shinsei_strtower06_CHARGE="","","延べ面積×1/2により算出"),IF(shinsei_strtower06_CHARGE_KEISAN_NOTE="","",shinsei_strtower06_CHARGE_KEISAN_NOTE))</f>
        <v>#NAME?</v>
      </c>
    </row>
    <row r="968" spans="1:12" ht="18" customHeight="1">
      <c r="A968" s="149"/>
      <c r="B968" s="149" t="s">
        <v>5642</v>
      </c>
      <c r="C968" s="149"/>
      <c r="D968" s="149"/>
      <c r="E968" s="149"/>
      <c r="F968" s="149"/>
      <c r="G968" s="149" t="s">
        <v>6457</v>
      </c>
      <c r="H968" s="13"/>
      <c r="I968" s="149" t="s">
        <v>6458</v>
      </c>
      <c r="J968" s="20" t="e">
        <f>IF(shinsei_strtower06_KEISAN_X_ROUTE="","",shinsei_strtower06_KEISAN_X_ROUTE)</f>
        <v>#NAME?</v>
      </c>
    </row>
    <row r="969" spans="1:12" ht="18" customHeight="1">
      <c r="A969" s="149"/>
      <c r="B969" s="149" t="s">
        <v>5645</v>
      </c>
      <c r="C969" s="149"/>
      <c r="D969" s="149"/>
      <c r="E969" s="149"/>
      <c r="F969" s="149"/>
      <c r="G969" s="149" t="s">
        <v>6459</v>
      </c>
      <c r="H969" s="13"/>
      <c r="I969" s="149" t="s">
        <v>6460</v>
      </c>
      <c r="J969" s="20" t="e">
        <f>IF(shinsei_strtower06_KEISAN_Y_ROUTE="","",shinsei_strtower06_KEISAN_Y_ROUTE)</f>
        <v>#NAME?</v>
      </c>
    </row>
    <row r="970" spans="1:12" ht="18" customHeight="1">
      <c r="A970" s="149"/>
      <c r="B970" s="149"/>
      <c r="C970" s="149" t="s">
        <v>3805</v>
      </c>
      <c r="D970" s="149"/>
      <c r="E970" s="149"/>
      <c r="F970" s="149"/>
      <c r="G970" s="149"/>
      <c r="H970" s="12"/>
      <c r="I970" s="149" t="s">
        <v>6461</v>
      </c>
      <c r="J970" s="20" t="e">
        <f>IF(AND(cst_shinsei_strtower06_KEISAN_X_ROUTE="3",cst_shinsei_strtower06_KEISAN_Y_ROUTE="3"),"■","□")</f>
        <v>#NAME?</v>
      </c>
    </row>
    <row r="971" spans="1:12" ht="18" customHeight="1">
      <c r="A971" s="149"/>
      <c r="B971" s="149" t="s">
        <v>5650</v>
      </c>
      <c r="C971" s="149"/>
      <c r="D971" s="149"/>
      <c r="E971" s="149"/>
      <c r="F971" s="149"/>
      <c r="G971" s="149" t="s">
        <v>6462</v>
      </c>
      <c r="H971" s="13"/>
      <c r="I971" s="149" t="s">
        <v>6463</v>
      </c>
      <c r="J971" s="20" t="e">
        <f>IF(shinsei_strtower06_PROGRAM_KIND_SONOTA="","",shinsei_strtower06_PROGRAM_KIND_SONOTA)</f>
        <v>#NAME?</v>
      </c>
    </row>
    <row r="972" spans="1:12" ht="18" customHeight="1">
      <c r="A972" s="149"/>
      <c r="B972" s="149"/>
      <c r="C972" s="149"/>
      <c r="D972" s="149"/>
      <c r="E972" s="149"/>
      <c r="F972" s="149"/>
      <c r="G972" s="149"/>
      <c r="I972" s="149"/>
    </row>
    <row r="973" spans="1:12" s="10" customFormat="1" ht="18" customHeight="1">
      <c r="A973" s="162" t="s">
        <v>6464</v>
      </c>
      <c r="B973" s="162"/>
      <c r="C973" s="162"/>
      <c r="D973" s="162"/>
      <c r="E973" s="163"/>
      <c r="F973" s="163"/>
      <c r="G973" s="164"/>
      <c r="H973" s="165"/>
      <c r="I973" s="9"/>
    </row>
    <row r="974" spans="1:12" s="10" customFormat="1" ht="18" customHeight="1">
      <c r="A974" s="12"/>
      <c r="B974" s="12" t="s">
        <v>3859</v>
      </c>
      <c r="C974" s="12"/>
      <c r="D974" s="12"/>
      <c r="E974" s="11"/>
      <c r="F974" s="11"/>
      <c r="G974" s="10" t="s">
        <v>6465</v>
      </c>
      <c r="H974" s="13"/>
      <c r="I974" s="19" t="s">
        <v>6466</v>
      </c>
      <c r="J974" s="25" t="e">
        <f>IF(shinsei_strtower07_TOWER_NO="","",shinsei_strtower07_TOWER_NO)</f>
        <v>#NAME?</v>
      </c>
      <c r="K974" s="10" t="s">
        <v>3862</v>
      </c>
    </row>
    <row r="975" spans="1:12" s="10" customFormat="1" ht="18" customHeight="1">
      <c r="A975" s="12"/>
      <c r="B975" s="12" t="s">
        <v>3864</v>
      </c>
      <c r="C975" s="12"/>
      <c r="D975" s="12"/>
      <c r="E975" s="11"/>
      <c r="F975" s="11"/>
      <c r="G975" s="9" t="s">
        <v>6467</v>
      </c>
      <c r="H975" s="13"/>
      <c r="I975" s="19" t="s">
        <v>6468</v>
      </c>
      <c r="J975" s="25" t="e">
        <f>IF(shinsei_strtower07_STR_TOWER_NO="","",shinsei_strtower07_STR_TOWER_NO)</f>
        <v>#NAME?</v>
      </c>
      <c r="K975" s="10" t="s">
        <v>4860</v>
      </c>
      <c r="L975" s="10" t="s">
        <v>3879</v>
      </c>
    </row>
    <row r="976" spans="1:12" s="166" customFormat="1" ht="18" customHeight="1">
      <c r="B976" s="12" t="s">
        <v>3868</v>
      </c>
      <c r="I976" s="9" t="s">
        <v>6469</v>
      </c>
      <c r="J976" s="167" t="e">
        <f>CONCATENATE(cst_shinsei_strtower07_TOWER_NO," - ",cst_shinsei_strtower07_STR_TOWER_NO)</f>
        <v>#NAME?</v>
      </c>
    </row>
    <row r="977" spans="1:12" s="166" customFormat="1" ht="18" customHeight="1">
      <c r="B977" s="12" t="s">
        <v>3870</v>
      </c>
      <c r="I977" s="9" t="s">
        <v>6470</v>
      </c>
      <c r="J977" s="167" t="e">
        <f>CONCATENATE(cst_shinsei_strtower07_STR_TOWER_NO," ／ ",cst_shinsei_STR_SHINSEI_TOWERS)</f>
        <v>#NAME?</v>
      </c>
    </row>
    <row r="978" spans="1:12" s="10" customFormat="1" ht="18" customHeight="1">
      <c r="A978" s="12"/>
      <c r="B978" s="12" t="s">
        <v>3872</v>
      </c>
      <c r="C978" s="11"/>
      <c r="D978" s="11"/>
      <c r="E978" s="11"/>
      <c r="F978" s="11"/>
      <c r="G978" s="9" t="s">
        <v>6471</v>
      </c>
      <c r="H978" s="13"/>
      <c r="I978" s="9" t="s">
        <v>6472</v>
      </c>
      <c r="J978" s="25" t="e">
        <f>IF(shinsei_strtower07_STR_TOWER_NAME="","",shinsei_strtower07_STR_TOWER_NAME)</f>
        <v>#NAME?</v>
      </c>
    </row>
    <row r="979" spans="1:12" s="10" customFormat="1" ht="18" customHeight="1">
      <c r="A979" s="12"/>
      <c r="B979" s="12" t="s">
        <v>3875</v>
      </c>
      <c r="C979" s="12"/>
      <c r="D979" s="12"/>
      <c r="E979" s="11"/>
      <c r="F979" s="11"/>
      <c r="G979" s="9" t="s">
        <v>6473</v>
      </c>
      <c r="H979" s="20"/>
      <c r="I979" s="20" t="s">
        <v>6474</v>
      </c>
      <c r="J979" s="25" t="e">
        <f>IF(shinsei_strtower07_JUDGE="","",shinsei_strtower07_JUDGE)</f>
        <v>#NAME?</v>
      </c>
      <c r="K979" s="10" t="s">
        <v>6475</v>
      </c>
      <c r="L979" s="10" t="s">
        <v>3879</v>
      </c>
    </row>
    <row r="980" spans="1:12" s="10" customFormat="1" ht="18" customHeight="1">
      <c r="A980" s="12"/>
      <c r="B980" s="12" t="s">
        <v>4441</v>
      </c>
      <c r="C980" s="12"/>
      <c r="D980" s="12"/>
      <c r="E980" s="11"/>
      <c r="F980" s="11"/>
      <c r="G980" s="9" t="s">
        <v>6476</v>
      </c>
      <c r="H980" s="13"/>
      <c r="I980" s="9" t="s">
        <v>6477</v>
      </c>
      <c r="J980" s="25" t="e">
        <f>IF(shinsei_strtower07_STR_TOWER_YOUTO_TEXT="","",shinsei_strtower07_STR_TOWER_YOUTO_TEXT)</f>
        <v>#NAME?</v>
      </c>
      <c r="K980" s="10" t="s">
        <v>3862</v>
      </c>
      <c r="L980" s="10" t="s">
        <v>3879</v>
      </c>
    </row>
    <row r="981" spans="1:12" s="10" customFormat="1" ht="18" customHeight="1">
      <c r="A981" s="12"/>
      <c r="B981" s="12" t="s">
        <v>3790</v>
      </c>
      <c r="C981" s="12"/>
      <c r="D981" s="12"/>
      <c r="E981" s="11"/>
      <c r="F981" s="11"/>
      <c r="G981" s="9" t="s">
        <v>6478</v>
      </c>
      <c r="H981" s="13"/>
      <c r="I981" s="9" t="s">
        <v>6479</v>
      </c>
      <c r="J981" s="25" t="e">
        <f>IF(shinsei_strtower07_KOUJI_TEXT="","",shinsei_strtower07_KOUJI_TEXT)</f>
        <v>#NAME?</v>
      </c>
      <c r="K981" s="10" t="s">
        <v>6480</v>
      </c>
      <c r="L981" s="10" t="s">
        <v>3879</v>
      </c>
    </row>
    <row r="982" spans="1:12" s="10" customFormat="1" ht="18" customHeight="1">
      <c r="A982" s="12"/>
      <c r="B982" s="12" t="s">
        <v>6481</v>
      </c>
      <c r="C982" s="11"/>
      <c r="D982" s="11"/>
      <c r="E982" s="11"/>
      <c r="F982" s="11"/>
      <c r="G982" s="9" t="s">
        <v>6482</v>
      </c>
      <c r="H982" s="13"/>
      <c r="I982" s="9" t="s">
        <v>6483</v>
      </c>
      <c r="J982" s="25" t="e">
        <f>IF(shinsei_strtower07_KOUZOU_TEXT="","",shinsei_strtower07_KOUZOU_TEXT)</f>
        <v>#NAME?</v>
      </c>
    </row>
    <row r="983" spans="1:12" s="10" customFormat="1" ht="18" customHeight="1">
      <c r="A983" s="12"/>
      <c r="B983" s="12" t="s">
        <v>3888</v>
      </c>
      <c r="C983" s="12"/>
      <c r="D983" s="12"/>
      <c r="E983" s="11"/>
      <c r="F983" s="11"/>
      <c r="G983" s="9" t="s">
        <v>6484</v>
      </c>
      <c r="H983" s="13"/>
      <c r="I983" s="9" t="s">
        <v>6485</v>
      </c>
      <c r="J983" s="25" t="e">
        <f>IF(shinsei_strtower07_KOUZOU_TEXT="","",shinsei_strtower07_KOUZOU_TEXT)</f>
        <v>#NAME?</v>
      </c>
    </row>
    <row r="984" spans="1:12" s="10" customFormat="1" ht="18" customHeight="1">
      <c r="A984" s="12"/>
      <c r="B984" s="12" t="s">
        <v>3893</v>
      </c>
      <c r="C984" s="11"/>
      <c r="D984" s="11"/>
      <c r="E984" s="11"/>
      <c r="F984" s="11"/>
      <c r="G984" s="9" t="s">
        <v>6486</v>
      </c>
      <c r="H984" s="13"/>
      <c r="I984" s="9" t="s">
        <v>6487</v>
      </c>
      <c r="J984" s="25" t="e">
        <f>IF(shinsei_strtower07_KOUZOU_KEISAN="","",shinsei_strtower07_KOUZOU_KEISAN)</f>
        <v>#NAME?</v>
      </c>
    </row>
    <row r="985" spans="1:12" s="10" customFormat="1" ht="18" customHeight="1">
      <c r="A985" s="12"/>
      <c r="B985" s="12" t="s">
        <v>3893</v>
      </c>
      <c r="C985" s="12"/>
      <c r="D985" s="12"/>
      <c r="E985" s="11"/>
      <c r="F985" s="11"/>
      <c r="G985" s="9" t="s">
        <v>6488</v>
      </c>
      <c r="H985" s="13"/>
      <c r="I985" s="10" t="s">
        <v>6489</v>
      </c>
      <c r="J985" s="25" t="e">
        <f>IF(shinsei_strtower07_KOUZOU_KEISAN_TEXT="","",shinsei_strtower07_KOUZOU_KEISAN_TEXT)</f>
        <v>#NAME?</v>
      </c>
    </row>
    <row r="986" spans="1:12" s="10" customFormat="1" ht="18" customHeight="1">
      <c r="A986" s="12"/>
      <c r="B986" s="12" t="s">
        <v>6490</v>
      </c>
      <c r="C986" s="12"/>
      <c r="D986" s="12"/>
      <c r="E986" s="11"/>
      <c r="F986" s="11"/>
      <c r="G986" s="9" t="s">
        <v>6491</v>
      </c>
      <c r="H986" s="65"/>
      <c r="I986" s="19" t="s">
        <v>6492</v>
      </c>
      <c r="J986" s="168" t="e">
        <f>IF(shinsei_strtower07_MENSEKI="","",shinsei_strtower07_MENSEKI)</f>
        <v>#NAME?</v>
      </c>
      <c r="K986" s="10" t="s">
        <v>3906</v>
      </c>
      <c r="L986" s="10" t="s">
        <v>3906</v>
      </c>
    </row>
    <row r="987" spans="1:12" ht="18" customHeight="1">
      <c r="A987" s="12"/>
      <c r="B987" s="12"/>
      <c r="C987" s="12"/>
      <c r="D987" s="12"/>
      <c r="E987" s="12" t="s">
        <v>3907</v>
      </c>
      <c r="F987" s="12"/>
      <c r="G987" s="9"/>
      <c r="H987" s="9"/>
      <c r="I987" s="9" t="s">
        <v>6493</v>
      </c>
      <c r="J987" s="168" t="e">
        <f>IF(shinsei_strtower07_MENSEKI="","",TEXT(shinsei_strtower07_MENSEKI,"#,##0.00_ ")&amp;"㎡")</f>
        <v>#NAME?</v>
      </c>
    </row>
    <row r="988" spans="1:12" s="10" customFormat="1" ht="18" customHeight="1">
      <c r="A988" s="12"/>
      <c r="B988" s="12" t="s">
        <v>4390</v>
      </c>
      <c r="C988" s="12"/>
      <c r="D988" s="12"/>
      <c r="E988" s="11"/>
      <c r="F988" s="11"/>
      <c r="G988" s="9" t="s">
        <v>6494</v>
      </c>
      <c r="H988" s="93"/>
      <c r="I988" s="9" t="s">
        <v>6495</v>
      </c>
      <c r="J988" s="170" t="e">
        <f>IF(shinsei_strtower07_MAX_TAKASA="","",shinsei_strtower07_MAX_TAKASA)</f>
        <v>#NAME?</v>
      </c>
      <c r="K988" s="10" t="s">
        <v>3911</v>
      </c>
      <c r="L988" s="10" t="s">
        <v>3911</v>
      </c>
    </row>
    <row r="989" spans="1:12" s="10" customFormat="1" ht="18" customHeight="1">
      <c r="A989" s="12"/>
      <c r="B989" s="12" t="s">
        <v>4388</v>
      </c>
      <c r="C989" s="11"/>
      <c r="D989" s="11"/>
      <c r="E989" s="11"/>
      <c r="F989" s="11"/>
      <c r="G989" s="9" t="s">
        <v>6496</v>
      </c>
      <c r="H989" s="93"/>
      <c r="I989" s="9" t="s">
        <v>6497</v>
      </c>
      <c r="J989" s="170" t="e">
        <f>IF(shinsei_strtower07_MAX_NOKI_TAKASA="","",shinsei_strtower07_MAX_NOKI_TAKASA)</f>
        <v>#NAME?</v>
      </c>
    </row>
    <row r="990" spans="1:12" s="10" customFormat="1" ht="18" customHeight="1">
      <c r="A990" s="12"/>
      <c r="B990" s="12" t="s">
        <v>3782</v>
      </c>
      <c r="C990" s="12"/>
      <c r="D990" s="12"/>
      <c r="E990" s="11"/>
      <c r="F990" s="11"/>
      <c r="G990" s="9"/>
      <c r="H990" s="9"/>
      <c r="I990" s="9"/>
    </row>
    <row r="991" spans="1:12" s="10" customFormat="1" ht="18" customHeight="1">
      <c r="A991" s="12"/>
      <c r="B991" s="12"/>
      <c r="C991" s="11" t="s">
        <v>3783</v>
      </c>
      <c r="D991" s="12"/>
      <c r="G991" s="9" t="s">
        <v>6498</v>
      </c>
      <c r="H991" s="136"/>
      <c r="I991" s="9" t="s">
        <v>6499</v>
      </c>
      <c r="J991" s="171" t="e">
        <f>IF(shinsei_strtower07_KAISU_TIJYOU="","",shinsei_strtower07_KAISU_TIJYOU)</f>
        <v>#NAME?</v>
      </c>
      <c r="K991" s="10" t="s">
        <v>6500</v>
      </c>
      <c r="L991" s="10" t="s">
        <v>6500</v>
      </c>
    </row>
    <row r="992" spans="1:12" s="10" customFormat="1" ht="18" customHeight="1">
      <c r="A992" s="12"/>
      <c r="B992" s="12"/>
      <c r="C992" s="11" t="s">
        <v>3785</v>
      </c>
      <c r="D992" s="12"/>
      <c r="G992" s="9" t="s">
        <v>6501</v>
      </c>
      <c r="H992" s="136"/>
      <c r="I992" s="9" t="s">
        <v>6502</v>
      </c>
      <c r="J992" s="171" t="e">
        <f>IF(shinsei_strtower07_KAISU_TIKA="","",shinsei_strtower07_KAISU_TIKA)</f>
        <v>#NAME?</v>
      </c>
      <c r="K992" s="10" t="s">
        <v>3916</v>
      </c>
      <c r="L992" s="10" t="s">
        <v>3916</v>
      </c>
    </row>
    <row r="993" spans="1:12" s="10" customFormat="1" ht="18" customHeight="1">
      <c r="A993" s="12"/>
      <c r="B993" s="12"/>
      <c r="C993" s="11" t="s">
        <v>3787</v>
      </c>
      <c r="D993" s="12"/>
      <c r="G993" s="9" t="s">
        <v>6503</v>
      </c>
      <c r="H993" s="136"/>
      <c r="I993" s="9" t="s">
        <v>6504</v>
      </c>
      <c r="J993" s="171" t="e">
        <f>IF(shinsei_strtower07_KAISU_TOUYA="","",shinsei_strtower07_KAISU_TOUYA)</f>
        <v>#NAME?</v>
      </c>
      <c r="K993" s="10" t="s">
        <v>3916</v>
      </c>
      <c r="L993" s="10" t="s">
        <v>3916</v>
      </c>
    </row>
    <row r="994" spans="1:12" s="10" customFormat="1" ht="18" customHeight="1">
      <c r="B994" s="12" t="s">
        <v>3923</v>
      </c>
      <c r="G994" s="9" t="s">
        <v>6505</v>
      </c>
      <c r="H994" s="13"/>
      <c r="I994" s="10" t="s">
        <v>6506</v>
      </c>
      <c r="J994" s="25" t="e">
        <f>IF(shinsei_strtower07_BUILD_KUBUN="","",shinsei_strtower07_BUILD_KUBUN)</f>
        <v>#NAME?</v>
      </c>
    </row>
    <row r="995" spans="1:12" s="10" customFormat="1" ht="18" customHeight="1">
      <c r="B995" s="12" t="s">
        <v>3923</v>
      </c>
      <c r="C995" s="12"/>
      <c r="D995" s="12"/>
      <c r="G995" s="9" t="s">
        <v>6507</v>
      </c>
      <c r="H995" s="13"/>
      <c r="I995" s="10" t="s">
        <v>6508</v>
      </c>
      <c r="J995" s="25" t="e">
        <f>IF(shinsei_strtower07_BUILD_KUBUN_TEXT="","",shinsei_strtower07_BUILD_KUBUN_TEXT)</f>
        <v>#NAME?</v>
      </c>
      <c r="K995" s="10" t="s">
        <v>6509</v>
      </c>
    </row>
    <row r="996" spans="1:12" s="10" customFormat="1" ht="18" customHeight="1">
      <c r="A996" s="149"/>
      <c r="B996" s="149"/>
      <c r="C996" s="149" t="s">
        <v>3801</v>
      </c>
      <c r="D996" s="149"/>
      <c r="E996" s="149"/>
      <c r="F996" s="149"/>
      <c r="G996" s="149"/>
      <c r="H996" s="12"/>
      <c r="I996" s="149" t="s">
        <v>6510</v>
      </c>
      <c r="J996" s="20" t="e">
        <f>IF(shinsei_strtower07_BUILD_KUBUN_TEXT="建築基準法第20条第２号に掲げる建築物","■","□")</f>
        <v>#NAME?</v>
      </c>
    </row>
    <row r="997" spans="1:12" s="10" customFormat="1" ht="18" customHeight="1">
      <c r="A997" s="149"/>
      <c r="B997" s="149"/>
      <c r="C997" s="149" t="s">
        <v>3801</v>
      </c>
      <c r="D997" s="149"/>
      <c r="E997" s="149"/>
      <c r="F997" s="149"/>
      <c r="G997" s="149"/>
      <c r="H997" s="12"/>
      <c r="I997" s="149" t="s">
        <v>6511</v>
      </c>
      <c r="J997" s="20" t="e">
        <f>IF(shinsei_strtower07_BUILD_KUBUN_TEXT="建築基準法第20条第３号に掲げる建築物","■","□")</f>
        <v>#NAME?</v>
      </c>
    </row>
    <row r="998" spans="1:12" s="10" customFormat="1" ht="18" customHeight="1">
      <c r="A998" s="12"/>
      <c r="B998" s="12" t="s">
        <v>6512</v>
      </c>
      <c r="C998" s="12"/>
      <c r="D998" s="12"/>
      <c r="E998" s="11"/>
      <c r="F998" s="11"/>
      <c r="G998" s="9" t="s">
        <v>6513</v>
      </c>
      <c r="H998" s="13"/>
      <c r="I998" s="9" t="s">
        <v>6514</v>
      </c>
      <c r="J998" s="25" t="e">
        <f>IF(shinsei_strtower07_MENJYO_TEXT="","",shinsei_strtower07_MENJYO_TEXT)</f>
        <v>#NAME?</v>
      </c>
      <c r="K998" s="10" t="s">
        <v>3862</v>
      </c>
    </row>
    <row r="999" spans="1:12" s="10" customFormat="1" ht="18" customHeight="1">
      <c r="A999" s="12"/>
      <c r="B999" s="12" t="s">
        <v>3935</v>
      </c>
      <c r="C999" s="12"/>
      <c r="D999" s="12"/>
      <c r="E999" s="11"/>
      <c r="F999" s="11"/>
      <c r="G999" s="9" t="s">
        <v>6515</v>
      </c>
      <c r="H999" s="20"/>
      <c r="I999" s="9" t="s">
        <v>6516</v>
      </c>
      <c r="J999" s="25" t="e">
        <f>IF(shinsei_strtower07_PROGRAM_KIND="","",shinsei_strtower07_PROGRAM_KIND)</f>
        <v>#NAME?</v>
      </c>
      <c r="K999" s="10" t="s">
        <v>5704</v>
      </c>
    </row>
    <row r="1000" spans="1:12" s="10" customFormat="1" ht="18" customHeight="1">
      <c r="B1000" s="12" t="s">
        <v>3939</v>
      </c>
      <c r="C1000" s="12"/>
      <c r="D1000" s="12"/>
      <c r="G1000" s="9" t="s">
        <v>6517</v>
      </c>
      <c r="H1000" s="13"/>
      <c r="I1000" s="10" t="s">
        <v>6518</v>
      </c>
      <c r="J1000" s="25" t="e">
        <f>IF(shinsei_strtower07_REI80_2_KOKUJI_TEXT="","",shinsei_strtower07_REI80_2_KOKUJI_TEXT)</f>
        <v>#NAME?</v>
      </c>
    </row>
    <row r="1001" spans="1:12" s="10" customFormat="1" ht="18" customHeight="1">
      <c r="B1001" s="12" t="s">
        <v>3943</v>
      </c>
      <c r="C1001" s="12"/>
      <c r="D1001" s="12"/>
      <c r="G1001" s="9" t="s">
        <v>6519</v>
      </c>
      <c r="H1001" s="13"/>
      <c r="I1001" s="10" t="s">
        <v>6520</v>
      </c>
      <c r="J1001" s="25" t="e">
        <f>IF(shinsei_strtower07_PROGRAM_KIND__nintei__box="■",2,IF(OR(shinsei_strtower07_PROGRAM_KIND__hyouka__box="■",shinsei_strtower07_PROGRAM_KIND__sonota__box="■"),1,0))</f>
        <v>#NAME?</v>
      </c>
      <c r="K1001" s="10" t="s">
        <v>3946</v>
      </c>
    </row>
    <row r="1002" spans="1:12" s="10" customFormat="1" ht="18" customHeight="1">
      <c r="B1002" s="12" t="s">
        <v>3947</v>
      </c>
      <c r="C1002" s="12"/>
      <c r="D1002" s="12"/>
      <c r="G1002" s="9" t="s">
        <v>6521</v>
      </c>
      <c r="H1002" s="13"/>
    </row>
    <row r="1003" spans="1:12" s="10" customFormat="1" ht="18" customHeight="1">
      <c r="B1003" s="12" t="s">
        <v>4305</v>
      </c>
      <c r="C1003" s="12"/>
      <c r="D1003" s="12"/>
      <c r="G1003" s="9" t="s">
        <v>6522</v>
      </c>
      <c r="H1003" s="13"/>
    </row>
    <row r="1004" spans="1:12" s="10" customFormat="1" ht="18" customHeight="1">
      <c r="B1004" s="105" t="s">
        <v>3950</v>
      </c>
      <c r="C1004" s="105"/>
      <c r="D1004" s="105"/>
      <c r="E1004" s="24"/>
      <c r="F1004" s="24"/>
      <c r="G1004" s="9"/>
      <c r="H1004" s="12"/>
    </row>
    <row r="1005" spans="1:12" s="10" customFormat="1" ht="18" customHeight="1">
      <c r="C1005" s="10" t="s">
        <v>3951</v>
      </c>
      <c r="D1005" s="12"/>
      <c r="G1005" s="9" t="s">
        <v>6523</v>
      </c>
      <c r="H1005" s="13"/>
      <c r="I1005" s="10" t="s">
        <v>6524</v>
      </c>
      <c r="J1005" s="25" t="e">
        <f>IF(shinsei_strtower07_prgo01_NAME="","",shinsei_strtower07_prgo01_NAME)</f>
        <v>#NAME?</v>
      </c>
      <c r="K1005" s="10" t="s">
        <v>3862</v>
      </c>
      <c r="L1005" s="10" t="s">
        <v>3879</v>
      </c>
    </row>
    <row r="1006" spans="1:12" s="10" customFormat="1" ht="18" customHeight="1">
      <c r="C1006" s="12" t="s">
        <v>3954</v>
      </c>
      <c r="D1006" s="12"/>
      <c r="E1006" s="12"/>
      <c r="F1006" s="12"/>
      <c r="G1006" s="9" t="s">
        <v>6525</v>
      </c>
      <c r="H1006" s="13"/>
      <c r="I1006" s="10" t="s">
        <v>6526</v>
      </c>
      <c r="J1006" s="25" t="e">
        <f>IF(shinsei_strtower07_prgo01_VER="","",shinsei_strtower07_prgo01_VER)</f>
        <v>#NAME?</v>
      </c>
    </row>
    <row r="1007" spans="1:12" s="10" customFormat="1" ht="18" customHeight="1">
      <c r="C1007" s="12" t="s">
        <v>3957</v>
      </c>
      <c r="D1007" s="12"/>
      <c r="G1007" s="9"/>
      <c r="H1007" s="9"/>
      <c r="I1007" s="10" t="s">
        <v>6527</v>
      </c>
      <c r="J1007" s="25" t="e">
        <f>IF(shinsei_strtower07_prgo01_NAME="","",IF(shinsei_strtower07_prgo01_NINTEI_NO="","無","有"))</f>
        <v>#NAME?</v>
      </c>
      <c r="K1007" s="10" t="s">
        <v>3959</v>
      </c>
      <c r="L1007" s="10" t="s">
        <v>3879</v>
      </c>
    </row>
    <row r="1008" spans="1:12" s="10" customFormat="1" ht="18" customHeight="1">
      <c r="C1008" s="12" t="s">
        <v>3960</v>
      </c>
      <c r="D1008" s="12"/>
      <c r="G1008" s="9" t="s">
        <v>6528</v>
      </c>
      <c r="H1008" s="13"/>
      <c r="I1008" s="10" t="s">
        <v>6529</v>
      </c>
      <c r="J1008" s="25" t="e">
        <f>IF(shinsei_strtower07_prgo01_NINTEI_NO="","",shinsei_strtower07_prgo01_NINTEI_NO)</f>
        <v>#NAME?</v>
      </c>
      <c r="K1008" s="10" t="s">
        <v>6509</v>
      </c>
      <c r="L1008" s="10" t="s">
        <v>3879</v>
      </c>
    </row>
    <row r="1009" spans="2:12" s="10" customFormat="1" ht="18" customHeight="1">
      <c r="C1009" s="12" t="s">
        <v>3964</v>
      </c>
      <c r="D1009" s="12"/>
      <c r="G1009" s="9" t="s">
        <v>6530</v>
      </c>
      <c r="H1009" s="74"/>
      <c r="I1009" s="10" t="s">
        <v>6531</v>
      </c>
      <c r="J1009" s="25" t="e">
        <f>IF(shinsei_strtower07_prgo01_NINTEI_DATE="","",TEXT(shinsei_strtower07_prgo01_NINTEI_DATE,"ggge年m月d日")&amp;"  ")</f>
        <v>#NAME?</v>
      </c>
    </row>
    <row r="1010" spans="2:12" s="10" customFormat="1" ht="18" customHeight="1">
      <c r="C1010" s="12" t="s">
        <v>3967</v>
      </c>
      <c r="D1010" s="12"/>
      <c r="G1010" s="9" t="s">
        <v>6532</v>
      </c>
      <c r="H1010" s="13"/>
    </row>
    <row r="1011" spans="2:12" s="10" customFormat="1" ht="18" customHeight="1">
      <c r="C1011" s="12" t="s">
        <v>3970</v>
      </c>
      <c r="D1011" s="12"/>
      <c r="G1011" s="9"/>
      <c r="H1011" s="12"/>
      <c r="I1011" s="9" t="s">
        <v>6533</v>
      </c>
      <c r="J1011" s="25" t="e">
        <f>IF(shinsei_strtower07_prgo01_NAME="","",shinsei_strtower07_prgo01_NAME)&amp;CHAR(10)&amp;IF(shinsei_strtower07_prgo01_VER="","","Ver."&amp;shinsei_strtower07_prgo01_VER&amp;CHAR(10))</f>
        <v>#NAME?</v>
      </c>
    </row>
    <row r="1012" spans="2:12" s="10" customFormat="1" ht="18" customHeight="1">
      <c r="C1012" s="12" t="s">
        <v>3972</v>
      </c>
      <c r="D1012" s="12"/>
      <c r="G1012" s="9"/>
      <c r="H1012" s="12"/>
      <c r="I1012" s="9" t="s">
        <v>6534</v>
      </c>
      <c r="J1012" s="25" t="e">
        <f>IF(shinsei_strtower07_prgo01_NAME="","",shinsei_strtower07_prgo01_NAME&amp;" ")&amp;IF(shinsei_strtower07_prgo01_VER="","","Ver."&amp;shinsei_strtower07_prgo01_VER&amp;"  ")</f>
        <v>#NAME?</v>
      </c>
    </row>
    <row r="1013" spans="2:12" s="10" customFormat="1" ht="18" customHeight="1">
      <c r="C1013" s="12" t="s">
        <v>3974</v>
      </c>
      <c r="D1013" s="12"/>
      <c r="G1013" s="9"/>
      <c r="H1013" s="12"/>
    </row>
    <row r="1014" spans="2:12" s="10" customFormat="1" ht="18" customHeight="1">
      <c r="D1014" s="12" t="s">
        <v>3975</v>
      </c>
      <c r="G1014" s="9"/>
      <c r="H1014" s="12"/>
      <c r="I1014" s="9" t="s">
        <v>6535</v>
      </c>
      <c r="J1014" s="173" t="e">
        <f>IF(cst_shinsei_strtower07_prgo01_NINTEI__umu="有",IF(shinsei_strtower07_prgo01_MAKER_NAME="","",shinsei_strtower07_prgo01_MAKER_NAME&amp;"  "),"")</f>
        <v>#NAME?</v>
      </c>
    </row>
    <row r="1015" spans="2:12" s="10" customFormat="1" ht="18" customHeight="1">
      <c r="B1015" s="12"/>
      <c r="D1015" s="12" t="s">
        <v>3972</v>
      </c>
      <c r="G1015" s="9"/>
      <c r="H1015" s="12"/>
      <c r="I1015" s="9" t="s">
        <v>6536</v>
      </c>
      <c r="J1015" s="25" t="e">
        <f>IF(cst_shinsei_strtower07_prgo01_NINTEI__umu="有",IF(shinsei_strtower07_prgo01_NAME="","",shinsei_strtower07_prgo01_NAME&amp;" ")&amp;IF(shinsei_strtower07_prgo01_VER="","","Ver."&amp;shinsei_strtower07_prgo01_VER&amp;"  "),"")</f>
        <v>#NAME?</v>
      </c>
    </row>
    <row r="1016" spans="2:12" s="10" customFormat="1" ht="18" customHeight="1">
      <c r="C1016" s="12" t="s">
        <v>3981</v>
      </c>
      <c r="D1016" s="12"/>
      <c r="G1016" s="9"/>
      <c r="H1016" s="12"/>
    </row>
    <row r="1017" spans="2:12" s="10" customFormat="1" ht="18" customHeight="1">
      <c r="B1017" s="12"/>
      <c r="D1017" s="12" t="s">
        <v>3976</v>
      </c>
      <c r="G1017" s="9"/>
      <c r="H1017" s="12"/>
      <c r="I1017" s="9" t="s">
        <v>6537</v>
      </c>
      <c r="J1017" s="173" t="e">
        <f>IF(cst_shinsei_strtower07_prgo01_NINTEI__umu="無",IF(shinsei_strtower07_prgo01_MAKER_NAME="","",shinsei_strtower07_prgo01_MAKER_NAME&amp;"  "),"")</f>
        <v>#NAME?</v>
      </c>
    </row>
    <row r="1018" spans="2:12" s="10" customFormat="1" ht="18" customHeight="1">
      <c r="B1018" s="12"/>
      <c r="D1018" s="12" t="s">
        <v>3972</v>
      </c>
      <c r="G1018" s="9"/>
      <c r="H1018" s="12"/>
      <c r="I1018" s="9" t="s">
        <v>6538</v>
      </c>
      <c r="J1018" s="25" t="e">
        <f>IF(cst_shinsei_strtower07_prgo01_NINTEI__umu="無",IF(shinsei_strtower07_prgo01_NAME="","",shinsei_strtower07_prgo01_NAME&amp;" ")&amp;IF(shinsei_strtower07_prgo01_VER="","","Ver."&amp;shinsei_strtower07_prgo01_VER&amp;"  "),"")</f>
        <v>#NAME?</v>
      </c>
    </row>
    <row r="1019" spans="2:12" s="10" customFormat="1" ht="18" customHeight="1">
      <c r="B1019" s="105" t="s">
        <v>6539</v>
      </c>
      <c r="C1019" s="105"/>
      <c r="D1019" s="105"/>
      <c r="E1019" s="24"/>
      <c r="F1019" s="24"/>
      <c r="G1019" s="9"/>
      <c r="H1019" s="12"/>
    </row>
    <row r="1020" spans="2:12" s="10" customFormat="1" ht="18" customHeight="1">
      <c r="C1020" s="10" t="s">
        <v>3951</v>
      </c>
      <c r="D1020" s="12"/>
      <c r="G1020" s="9" t="s">
        <v>6540</v>
      </c>
      <c r="H1020" s="13"/>
      <c r="K1020" s="10" t="s">
        <v>3863</v>
      </c>
      <c r="L1020" s="10" t="s">
        <v>3879</v>
      </c>
    </row>
    <row r="1021" spans="2:12" s="10" customFormat="1" ht="18" customHeight="1">
      <c r="C1021" s="12" t="s">
        <v>4034</v>
      </c>
      <c r="D1021" s="12"/>
      <c r="G1021" s="9" t="s">
        <v>6541</v>
      </c>
      <c r="H1021" s="13"/>
    </row>
    <row r="1022" spans="2:12" s="10" customFormat="1" ht="18" customHeight="1">
      <c r="C1022" s="12" t="s">
        <v>3957</v>
      </c>
      <c r="D1022" s="12"/>
      <c r="G1022" s="9"/>
      <c r="H1022" s="9"/>
      <c r="I1022" s="10" t="s">
        <v>6542</v>
      </c>
      <c r="J1022" s="25" t="e">
        <f>IF(shinsei_strtower07_prgo02_NAME="","",IF(shinsei_strtower07_prgo02_NINTEI_NO="","無","有"))</f>
        <v>#NAME?</v>
      </c>
      <c r="K1022" s="10" t="s">
        <v>2941</v>
      </c>
      <c r="L1022" s="10" t="s">
        <v>3879</v>
      </c>
    </row>
    <row r="1023" spans="2:12" s="10" customFormat="1" ht="18" customHeight="1">
      <c r="C1023" s="12" t="s">
        <v>3960</v>
      </c>
      <c r="D1023" s="12"/>
      <c r="G1023" s="9" t="s">
        <v>6543</v>
      </c>
      <c r="H1023" s="13"/>
      <c r="K1023" s="10" t="s">
        <v>3862</v>
      </c>
      <c r="L1023" s="10" t="s">
        <v>3879</v>
      </c>
    </row>
    <row r="1024" spans="2:12" s="10" customFormat="1" ht="18" customHeight="1">
      <c r="C1024" s="12" t="s">
        <v>3964</v>
      </c>
      <c r="D1024" s="12"/>
      <c r="G1024" s="9" t="s">
        <v>6544</v>
      </c>
      <c r="H1024" s="74"/>
      <c r="I1024" s="10" t="s">
        <v>6545</v>
      </c>
      <c r="J1024" s="25" t="e">
        <f>IF(shinsei_strtower07_prgo02_NINTEI_DATE="","",shinsei_strtower07_prgo02_NINTEI_DATE)</f>
        <v>#NAME?</v>
      </c>
    </row>
    <row r="1025" spans="2:12" s="10" customFormat="1" ht="18" customHeight="1">
      <c r="C1025" s="12" t="s">
        <v>3967</v>
      </c>
      <c r="D1025" s="12"/>
      <c r="G1025" s="9" t="s">
        <v>6546</v>
      </c>
      <c r="H1025" s="13"/>
    </row>
    <row r="1026" spans="2:12" s="10" customFormat="1" ht="18" customHeight="1">
      <c r="C1026" s="12" t="s">
        <v>3970</v>
      </c>
      <c r="D1026" s="12"/>
      <c r="G1026" s="9"/>
      <c r="H1026" s="12"/>
      <c r="I1026" s="9" t="s">
        <v>6547</v>
      </c>
      <c r="J1026" s="25" t="e">
        <f>IF(shinsei_strtower07_prgo02_NAME="","",shinsei_strtower07_prgo02_NAME)&amp;CHAR(10)&amp;IF(shinsei_strtower07_prgo02_VER="","","Ver."&amp;shinsei_strtower07_prgo02_VER&amp;CHAR(10))</f>
        <v>#NAME?</v>
      </c>
    </row>
    <row r="1027" spans="2:12" s="10" customFormat="1" ht="18" customHeight="1">
      <c r="C1027" s="12" t="s">
        <v>3972</v>
      </c>
      <c r="D1027" s="12"/>
      <c r="G1027" s="9"/>
      <c r="H1027" s="12"/>
      <c r="I1027" s="9" t="s">
        <v>6548</v>
      </c>
      <c r="J1027" s="25" t="e">
        <f>IF(shinsei_strtower07_prgo02_NAME="","",shinsei_strtower07_prgo02_NAME&amp;" ")&amp;IF(shinsei_strtower07_prgo02_VER="","","Ver."&amp;shinsei_strtower07_prgo02_VER&amp;"  ")</f>
        <v>#NAME?</v>
      </c>
    </row>
    <row r="1028" spans="2:12" s="10" customFormat="1" ht="18" customHeight="1">
      <c r="C1028" s="12" t="s">
        <v>3974</v>
      </c>
      <c r="D1028" s="12"/>
      <c r="G1028" s="9"/>
      <c r="H1028" s="12"/>
    </row>
    <row r="1029" spans="2:12" s="10" customFormat="1" ht="18" customHeight="1">
      <c r="D1029" s="12" t="s">
        <v>6376</v>
      </c>
      <c r="G1029" s="9"/>
      <c r="H1029" s="12"/>
      <c r="I1029" s="9" t="s">
        <v>6549</v>
      </c>
      <c r="J1029" s="173" t="e">
        <f>IF(cst_shinsei_strtower07_prgo02_NINTEI__umu="有",IF(shinsei_strtower07_prgo02_MAKER_NAME="","",shinsei_strtower07_prgo02_MAKER_NAME&amp;"  "),"")</f>
        <v>#NAME?</v>
      </c>
    </row>
    <row r="1030" spans="2:12" s="10" customFormat="1" ht="18" customHeight="1">
      <c r="D1030" s="12" t="s">
        <v>3972</v>
      </c>
      <c r="G1030" s="9"/>
      <c r="H1030" s="12"/>
      <c r="I1030" s="9" t="s">
        <v>6550</v>
      </c>
      <c r="J1030" s="25" t="e">
        <f>IF(cst_shinsei_strtower07_prgo02_NINTEI__umu="有",IF(shinsei_strtower07_prgo02_NAME="","",shinsei_strtower07_prgo02_NAME&amp;" ")&amp;IF(shinsei_strtower07_prgo02_VER="","","Ver."&amp;shinsei_strtower07_prgo02_VER&amp;"  "),"")</f>
        <v>#NAME?</v>
      </c>
    </row>
    <row r="1031" spans="2:12" s="10" customFormat="1" ht="18" customHeight="1">
      <c r="C1031" s="12" t="s">
        <v>3981</v>
      </c>
      <c r="D1031" s="12"/>
      <c r="G1031" s="9"/>
      <c r="H1031" s="12"/>
    </row>
    <row r="1032" spans="2:12" s="10" customFormat="1" ht="18" customHeight="1">
      <c r="D1032" s="12" t="s">
        <v>4749</v>
      </c>
      <c r="G1032" s="9"/>
      <c r="H1032" s="12"/>
      <c r="I1032" s="9" t="s">
        <v>6551</v>
      </c>
      <c r="J1032" s="173" t="e">
        <f>IF(cst_shinsei_strtower07_prgo02_NINTEI__umu="無",IF(shinsei_strtower07_prgo02_MAKER_NAME="","",shinsei_strtower07_prgo02_MAKER_NAME&amp;"  "),"")</f>
        <v>#NAME?</v>
      </c>
    </row>
    <row r="1033" spans="2:12" s="10" customFormat="1" ht="18" customHeight="1">
      <c r="D1033" s="12" t="s">
        <v>3972</v>
      </c>
      <c r="G1033" s="9"/>
      <c r="H1033" s="12"/>
      <c r="I1033" s="9" t="s">
        <v>6552</v>
      </c>
      <c r="J1033" s="25" t="e">
        <f>IF(cst_shinsei_strtower07_prgo02_NINTEI__umu="無",IF(shinsei_strtower07_prgo02_NAME="","",shinsei_strtower07_prgo02_NAME&amp;" ")&amp;IF(shinsei_strtower07_prgo02_VER="","","Ver."&amp;shinsei_strtower07_prgo02_VER&amp;"  "),"")</f>
        <v>#NAME?</v>
      </c>
    </row>
    <row r="1034" spans="2:12" s="10" customFormat="1" ht="18" customHeight="1">
      <c r="B1034" s="105" t="s">
        <v>6553</v>
      </c>
      <c r="C1034" s="105"/>
      <c r="D1034" s="105"/>
      <c r="E1034" s="24"/>
      <c r="F1034" s="24"/>
      <c r="G1034" s="9"/>
      <c r="H1034" s="12"/>
    </row>
    <row r="1035" spans="2:12" s="10" customFormat="1" ht="18" customHeight="1">
      <c r="C1035" s="10" t="s">
        <v>3951</v>
      </c>
      <c r="D1035" s="12"/>
      <c r="G1035" s="9" t="s">
        <v>6554</v>
      </c>
      <c r="H1035" s="13"/>
      <c r="K1035" s="10" t="s">
        <v>4860</v>
      </c>
      <c r="L1035" s="10" t="s">
        <v>3879</v>
      </c>
    </row>
    <row r="1036" spans="2:12" s="10" customFormat="1" ht="18" customHeight="1">
      <c r="C1036" s="12" t="s">
        <v>6555</v>
      </c>
      <c r="D1036" s="12"/>
      <c r="G1036" s="9" t="s">
        <v>6556</v>
      </c>
      <c r="H1036" s="13"/>
    </row>
    <row r="1037" spans="2:12" s="10" customFormat="1" ht="18" customHeight="1">
      <c r="C1037" s="12" t="s">
        <v>3957</v>
      </c>
      <c r="D1037" s="12"/>
      <c r="G1037" s="9"/>
      <c r="H1037" s="9"/>
      <c r="I1037" s="10" t="s">
        <v>6557</v>
      </c>
      <c r="J1037" s="25" t="e">
        <f>IF(shinsei_strtower07_prgo03_NAME="","",IF(shinsei_strtower07_prgo03_NINTEI_NO="","無","有"))</f>
        <v>#NAME?</v>
      </c>
      <c r="K1037" s="10" t="s">
        <v>2941</v>
      </c>
      <c r="L1037" s="10" t="s">
        <v>3879</v>
      </c>
    </row>
    <row r="1038" spans="2:12" s="10" customFormat="1" ht="18" customHeight="1">
      <c r="C1038" s="12" t="s">
        <v>3960</v>
      </c>
      <c r="D1038" s="12"/>
      <c r="G1038" s="9" t="s">
        <v>6558</v>
      </c>
      <c r="H1038" s="13"/>
      <c r="K1038" s="10" t="s">
        <v>3862</v>
      </c>
      <c r="L1038" s="10" t="s">
        <v>3879</v>
      </c>
    </row>
    <row r="1039" spans="2:12" s="10" customFormat="1" ht="18" customHeight="1">
      <c r="C1039" s="12" t="s">
        <v>3964</v>
      </c>
      <c r="D1039" s="12"/>
      <c r="G1039" s="9" t="s">
        <v>6559</v>
      </c>
      <c r="H1039" s="74"/>
      <c r="I1039" s="10" t="s">
        <v>6560</v>
      </c>
      <c r="J1039" s="25" t="e">
        <f>IF(shinsei_strtower07_prgo03_NINTEI_DATE="","",TEXT(shinsei_strtower07_prgo03_NINTEI_DATE,"ggge年m月d日")&amp;"  ")</f>
        <v>#NAME?</v>
      </c>
    </row>
    <row r="1040" spans="2:12" s="10" customFormat="1" ht="18" customHeight="1">
      <c r="C1040" s="12" t="s">
        <v>3967</v>
      </c>
      <c r="D1040" s="12"/>
      <c r="G1040" s="9" t="s">
        <v>6561</v>
      </c>
      <c r="H1040" s="13"/>
      <c r="I1040" s="9"/>
      <c r="J1040" s="9"/>
    </row>
    <row r="1041" spans="2:12" s="10" customFormat="1" ht="18" customHeight="1">
      <c r="C1041" s="12" t="s">
        <v>3970</v>
      </c>
      <c r="D1041" s="12"/>
      <c r="G1041" s="9"/>
      <c r="H1041" s="12"/>
      <c r="I1041" s="9" t="s">
        <v>6562</v>
      </c>
      <c r="J1041" s="25" t="e">
        <f>IF(shinsei_strtower07_prgo03_NAME="","",shinsei_strtower07_prgo03_NAME)&amp;CHAR(10)&amp;IF(shinsei_strtower07_prgo03_VER="","","Ver."&amp;shinsei_strtower07_prgo03_VER&amp;CHAR(10))</f>
        <v>#NAME?</v>
      </c>
    </row>
    <row r="1042" spans="2:12" s="10" customFormat="1" ht="18" customHeight="1">
      <c r="C1042" s="12" t="s">
        <v>3972</v>
      </c>
      <c r="D1042" s="12"/>
      <c r="G1042" s="9"/>
      <c r="H1042" s="12"/>
      <c r="I1042" s="9" t="s">
        <v>6563</v>
      </c>
      <c r="J1042" s="25" t="e">
        <f>IF(shinsei_strtower07_prgo03_NAME="","",shinsei_strtower07_prgo03_NAME&amp;" ")&amp;IF(shinsei_strtower07_prgo03_VER="","","Ver."&amp;shinsei_strtower07_prgo03_VER&amp;"  ")</f>
        <v>#NAME?</v>
      </c>
    </row>
    <row r="1043" spans="2:12" s="10" customFormat="1" ht="18" customHeight="1">
      <c r="C1043" s="12" t="s">
        <v>3974</v>
      </c>
      <c r="D1043" s="12"/>
      <c r="G1043" s="9"/>
      <c r="H1043" s="12"/>
    </row>
    <row r="1044" spans="2:12" s="10" customFormat="1" ht="18" customHeight="1">
      <c r="D1044" s="12" t="s">
        <v>6392</v>
      </c>
      <c r="G1044" s="9"/>
      <c r="H1044" s="12"/>
      <c r="I1044" s="9" t="s">
        <v>6564</v>
      </c>
      <c r="J1044" s="173" t="e">
        <f>IF(cst_shinsei_strtower07_prgo03_NINTEI__umu="有",IF(shinsei_strtower07_prgo03_MAKER_NAME="","",shinsei_strtower07_prgo03_MAKER_NAME&amp;"  "),"")</f>
        <v>#NAME?</v>
      </c>
    </row>
    <row r="1045" spans="2:12" s="10" customFormat="1" ht="18" customHeight="1">
      <c r="D1045" s="12" t="s">
        <v>3972</v>
      </c>
      <c r="G1045" s="9"/>
      <c r="H1045" s="12"/>
      <c r="I1045" s="9" t="s">
        <v>6565</v>
      </c>
      <c r="J1045" s="25" t="e">
        <f>IF(cst_shinsei_strtower07_prgo03_NINTEI__umu="有",IF(shinsei_strtower07_prgo03_NAME="","",shinsei_strtower07_prgo03_NAME&amp;" ")&amp;IF(shinsei_strtower07_prgo03_VER="","","Ver."&amp;shinsei_strtower07_prgo03_VER&amp;"  "),"")</f>
        <v>#NAME?</v>
      </c>
    </row>
    <row r="1046" spans="2:12" s="10" customFormat="1" ht="18" customHeight="1">
      <c r="C1046" s="12" t="s">
        <v>3981</v>
      </c>
      <c r="D1046" s="12"/>
      <c r="G1046" s="9"/>
      <c r="H1046" s="12"/>
    </row>
    <row r="1047" spans="2:12" s="10" customFormat="1" ht="18" customHeight="1">
      <c r="D1047" s="12" t="s">
        <v>6566</v>
      </c>
      <c r="G1047" s="9"/>
      <c r="H1047" s="12"/>
      <c r="I1047" s="9" t="s">
        <v>6567</v>
      </c>
      <c r="J1047" s="173" t="e">
        <f>IF(cst_shinsei_strtower07_prgo03_NINTEI__umu="無",IF(shinsei_strtower07_prgo03_MAKER_NAME="","",shinsei_strtower07_prgo03_MAKER_NAME&amp;"  "),"")</f>
        <v>#NAME?</v>
      </c>
    </row>
    <row r="1048" spans="2:12" s="10" customFormat="1" ht="18" customHeight="1">
      <c r="D1048" s="12" t="s">
        <v>3972</v>
      </c>
      <c r="G1048" s="9"/>
      <c r="H1048" s="12"/>
      <c r="I1048" s="9" t="s">
        <v>6568</v>
      </c>
      <c r="J1048" s="25" t="e">
        <f>IF(cst_shinsei_strtower07_prgo03_NINTEI__umu="無",IF(shinsei_strtower07_prgo03_NAME="","",shinsei_strtower07_prgo03_NAME&amp;" ")&amp;IF(shinsei_strtower07_prgo03_VER="","","Ver."&amp;shinsei_strtower07_prgo03_VER&amp;"  "),"")</f>
        <v>#NAME?</v>
      </c>
    </row>
    <row r="1049" spans="2:12" s="10" customFormat="1" ht="18" customHeight="1">
      <c r="B1049" s="105" t="s">
        <v>6569</v>
      </c>
      <c r="C1049" s="105"/>
      <c r="D1049" s="105"/>
      <c r="E1049" s="24"/>
      <c r="F1049" s="24"/>
      <c r="G1049" s="9"/>
      <c r="H1049" s="12"/>
    </row>
    <row r="1050" spans="2:12" s="10" customFormat="1" ht="18" customHeight="1">
      <c r="C1050" s="10" t="s">
        <v>3951</v>
      </c>
      <c r="D1050" s="12"/>
      <c r="G1050" s="9" t="s">
        <v>6570</v>
      </c>
      <c r="H1050" s="13"/>
      <c r="K1050" s="10" t="s">
        <v>6571</v>
      </c>
      <c r="L1050" s="10" t="s">
        <v>3879</v>
      </c>
    </row>
    <row r="1051" spans="2:12" s="10" customFormat="1" ht="18" customHeight="1">
      <c r="C1051" s="12" t="s">
        <v>6572</v>
      </c>
      <c r="D1051" s="12"/>
      <c r="G1051" s="9" t="s">
        <v>6573</v>
      </c>
      <c r="H1051" s="13"/>
    </row>
    <row r="1052" spans="2:12" s="10" customFormat="1" ht="18" customHeight="1">
      <c r="C1052" s="12" t="s">
        <v>3957</v>
      </c>
      <c r="D1052" s="12"/>
      <c r="G1052" s="9"/>
      <c r="H1052" s="9"/>
      <c r="I1052" s="10" t="s">
        <v>6574</v>
      </c>
      <c r="J1052" s="25" t="e">
        <f>IF(shinsei_strtower07_prgo04_NAME="","",IF(shinsei_strtower07_prgo04_NINTEI_NO="","無","有"))</f>
        <v>#NAME?</v>
      </c>
      <c r="K1052" s="10" t="s">
        <v>2941</v>
      </c>
      <c r="L1052" s="10" t="s">
        <v>3879</v>
      </c>
    </row>
    <row r="1053" spans="2:12" s="10" customFormat="1" ht="18" customHeight="1">
      <c r="C1053" s="12" t="s">
        <v>3960</v>
      </c>
      <c r="D1053" s="12"/>
      <c r="G1053" s="9" t="s">
        <v>6575</v>
      </c>
      <c r="H1053" s="13"/>
      <c r="K1053" s="10" t="s">
        <v>3862</v>
      </c>
      <c r="L1053" s="10" t="s">
        <v>3879</v>
      </c>
    </row>
    <row r="1054" spans="2:12" s="10" customFormat="1" ht="18" customHeight="1">
      <c r="C1054" s="12" t="s">
        <v>3964</v>
      </c>
      <c r="D1054" s="12"/>
      <c r="G1054" s="9" t="s">
        <v>6576</v>
      </c>
      <c r="H1054" s="74"/>
      <c r="I1054" s="10" t="s">
        <v>6577</v>
      </c>
      <c r="J1054" s="25" t="e">
        <f>IF(shinsei_strtower07_prgo04_NINTEI_DATE="","",TEXT(shinsei_strtower07_prgo04_NINTEI_DATE,"ggge年m月d日")&amp;"  ")</f>
        <v>#NAME?</v>
      </c>
    </row>
    <row r="1055" spans="2:12" s="10" customFormat="1" ht="18" customHeight="1">
      <c r="C1055" s="12" t="s">
        <v>6578</v>
      </c>
      <c r="D1055" s="12"/>
      <c r="G1055" s="9" t="s">
        <v>6579</v>
      </c>
      <c r="H1055" s="13"/>
      <c r="I1055" s="9"/>
      <c r="J1055" s="9"/>
    </row>
    <row r="1056" spans="2:12" s="10" customFormat="1" ht="18" customHeight="1">
      <c r="C1056" s="12" t="s">
        <v>3970</v>
      </c>
      <c r="D1056" s="12"/>
      <c r="G1056" s="9"/>
      <c r="H1056" s="12"/>
      <c r="I1056" s="9" t="s">
        <v>6580</v>
      </c>
      <c r="J1056" s="25" t="e">
        <f>IF(shinsei_strtower07_prgo04_NAME="","",shinsei_strtower07_prgo04_NAME)&amp;CHAR(10)&amp;IF(shinsei_strtower07_prgo04_VER="","","Ver."&amp;shinsei_strtower07_prgo04_VER&amp;CHAR(10))</f>
        <v>#NAME?</v>
      </c>
    </row>
    <row r="1057" spans="2:12" s="10" customFormat="1" ht="18" customHeight="1">
      <c r="C1057" s="12" t="s">
        <v>3972</v>
      </c>
      <c r="D1057" s="12"/>
      <c r="G1057" s="9"/>
      <c r="H1057" s="12"/>
      <c r="I1057" s="9" t="s">
        <v>6581</v>
      </c>
      <c r="J1057" s="25" t="e">
        <f>IF(shinsei_strtower07_prgo04_NAME="","",shinsei_strtower07_prgo04_NAME&amp;" ")&amp;IF(shinsei_strtower07_prgo04_VER="","","Ver."&amp;shinsei_strtower07_prgo04_VER&amp;"  ")</f>
        <v>#NAME?</v>
      </c>
    </row>
    <row r="1058" spans="2:12" s="10" customFormat="1" ht="18" customHeight="1">
      <c r="C1058" s="12" t="s">
        <v>3974</v>
      </c>
      <c r="D1058" s="12"/>
      <c r="G1058" s="9"/>
      <c r="H1058" s="12"/>
    </row>
    <row r="1059" spans="2:12" s="10" customFormat="1" ht="18" customHeight="1">
      <c r="D1059" s="12" t="s">
        <v>3975</v>
      </c>
      <c r="G1059" s="9"/>
      <c r="H1059" s="12"/>
      <c r="I1059" s="9" t="s">
        <v>6582</v>
      </c>
      <c r="J1059" s="173" t="e">
        <f>IF(cst_shinsei_strtower07_prgo04_NINTEI__umu="有",IF(shinsei_strtower07_prgo04_MAKER_NAME="","",shinsei_strtower07_prgo04_MAKER_NAME&amp;"  "),"")</f>
        <v>#NAME?</v>
      </c>
    </row>
    <row r="1060" spans="2:12" s="10" customFormat="1" ht="18" customHeight="1">
      <c r="D1060" s="12" t="s">
        <v>3972</v>
      </c>
      <c r="G1060" s="9"/>
      <c r="H1060" s="12"/>
      <c r="I1060" s="9" t="s">
        <v>6583</v>
      </c>
      <c r="J1060" s="25" t="e">
        <f>IF(cst_shinsei_strtower07_prgo04_NINTEI__umu="有",IF(shinsei_strtower07_prgo04_NAME="","",shinsei_strtower07_prgo04_NAME&amp;" ")&amp;IF(shinsei_strtower07_prgo04_VER="","","Ver."&amp;shinsei_strtower07_prgo04_VER&amp;"  "),"")</f>
        <v>#NAME?</v>
      </c>
    </row>
    <row r="1061" spans="2:12" s="10" customFormat="1" ht="18" customHeight="1">
      <c r="C1061" s="12" t="s">
        <v>3981</v>
      </c>
      <c r="D1061" s="12"/>
      <c r="G1061" s="9"/>
      <c r="H1061" s="12"/>
    </row>
    <row r="1062" spans="2:12" s="10" customFormat="1" ht="18" customHeight="1">
      <c r="D1062" s="12" t="s">
        <v>3975</v>
      </c>
      <c r="G1062" s="9"/>
      <c r="H1062" s="12"/>
      <c r="I1062" s="9" t="s">
        <v>6584</v>
      </c>
      <c r="J1062" s="173" t="e">
        <f>IF(cst_shinsei_strtower07_prgo04_NINTEI__umu="無",IF(shinsei_strtower07_prgo04_MAKER_NAME="","",shinsei_strtower07_prgo04_MAKER_NAME&amp;"  "),"")</f>
        <v>#NAME?</v>
      </c>
    </row>
    <row r="1063" spans="2:12" s="10" customFormat="1" ht="18" customHeight="1">
      <c r="D1063" s="12" t="s">
        <v>3972</v>
      </c>
      <c r="G1063" s="9"/>
      <c r="H1063" s="12"/>
      <c r="I1063" s="9" t="s">
        <v>6585</v>
      </c>
      <c r="J1063" s="25" t="e">
        <f>IF(cst_shinsei_strtower07_prgo04_NINTEI__umu="無",IF(shinsei_strtower07_prgo04_NAME="","",shinsei_strtower07_prgo04_NAME&amp;" ")&amp;IF(shinsei_strtower07_prgo04_VER="","","Ver."&amp;shinsei_strtower07_prgo04_VER&amp;"  "),"")</f>
        <v>#NAME?</v>
      </c>
    </row>
    <row r="1064" spans="2:12" s="10" customFormat="1" ht="18" customHeight="1">
      <c r="B1064" s="105" t="s">
        <v>4049</v>
      </c>
      <c r="C1064" s="105"/>
      <c r="D1064" s="105"/>
      <c r="E1064" s="24"/>
      <c r="F1064" s="24"/>
      <c r="G1064" s="9"/>
      <c r="H1064" s="12"/>
    </row>
    <row r="1065" spans="2:12" s="10" customFormat="1" ht="18" customHeight="1">
      <c r="C1065" s="10" t="s">
        <v>3951</v>
      </c>
      <c r="D1065" s="12"/>
      <c r="G1065" s="9" t="s">
        <v>6586</v>
      </c>
      <c r="H1065" s="13"/>
      <c r="K1065" s="10" t="s">
        <v>3862</v>
      </c>
      <c r="L1065" s="10" t="s">
        <v>3879</v>
      </c>
    </row>
    <row r="1066" spans="2:12" s="10" customFormat="1" ht="18" customHeight="1">
      <c r="C1066" s="12" t="s">
        <v>3954</v>
      </c>
      <c r="D1066" s="12"/>
      <c r="G1066" s="9" t="s">
        <v>6587</v>
      </c>
      <c r="H1066" s="13"/>
    </row>
    <row r="1067" spans="2:12" s="10" customFormat="1" ht="18" customHeight="1">
      <c r="C1067" s="12" t="s">
        <v>3957</v>
      </c>
      <c r="D1067" s="12"/>
      <c r="G1067" s="9"/>
      <c r="H1067" s="9"/>
      <c r="I1067" s="10" t="s">
        <v>6588</v>
      </c>
      <c r="J1067" s="25" t="e">
        <f>IF(shinsei_strtower07_prgo05_NAME="","",IF(shinsei_strtower07_prgo05_NINTEI_NO="","無","有"))</f>
        <v>#NAME?</v>
      </c>
      <c r="K1067" s="10" t="s">
        <v>2941</v>
      </c>
      <c r="L1067" s="10" t="s">
        <v>3879</v>
      </c>
    </row>
    <row r="1068" spans="2:12" s="10" customFormat="1" ht="18" customHeight="1">
      <c r="C1068" s="12" t="s">
        <v>3960</v>
      </c>
      <c r="D1068" s="12"/>
      <c r="G1068" s="9" t="s">
        <v>6589</v>
      </c>
      <c r="H1068" s="13"/>
      <c r="K1068" s="10" t="s">
        <v>3862</v>
      </c>
      <c r="L1068" s="10" t="s">
        <v>3879</v>
      </c>
    </row>
    <row r="1069" spans="2:12" s="10" customFormat="1" ht="18" customHeight="1">
      <c r="C1069" s="12" t="s">
        <v>3964</v>
      </c>
      <c r="D1069" s="12"/>
      <c r="G1069" s="9" t="s">
        <v>6590</v>
      </c>
      <c r="H1069" s="74"/>
      <c r="I1069" s="10" t="s">
        <v>6591</v>
      </c>
      <c r="J1069" s="25" t="e">
        <f>IF(shinsei_strtower07_prgo05_NINTEI_DATE="","",TEXT(shinsei_strtower07_prgo05_NINTEI_DATE,"ggge年m月d日")&amp;"  ")</f>
        <v>#NAME?</v>
      </c>
    </row>
    <row r="1070" spans="2:12" s="10" customFormat="1" ht="18" customHeight="1">
      <c r="C1070" s="12" t="s">
        <v>3967</v>
      </c>
      <c r="D1070" s="12"/>
      <c r="G1070" s="9" t="s">
        <v>6592</v>
      </c>
      <c r="H1070" s="13"/>
    </row>
    <row r="1071" spans="2:12" s="10" customFormat="1" ht="18" customHeight="1">
      <c r="C1071" s="12" t="s">
        <v>3970</v>
      </c>
      <c r="D1071" s="12"/>
      <c r="G1071" s="9"/>
      <c r="H1071" s="12"/>
      <c r="I1071" s="9" t="s">
        <v>6593</v>
      </c>
      <c r="J1071" s="25" t="e">
        <f>IF(shinsei_strtower07_prgo05_NAME="","",shinsei_strtower07_prgo05_NAME)&amp;CHAR(10)&amp;IF(shinsei_strtower07_prgo05_VER="","","Ver."&amp;shinsei_strtower07_prgo05_VER&amp;CHAR(10))</f>
        <v>#NAME?</v>
      </c>
    </row>
    <row r="1072" spans="2:12" s="10" customFormat="1" ht="18" customHeight="1">
      <c r="C1072" s="12" t="s">
        <v>3972</v>
      </c>
      <c r="D1072" s="12"/>
      <c r="G1072" s="9"/>
      <c r="H1072" s="12"/>
      <c r="I1072" s="9" t="s">
        <v>6594</v>
      </c>
      <c r="J1072" s="25" t="e">
        <f>IF(shinsei_strtower07_prgo05_NAME="","",shinsei_strtower07_prgo05_NAME&amp;" ")&amp;IF(shinsei_strtower07_prgo05_VER="","","Ver."&amp;shinsei_strtower07_prgo05_VER&amp;"  ")</f>
        <v>#NAME?</v>
      </c>
    </row>
    <row r="1073" spans="2:10" s="10" customFormat="1" ht="18" customHeight="1">
      <c r="C1073" s="12" t="s">
        <v>3974</v>
      </c>
      <c r="D1073" s="12"/>
      <c r="G1073" s="9"/>
      <c r="H1073" s="12"/>
    </row>
    <row r="1074" spans="2:10" s="10" customFormat="1" ht="18" customHeight="1">
      <c r="D1074" s="12" t="s">
        <v>6376</v>
      </c>
      <c r="G1074" s="9"/>
      <c r="H1074" s="12"/>
      <c r="I1074" s="9" t="s">
        <v>6595</v>
      </c>
      <c r="J1074" s="173" t="e">
        <f>IF(cst_shinsei_strtower07_prgo05_NINTEI__umu="有",IF(shinsei_strtower07_prgo05_MAKER_NAME="","",shinsei_strtower07_prgo05_MAKER_NAME&amp;"  "),"")</f>
        <v>#NAME?</v>
      </c>
    </row>
    <row r="1075" spans="2:10" s="10" customFormat="1" ht="18" customHeight="1">
      <c r="D1075" s="12" t="s">
        <v>3972</v>
      </c>
      <c r="G1075" s="9"/>
      <c r="H1075" s="12"/>
      <c r="I1075" s="9" t="s">
        <v>6596</v>
      </c>
      <c r="J1075" s="25" t="e">
        <f>IF(cst_shinsei_strtower07_prgo05_NINTEI__umu="有",IF(shinsei_strtower07_prgo05_NAME="","",shinsei_strtower07_prgo05_NAME&amp;" ")&amp;IF(shinsei_strtower07_prgo05_VER="","","Ver."&amp;shinsei_strtower07_prgo05_VER&amp;"  "),"")</f>
        <v>#NAME?</v>
      </c>
    </row>
    <row r="1076" spans="2:10" s="10" customFormat="1" ht="18" customHeight="1">
      <c r="C1076" s="12" t="s">
        <v>3981</v>
      </c>
      <c r="D1076" s="12"/>
      <c r="G1076" s="9"/>
      <c r="H1076" s="12"/>
    </row>
    <row r="1077" spans="2:10" s="10" customFormat="1" ht="18" customHeight="1">
      <c r="D1077" s="12" t="s">
        <v>3975</v>
      </c>
      <c r="G1077" s="9"/>
      <c r="H1077" s="12"/>
      <c r="I1077" s="9" t="s">
        <v>6597</v>
      </c>
      <c r="J1077" s="173" t="e">
        <f>IF(cst_shinsei_strtower07_prgo05_NINTEI__umu="無",IF(shinsei_strtower07_prgo05_MAKER_NAME="","",shinsei_strtower07_prgo05_MAKER_NAME&amp;"  "),"")</f>
        <v>#NAME?</v>
      </c>
    </row>
    <row r="1078" spans="2:10" s="10" customFormat="1" ht="18" customHeight="1">
      <c r="D1078" s="12" t="s">
        <v>3972</v>
      </c>
      <c r="G1078" s="9"/>
      <c r="H1078" s="12"/>
      <c r="I1078" s="9" t="s">
        <v>6598</v>
      </c>
      <c r="J1078" s="25" t="e">
        <f>IF(cst_shinsei_strtower07_prgo05_NINTEI__umu="無",IF(shinsei_strtower07_prgo05_NAME="","",shinsei_strtower07_prgo05_NAME&amp;" ")&amp;IF(shinsei_strtower07_prgo05_VER="","","Ver."&amp;shinsei_strtower07_prgo05_VER&amp;"  "),"")</f>
        <v>#NAME?</v>
      </c>
    </row>
    <row r="1079" spans="2:10" s="10" customFormat="1" ht="18" customHeight="1">
      <c r="B1079" s="13" t="s">
        <v>3827</v>
      </c>
      <c r="C1079" s="13"/>
      <c r="D1079" s="13"/>
      <c r="E1079" s="25"/>
      <c r="F1079" s="25"/>
      <c r="G1079" s="9"/>
      <c r="H1079" s="80"/>
      <c r="I1079" s="9"/>
      <c r="J1079" s="80"/>
    </row>
    <row r="1080" spans="2:10" s="10" customFormat="1" ht="18" customHeight="1">
      <c r="C1080" s="12" t="s">
        <v>3970</v>
      </c>
      <c r="D1080" s="12"/>
      <c r="G1080" s="9"/>
      <c r="H1080" s="80"/>
      <c r="I1080" s="166" t="s">
        <v>6599</v>
      </c>
      <c r="J1080" s="74" t="e">
        <f>cst_shinsei_strtower07_prgo01_NAME_VER&amp;cst_shinsei_strtower07_prgo02_NAME_VER&amp;cst_shinsei_strtower07_prgo03_NAME_VER&amp;cst_shinsei_strtower07_prgo04_NAME_VER&amp;cst_shinsei_strtower07_prgo05_NAME_VER</f>
        <v>#NAME?</v>
      </c>
    </row>
    <row r="1081" spans="2:10" s="10" customFormat="1" ht="18" customHeight="1">
      <c r="C1081" s="12" t="s">
        <v>3972</v>
      </c>
      <c r="D1081" s="12"/>
      <c r="G1081" s="9"/>
      <c r="H1081" s="80"/>
      <c r="I1081" s="166" t="s">
        <v>6600</v>
      </c>
      <c r="J1081" s="74" t="e">
        <f>cst_shinsei_strtower07_prgo01_NAME_VER__SP&amp;cst_shinsei_strtower07_prgo02_NAME_VER__SP&amp;cst_shinsei_strtower07_prgo03_NAME_VER__SP&amp;cst_shinsei_strtower07_prgo04_NAME_VER__SP&amp;cst_shinsei_strtower07_prgo05_NAME_VER__SP</f>
        <v>#NAME?</v>
      </c>
    </row>
    <row r="1082" spans="2:10" s="10" customFormat="1" ht="18" customHeight="1">
      <c r="B1082" s="13" t="s">
        <v>4068</v>
      </c>
      <c r="C1082" s="13"/>
      <c r="D1082" s="13"/>
      <c r="E1082" s="25"/>
      <c r="F1082" s="25"/>
      <c r="G1082" s="9"/>
      <c r="H1082" s="80"/>
      <c r="I1082" s="9"/>
      <c r="J1082" s="80"/>
    </row>
    <row r="1083" spans="2:10" s="10" customFormat="1" ht="18" customHeight="1">
      <c r="C1083" s="12" t="s">
        <v>3976</v>
      </c>
      <c r="D1083" s="12"/>
      <c r="G1083" s="9"/>
      <c r="H1083" s="80"/>
      <c r="I1083" s="166" t="s">
        <v>6601</v>
      </c>
      <c r="J1083" s="74" t="e">
        <f>cst_shinsei_strtower07_prgo01_MAKER__NINTEI_ari&amp;cst_shinsei_strtower07_prgo02_MAKER__NINTEI_ari&amp;cst_shinsei_strtower07_prgo03_MAKER__NINTEI_ari&amp;cst_shinsei_strtower07_prgo04_MAKER__NINTEI_ari&amp;cst_shinsei_strtower07_prgo05_MAKER__NINTEI_ari</f>
        <v>#NAME?</v>
      </c>
    </row>
    <row r="1084" spans="2:10" s="10" customFormat="1" ht="18" customHeight="1">
      <c r="C1084" s="12" t="s">
        <v>3972</v>
      </c>
      <c r="D1084" s="12"/>
      <c r="G1084" s="9"/>
      <c r="H1084" s="80"/>
      <c r="I1084" s="166" t="s">
        <v>6602</v>
      </c>
      <c r="J1084" s="173" t="e">
        <f>cst_shinsei_strtower07_prgo01_NAME_VER__NINTEI_ari&amp;cst_shinsei_strtower07_prgo02_NAME_VER__NINTEI_ari&amp;cst_shinsei_strtower07_prgo03_NAME_VER__NINTEI_ari&amp;cst_shinsei_strtower07_prgo04_NAME_VER__NINTEI_ari&amp;cst_shinsei_strtower07_prgo05_NAME_VER__NINTEI_ari</f>
        <v>#NAME?</v>
      </c>
    </row>
    <row r="1085" spans="2:10" s="10" customFormat="1" ht="18" customHeight="1">
      <c r="C1085" s="12" t="s">
        <v>3964</v>
      </c>
      <c r="D1085" s="12"/>
      <c r="G1085" s="9"/>
      <c r="H1085" s="80"/>
      <c r="I1085" s="166" t="s">
        <v>6603</v>
      </c>
      <c r="J1085" s="74" t="e">
        <f>cst_shinsei_strtower07_prgo01_NINTEI_DATE_dsp&amp;cst_shinsei_strtower07_prgo02_NINTEI_DATE_dsp&amp;cst_shinsei_strtower07_prgo03_NINTEI_DATE_dsp&amp;cst_shinsei_strtower07_prgo04_NINTEI_DATE_dsp&amp;cst_shinsei_strtower07_prgo05_NINTEI_DATE_dsp</f>
        <v>#NAME?</v>
      </c>
    </row>
    <row r="1086" spans="2:10" s="10" customFormat="1" ht="18" customHeight="1">
      <c r="B1086" s="13" t="s">
        <v>4072</v>
      </c>
      <c r="C1086" s="13"/>
      <c r="D1086" s="13"/>
      <c r="E1086" s="25"/>
      <c r="F1086" s="25"/>
      <c r="G1086" s="9"/>
      <c r="H1086" s="80"/>
      <c r="I1086" s="9"/>
      <c r="J1086" s="80"/>
    </row>
    <row r="1087" spans="2:10" s="10" customFormat="1" ht="18" customHeight="1">
      <c r="C1087" s="12" t="s">
        <v>4749</v>
      </c>
      <c r="D1087" s="12"/>
      <c r="G1087" s="9"/>
      <c r="H1087" s="80"/>
      <c r="I1087" s="166" t="s">
        <v>6604</v>
      </c>
      <c r="J1087" s="74" t="e">
        <f>cst_shinsei_strtower07_prgo01_MAKER__NINTEI_non&amp;cst_shinsei_strtower07_prgo02_MAKER__NINTEI_non&amp;cst_shinsei_strtower07_prgo03_MAKER__NINTEI_non&amp;cst_shinsei_strtower07_prgo04_MAKER__NINTEI_non&amp;cst_shinsei_strtower07_prgo05_MAKER__NINTEI_non</f>
        <v>#NAME?</v>
      </c>
    </row>
    <row r="1088" spans="2:10" s="10" customFormat="1" ht="18" customHeight="1">
      <c r="C1088" s="12" t="s">
        <v>3972</v>
      </c>
      <c r="D1088" s="12"/>
      <c r="G1088" s="9"/>
      <c r="H1088" s="80"/>
      <c r="I1088" s="166" t="s">
        <v>6605</v>
      </c>
      <c r="J1088" s="173" t="e">
        <f>cst_shinsei_strtower07_prgo01_NAME_VER__NINTEI_non&amp;cst_shinsei_strtower07_prgo02_NAME_VER__NINTEI_non&amp;cst_shinsei_strtower07_prgo03_NAME_VER__NINTEI_non&amp;cst_shinsei_strtower07_prgo04_NAME_VER__NINTEI_non&amp;cst_shinsei_strtower07_prgo05_NAME_VER__NINTEI_non</f>
        <v>#NAME?</v>
      </c>
    </row>
    <row r="1089" spans="1:12" s="10" customFormat="1" ht="18" customHeight="1">
      <c r="B1089" s="12" t="s">
        <v>4075</v>
      </c>
      <c r="G1089" s="9" t="s">
        <v>6606</v>
      </c>
      <c r="H1089" s="20"/>
      <c r="I1089" s="9" t="s">
        <v>6607</v>
      </c>
      <c r="J1089" s="20" t="e">
        <f>IF(shinsei_strtower07_DISK_FLAG="","",IF(shinsei_strtower07_DISK_FLAG=1,"有","無"))</f>
        <v>#NAME?</v>
      </c>
    </row>
    <row r="1090" spans="1:12" s="10" customFormat="1" ht="18" customHeight="1">
      <c r="A1090" s="9"/>
      <c r="B1090" s="9" t="s">
        <v>2955</v>
      </c>
      <c r="C1090" s="9"/>
      <c r="D1090" s="9"/>
      <c r="E1090" s="9"/>
      <c r="F1090" s="9"/>
      <c r="G1090" s="9" t="s">
        <v>6608</v>
      </c>
      <c r="H1090" s="136"/>
      <c r="I1090" s="19" t="s">
        <v>6609</v>
      </c>
      <c r="J1090" s="171" t="e">
        <f>IF(shinsei_strtower07_CHARGE="","",shinsei_strtower07_CHARGE)</f>
        <v>#NAME?</v>
      </c>
      <c r="K1090" s="9" t="s">
        <v>2528</v>
      </c>
      <c r="L1090" s="9" t="s">
        <v>2528</v>
      </c>
    </row>
    <row r="1091" spans="1:12" ht="18" customHeight="1">
      <c r="A1091" s="149"/>
      <c r="B1091" s="149"/>
      <c r="C1091" s="149"/>
      <c r="D1091" s="149"/>
      <c r="E1091" s="12" t="s">
        <v>3907</v>
      </c>
      <c r="F1091" s="12"/>
      <c r="G1091" s="149"/>
      <c r="I1091" s="100" t="s">
        <v>6610</v>
      </c>
      <c r="J1091" s="171" t="e">
        <f>IF(shinsei_strtower07_CHARGE="","",TEXT(shinsei_strtower07_CHARGE,"#,##0_ ")&amp;"円")</f>
        <v>#NAME?</v>
      </c>
      <c r="K1091" s="9"/>
      <c r="L1091" s="9"/>
    </row>
    <row r="1092" spans="1:12" ht="18" customHeight="1">
      <c r="A1092" s="149"/>
      <c r="B1092" s="149" t="s">
        <v>3041</v>
      </c>
      <c r="C1092" s="149"/>
      <c r="D1092" s="149"/>
      <c r="E1092" s="149"/>
      <c r="F1092" s="149"/>
      <c r="G1092" s="149" t="s">
        <v>6611</v>
      </c>
      <c r="H1092" s="136"/>
      <c r="I1092" s="100" t="s">
        <v>6612</v>
      </c>
      <c r="J1092" s="136" t="e">
        <f>IF(shinsei_strtower07_CHARGE_WARIMASHI="","",shinsei_strtower07_CHARGE_WARIMASHI)</f>
        <v>#NAME?</v>
      </c>
      <c r="K1092" s="9" t="s">
        <v>2528</v>
      </c>
      <c r="L1092" s="9" t="s">
        <v>2528</v>
      </c>
    </row>
    <row r="1093" spans="1:12" ht="18" customHeight="1">
      <c r="A1093" s="149"/>
      <c r="B1093" s="149" t="s">
        <v>3043</v>
      </c>
      <c r="C1093" s="149"/>
      <c r="D1093" s="149"/>
      <c r="E1093" s="149"/>
      <c r="F1093" s="149"/>
      <c r="G1093" s="149" t="s">
        <v>6613</v>
      </c>
      <c r="H1093" s="136"/>
      <c r="I1093" s="100" t="s">
        <v>6614</v>
      </c>
      <c r="J1093" s="136" t="e">
        <f>IF(shinsei_strtower07_CHARGE_TOTAL="","",shinsei_strtower07_CHARGE_TOTAL)</f>
        <v>#NAME?</v>
      </c>
      <c r="K1093" s="9" t="s">
        <v>2528</v>
      </c>
      <c r="L1093" s="9" t="s">
        <v>2528</v>
      </c>
    </row>
    <row r="1094" spans="1:12" ht="18" customHeight="1">
      <c r="A1094" s="149"/>
      <c r="B1094" s="149" t="s">
        <v>5637</v>
      </c>
      <c r="C1094" s="149"/>
      <c r="D1094" s="149"/>
      <c r="E1094" s="149"/>
      <c r="F1094" s="149"/>
      <c r="G1094" s="149" t="s">
        <v>6615</v>
      </c>
      <c r="H1094" s="13"/>
      <c r="I1094" s="176" t="s">
        <v>6616</v>
      </c>
      <c r="J1094" s="20" t="e">
        <f>IF(shinsei_strtower07_CHARGE_KEISAN_NOTE="","",shinsei_strtower07_CHARGE_KEISAN_NOTE)</f>
        <v>#NAME?</v>
      </c>
      <c r="K1094" s="10" t="s">
        <v>4807</v>
      </c>
      <c r="L1094" s="10" t="s">
        <v>3879</v>
      </c>
    </row>
    <row r="1095" spans="1:12" ht="18" customHeight="1">
      <c r="A1095" s="149"/>
      <c r="B1095" s="149"/>
      <c r="C1095" s="149"/>
      <c r="D1095" s="149"/>
      <c r="E1095" s="149" t="s">
        <v>5640</v>
      </c>
      <c r="F1095" s="149"/>
      <c r="G1095" s="149"/>
      <c r="I1095" s="100" t="s">
        <v>6617</v>
      </c>
      <c r="J1095" s="20" t="e">
        <f>IF(shinsei_INSPECTION_TYPE="計画変更",IF(shinsei_strtower07_CHARGE="","","延べ面積×1/2により算出"),IF(shinsei_strtower07_CHARGE_KEISAN_NOTE="","",shinsei_strtower07_CHARGE_KEISAN_NOTE))</f>
        <v>#NAME?</v>
      </c>
    </row>
    <row r="1096" spans="1:12" ht="18" customHeight="1">
      <c r="A1096" s="149"/>
      <c r="B1096" s="149" t="s">
        <v>5642</v>
      </c>
      <c r="C1096" s="149"/>
      <c r="D1096" s="149"/>
      <c r="E1096" s="149"/>
      <c r="F1096" s="149"/>
      <c r="G1096" s="149" t="s">
        <v>6618</v>
      </c>
      <c r="H1096" s="13"/>
      <c r="I1096" s="149" t="s">
        <v>6619</v>
      </c>
      <c r="J1096" s="20" t="e">
        <f>IF(shinsei_strtower07_KEISAN_X_ROUTE="","",shinsei_strtower07_KEISAN_X_ROUTE)</f>
        <v>#NAME?</v>
      </c>
    </row>
    <row r="1097" spans="1:12" ht="18" customHeight="1">
      <c r="A1097" s="149"/>
      <c r="B1097" s="149" t="s">
        <v>5645</v>
      </c>
      <c r="C1097" s="149"/>
      <c r="D1097" s="149"/>
      <c r="E1097" s="149"/>
      <c r="F1097" s="149"/>
      <c r="G1097" s="149" t="s">
        <v>6620</v>
      </c>
      <c r="H1097" s="13"/>
      <c r="I1097" s="149" t="s">
        <v>6621</v>
      </c>
      <c r="J1097" s="20" t="e">
        <f>IF(shinsei_strtower07_KEISAN_Y_ROUTE="","",shinsei_strtower07_KEISAN_Y_ROUTE)</f>
        <v>#NAME?</v>
      </c>
    </row>
    <row r="1098" spans="1:12" ht="18" customHeight="1">
      <c r="A1098" s="149"/>
      <c r="B1098" s="149"/>
      <c r="C1098" s="149" t="s">
        <v>3805</v>
      </c>
      <c r="D1098" s="149"/>
      <c r="E1098" s="149"/>
      <c r="F1098" s="149"/>
      <c r="G1098" s="149"/>
      <c r="H1098" s="12"/>
      <c r="I1098" s="149" t="s">
        <v>6622</v>
      </c>
      <c r="J1098" s="20" t="e">
        <f>IF(AND(cst_shinsei_strtower07_KEISAN_X_ROUTE="3",cst_shinsei_strtower07_KEISAN_Y_ROUTE="3"),"■","□")</f>
        <v>#NAME?</v>
      </c>
    </row>
    <row r="1099" spans="1:12" ht="18" customHeight="1">
      <c r="A1099" s="149"/>
      <c r="B1099" s="149" t="s">
        <v>5650</v>
      </c>
      <c r="C1099" s="149"/>
      <c r="D1099" s="149"/>
      <c r="E1099" s="149"/>
      <c r="F1099" s="149"/>
      <c r="G1099" s="149" t="s">
        <v>6623</v>
      </c>
      <c r="H1099" s="13"/>
      <c r="I1099" s="149" t="s">
        <v>6624</v>
      </c>
      <c r="J1099" s="20" t="e">
        <f>IF(shinsei_strtower07_PROGRAM_KIND_SONOTA="","",shinsei_strtower07_PROGRAM_KIND_SONOTA)</f>
        <v>#NAME?</v>
      </c>
    </row>
    <row r="1100" spans="1:12" ht="18" customHeight="1">
      <c r="A1100" s="149"/>
      <c r="B1100" s="149"/>
      <c r="C1100" s="149"/>
      <c r="D1100" s="149"/>
      <c r="E1100" s="149"/>
      <c r="F1100" s="149"/>
      <c r="G1100" s="149"/>
      <c r="I1100" s="149"/>
    </row>
    <row r="1101" spans="1:12" s="10" customFormat="1" ht="18" customHeight="1">
      <c r="A1101" s="162" t="s">
        <v>6625</v>
      </c>
      <c r="B1101" s="162"/>
      <c r="C1101" s="162"/>
      <c r="D1101" s="162"/>
      <c r="E1101" s="163"/>
      <c r="F1101" s="163"/>
      <c r="G1101" s="164"/>
      <c r="H1101" s="165"/>
      <c r="I1101" s="9"/>
    </row>
    <row r="1102" spans="1:12" s="10" customFormat="1" ht="18" customHeight="1">
      <c r="A1102" s="12"/>
      <c r="B1102" s="12" t="s">
        <v>3859</v>
      </c>
      <c r="C1102" s="12"/>
      <c r="D1102" s="12"/>
      <c r="E1102" s="11"/>
      <c r="F1102" s="11"/>
      <c r="G1102" s="10" t="s">
        <v>6626</v>
      </c>
      <c r="H1102" s="13"/>
      <c r="I1102" s="19" t="s">
        <v>6627</v>
      </c>
      <c r="J1102" s="25" t="e">
        <f>IF(shinsei_strtower08_TOWER_NO="","",shinsei_strtower08_TOWER_NO)</f>
        <v>#NAME?</v>
      </c>
      <c r="K1102" s="10" t="s">
        <v>3862</v>
      </c>
    </row>
    <row r="1103" spans="1:12" s="10" customFormat="1" ht="18" customHeight="1">
      <c r="A1103" s="12"/>
      <c r="B1103" s="12" t="s">
        <v>3864</v>
      </c>
      <c r="C1103" s="12"/>
      <c r="D1103" s="12"/>
      <c r="E1103" s="11"/>
      <c r="F1103" s="11"/>
      <c r="G1103" s="9" t="s">
        <v>6628</v>
      </c>
      <c r="H1103" s="13"/>
      <c r="I1103" s="19" t="s">
        <v>6629</v>
      </c>
      <c r="J1103" s="25" t="e">
        <f>IF(shinsei_strtower08_STR_TOWER_NO="","",shinsei_strtower08_STR_TOWER_NO)</f>
        <v>#NAME?</v>
      </c>
      <c r="K1103" s="10" t="s">
        <v>3863</v>
      </c>
      <c r="L1103" s="10" t="s">
        <v>3879</v>
      </c>
    </row>
    <row r="1104" spans="1:12" s="166" customFormat="1" ht="18" customHeight="1">
      <c r="B1104" s="12" t="s">
        <v>3868</v>
      </c>
      <c r="I1104" s="9" t="s">
        <v>6630</v>
      </c>
      <c r="J1104" s="167" t="e">
        <f>CONCATENATE(cst_shinsei_strtower08_TOWER_NO," - ",cst_shinsei_strtower08_STR_TOWER_NO)</f>
        <v>#NAME?</v>
      </c>
    </row>
    <row r="1105" spans="1:12" s="166" customFormat="1" ht="18" customHeight="1">
      <c r="B1105" s="12" t="s">
        <v>3870</v>
      </c>
      <c r="I1105" s="9" t="s">
        <v>6631</v>
      </c>
      <c r="J1105" s="167" t="e">
        <f>CONCATENATE(cst_shinsei_strtower08_STR_TOWER_NO," ／ ",cst_shinsei_STR_SHINSEI_TOWERS)</f>
        <v>#NAME?</v>
      </c>
    </row>
    <row r="1106" spans="1:12" s="10" customFormat="1" ht="18" customHeight="1">
      <c r="A1106" s="12"/>
      <c r="B1106" s="12" t="s">
        <v>3872</v>
      </c>
      <c r="C1106" s="11"/>
      <c r="D1106" s="11"/>
      <c r="E1106" s="11"/>
      <c r="F1106" s="11"/>
      <c r="G1106" s="9" t="s">
        <v>6632</v>
      </c>
      <c r="H1106" s="13"/>
      <c r="I1106" s="9" t="s">
        <v>6633</v>
      </c>
      <c r="J1106" s="25" t="e">
        <f>IF(shinsei_strtower08_STR_TOWER_NAME="","",shinsei_strtower08_STR_TOWER_NAME)</f>
        <v>#NAME?</v>
      </c>
    </row>
    <row r="1107" spans="1:12" s="10" customFormat="1" ht="18" customHeight="1">
      <c r="A1107" s="12"/>
      <c r="B1107" s="12" t="s">
        <v>3875</v>
      </c>
      <c r="C1107" s="12"/>
      <c r="D1107" s="12"/>
      <c r="E1107" s="11"/>
      <c r="F1107" s="11"/>
      <c r="G1107" s="9" t="s">
        <v>6634</v>
      </c>
      <c r="H1107" s="20"/>
      <c r="I1107" s="20" t="s">
        <v>6635</v>
      </c>
      <c r="J1107" s="25" t="e">
        <f>IF(shinsei_strtower08_JUDGE="","",shinsei_strtower08_JUDGE)</f>
        <v>#NAME?</v>
      </c>
      <c r="K1107" s="10" t="s">
        <v>6636</v>
      </c>
      <c r="L1107" s="10" t="s">
        <v>3879</v>
      </c>
    </row>
    <row r="1108" spans="1:12" s="10" customFormat="1" ht="18" customHeight="1">
      <c r="A1108" s="12"/>
      <c r="B1108" s="12" t="s">
        <v>4441</v>
      </c>
      <c r="C1108" s="12"/>
      <c r="D1108" s="12"/>
      <c r="E1108" s="11"/>
      <c r="F1108" s="11"/>
      <c r="G1108" s="9" t="s">
        <v>6637</v>
      </c>
      <c r="H1108" s="13"/>
      <c r="I1108" s="9" t="s">
        <v>6638</v>
      </c>
      <c r="J1108" s="25" t="e">
        <f>IF(shinsei_strtower08_STR_TOWER_YOUTO_TEXT="","",shinsei_strtower08_STR_TOWER_YOUTO_TEXT)</f>
        <v>#NAME?</v>
      </c>
      <c r="K1108" s="10" t="s">
        <v>3862</v>
      </c>
      <c r="L1108" s="10" t="s">
        <v>3879</v>
      </c>
    </row>
    <row r="1109" spans="1:12" s="10" customFormat="1" ht="18" customHeight="1">
      <c r="A1109" s="12"/>
      <c r="B1109" s="12" t="s">
        <v>3790</v>
      </c>
      <c r="C1109" s="12"/>
      <c r="D1109" s="12"/>
      <c r="E1109" s="11"/>
      <c r="F1109" s="11"/>
      <c r="G1109" s="9" t="s">
        <v>6639</v>
      </c>
      <c r="H1109" s="13"/>
      <c r="I1109" s="9" t="s">
        <v>6640</v>
      </c>
      <c r="J1109" s="25" t="e">
        <f>IF(shinsei_strtower08_KOUJI_TEXT="","",shinsei_strtower08_KOUJI_TEXT)</f>
        <v>#NAME?</v>
      </c>
      <c r="K1109" s="10" t="s">
        <v>4860</v>
      </c>
      <c r="L1109" s="10" t="s">
        <v>3879</v>
      </c>
    </row>
    <row r="1110" spans="1:12" s="10" customFormat="1" ht="18" customHeight="1">
      <c r="A1110" s="12"/>
      <c r="B1110" s="12" t="s">
        <v>6641</v>
      </c>
      <c r="C1110" s="11"/>
      <c r="D1110" s="11"/>
      <c r="E1110" s="11"/>
      <c r="F1110" s="11"/>
      <c r="G1110" s="9" t="s">
        <v>6642</v>
      </c>
      <c r="H1110" s="13"/>
      <c r="I1110" s="9" t="s">
        <v>6643</v>
      </c>
      <c r="J1110" s="25" t="e">
        <f>IF(shinsei_strtower08_KOUZOU_TEXT="","",shinsei_strtower08_KOUZOU_TEXT)</f>
        <v>#NAME?</v>
      </c>
    </row>
    <row r="1111" spans="1:12" s="10" customFormat="1" ht="18" customHeight="1">
      <c r="A1111" s="12"/>
      <c r="B1111" s="12" t="s">
        <v>3888</v>
      </c>
      <c r="C1111" s="12"/>
      <c r="D1111" s="12"/>
      <c r="E1111" s="11"/>
      <c r="F1111" s="11"/>
      <c r="G1111" s="9" t="s">
        <v>6644</v>
      </c>
      <c r="H1111" s="13"/>
      <c r="I1111" s="9" t="s">
        <v>6645</v>
      </c>
      <c r="J1111" s="25" t="e">
        <f>IF(shinsei_strtower08_KOUZOU_TEXT="","",shinsei_strtower08_KOUZOU_TEXT)</f>
        <v>#NAME?</v>
      </c>
    </row>
    <row r="1112" spans="1:12" s="10" customFormat="1" ht="18" customHeight="1">
      <c r="A1112" s="12"/>
      <c r="B1112" s="12" t="s">
        <v>3893</v>
      </c>
      <c r="C1112" s="11"/>
      <c r="D1112" s="11"/>
      <c r="E1112" s="11"/>
      <c r="F1112" s="11"/>
      <c r="G1112" s="9" t="s">
        <v>6646</v>
      </c>
      <c r="H1112" s="13"/>
      <c r="I1112" s="9" t="s">
        <v>6647</v>
      </c>
      <c r="J1112" s="25" t="e">
        <f>IF(shinsei_strtower08_KOUZOU_KEISAN="","",shinsei_strtower08_KOUZOU_KEISAN)</f>
        <v>#NAME?</v>
      </c>
    </row>
    <row r="1113" spans="1:12" s="10" customFormat="1" ht="18" customHeight="1">
      <c r="A1113" s="12"/>
      <c r="B1113" s="12" t="s">
        <v>3893</v>
      </c>
      <c r="C1113" s="12"/>
      <c r="D1113" s="12"/>
      <c r="E1113" s="11"/>
      <c r="F1113" s="11"/>
      <c r="G1113" s="9" t="s">
        <v>6648</v>
      </c>
      <c r="H1113" s="13"/>
      <c r="I1113" s="10" t="s">
        <v>6649</v>
      </c>
      <c r="J1113" s="25" t="e">
        <f>IF(shinsei_strtower08_KOUZOU_KEISAN_TEXT="","",shinsei_strtower08_KOUZOU_KEISAN_TEXT)</f>
        <v>#NAME?</v>
      </c>
    </row>
    <row r="1114" spans="1:12" s="10" customFormat="1" ht="18" customHeight="1">
      <c r="A1114" s="12"/>
      <c r="B1114" s="12" t="s">
        <v>3902</v>
      </c>
      <c r="C1114" s="12"/>
      <c r="D1114" s="12"/>
      <c r="E1114" s="11"/>
      <c r="F1114" s="11"/>
      <c r="G1114" s="9" t="s">
        <v>6650</v>
      </c>
      <c r="H1114" s="65"/>
      <c r="I1114" s="19" t="s">
        <v>6651</v>
      </c>
      <c r="J1114" s="168" t="e">
        <f>IF(shinsei_strtower08_MENSEKI="","",shinsei_strtower08_MENSEKI)</f>
        <v>#NAME?</v>
      </c>
      <c r="K1114" s="10" t="s">
        <v>3906</v>
      </c>
      <c r="L1114" s="10" t="s">
        <v>3906</v>
      </c>
    </row>
    <row r="1115" spans="1:12" ht="18" customHeight="1">
      <c r="A1115" s="12"/>
      <c r="B1115" s="12"/>
      <c r="C1115" s="12"/>
      <c r="D1115" s="12"/>
      <c r="E1115" s="12" t="s">
        <v>3907</v>
      </c>
      <c r="F1115" s="12"/>
      <c r="G1115" s="9"/>
      <c r="H1115" s="9"/>
      <c r="I1115" s="9" t="s">
        <v>6652</v>
      </c>
      <c r="J1115" s="168" t="e">
        <f>IF(shinsei_strtower08_MENSEKI="","",TEXT(shinsei_strtower08_MENSEKI,"#,##0.00_ ")&amp;"㎡")</f>
        <v>#NAME?</v>
      </c>
    </row>
    <row r="1116" spans="1:12" s="10" customFormat="1" ht="18" customHeight="1">
      <c r="A1116" s="12"/>
      <c r="B1116" s="12" t="s">
        <v>4390</v>
      </c>
      <c r="C1116" s="12"/>
      <c r="D1116" s="12"/>
      <c r="E1116" s="11"/>
      <c r="F1116" s="11"/>
      <c r="G1116" s="9" t="s">
        <v>6653</v>
      </c>
      <c r="H1116" s="93"/>
      <c r="I1116" s="9" t="s">
        <v>6654</v>
      </c>
      <c r="J1116" s="170" t="e">
        <f>IF(shinsei_strtower08_MAX_TAKASA="","",shinsei_strtower08_MAX_TAKASA)</f>
        <v>#NAME?</v>
      </c>
      <c r="K1116" s="10" t="s">
        <v>3911</v>
      </c>
      <c r="L1116" s="10" t="s">
        <v>3911</v>
      </c>
    </row>
    <row r="1117" spans="1:12" s="10" customFormat="1" ht="18" customHeight="1">
      <c r="A1117" s="12"/>
      <c r="B1117" s="12" t="s">
        <v>4388</v>
      </c>
      <c r="C1117" s="11"/>
      <c r="D1117" s="11"/>
      <c r="E1117" s="11"/>
      <c r="F1117" s="11"/>
      <c r="G1117" s="9" t="s">
        <v>6655</v>
      </c>
      <c r="H1117" s="93"/>
      <c r="I1117" s="9" t="s">
        <v>6656</v>
      </c>
      <c r="J1117" s="170" t="e">
        <f>IF(shinsei_strtower08_MAX_NOKI_TAKASA="","",shinsei_strtower08_MAX_NOKI_TAKASA)</f>
        <v>#NAME?</v>
      </c>
    </row>
    <row r="1118" spans="1:12" s="10" customFormat="1" ht="18" customHeight="1">
      <c r="A1118" s="12"/>
      <c r="B1118" s="12" t="s">
        <v>3782</v>
      </c>
      <c r="C1118" s="12"/>
      <c r="D1118" s="12"/>
      <c r="E1118" s="11"/>
      <c r="F1118" s="11"/>
      <c r="G1118" s="9"/>
      <c r="H1118" s="9"/>
      <c r="I1118" s="9"/>
    </row>
    <row r="1119" spans="1:12" s="10" customFormat="1" ht="18" customHeight="1">
      <c r="A1119" s="12"/>
      <c r="B1119" s="12"/>
      <c r="C1119" s="11" t="s">
        <v>3783</v>
      </c>
      <c r="D1119" s="12"/>
      <c r="G1119" s="9" t="s">
        <v>6657</v>
      </c>
      <c r="H1119" s="136"/>
      <c r="I1119" s="9" t="s">
        <v>6658</v>
      </c>
      <c r="J1119" s="171" t="e">
        <f>IF(shinsei_strtower08_KAISU_TIJYOU="","",shinsei_strtower08_KAISU_TIJYOU)</f>
        <v>#NAME?</v>
      </c>
      <c r="K1119" s="10" t="s">
        <v>3916</v>
      </c>
      <c r="L1119" s="10" t="s">
        <v>3916</v>
      </c>
    </row>
    <row r="1120" spans="1:12" s="10" customFormat="1" ht="18" customHeight="1">
      <c r="A1120" s="12"/>
      <c r="B1120" s="12"/>
      <c r="C1120" s="11" t="s">
        <v>3785</v>
      </c>
      <c r="D1120" s="12"/>
      <c r="G1120" s="9" t="s">
        <v>6659</v>
      </c>
      <c r="H1120" s="136"/>
      <c r="I1120" s="9" t="s">
        <v>5278</v>
      </c>
      <c r="J1120" s="171" t="e">
        <f>IF(shinsei_strtower08_KAISU_TIKA="","",shinsei_strtower08_KAISU_TIKA)</f>
        <v>#NAME?</v>
      </c>
      <c r="K1120" s="10" t="s">
        <v>3916</v>
      </c>
      <c r="L1120" s="10" t="s">
        <v>3916</v>
      </c>
    </row>
    <row r="1121" spans="1:12" s="10" customFormat="1" ht="18" customHeight="1">
      <c r="A1121" s="12"/>
      <c r="B1121" s="12"/>
      <c r="C1121" s="11" t="s">
        <v>3787</v>
      </c>
      <c r="D1121" s="12"/>
      <c r="G1121" s="9" t="s">
        <v>5279</v>
      </c>
      <c r="H1121" s="136"/>
      <c r="I1121" s="9" t="s">
        <v>5280</v>
      </c>
      <c r="J1121" s="171" t="e">
        <f>IF(shinsei_strtower08_KAISU_TOUYA="","",shinsei_strtower08_KAISU_TOUYA)</f>
        <v>#NAME?</v>
      </c>
      <c r="K1121" s="10" t="s">
        <v>5281</v>
      </c>
      <c r="L1121" s="10" t="s">
        <v>5281</v>
      </c>
    </row>
    <row r="1122" spans="1:12" s="10" customFormat="1" ht="18" customHeight="1">
      <c r="B1122" s="12" t="s">
        <v>3923</v>
      </c>
      <c r="G1122" s="9" t="s">
        <v>5282</v>
      </c>
      <c r="H1122" s="13"/>
      <c r="I1122" s="10" t="s">
        <v>5283</v>
      </c>
      <c r="J1122" s="25" t="e">
        <f>IF(shinsei_strtower08_BUILD_KUBUN="","",shinsei_strtower08_BUILD_KUBUN)</f>
        <v>#NAME?</v>
      </c>
    </row>
    <row r="1123" spans="1:12" s="10" customFormat="1" ht="18" customHeight="1">
      <c r="B1123" s="12" t="s">
        <v>3923</v>
      </c>
      <c r="C1123" s="12"/>
      <c r="D1123" s="12"/>
      <c r="G1123" s="9" t="s">
        <v>5284</v>
      </c>
      <c r="H1123" s="13"/>
      <c r="I1123" s="10" t="s">
        <v>5285</v>
      </c>
      <c r="J1123" s="25" t="e">
        <f>IF(shinsei_strtower08_BUILD_KUBUN_TEXT="","",shinsei_strtower08_BUILD_KUBUN_TEXT)</f>
        <v>#NAME?</v>
      </c>
      <c r="K1123" s="10" t="s">
        <v>5286</v>
      </c>
    </row>
    <row r="1124" spans="1:12" s="10" customFormat="1" ht="18" customHeight="1">
      <c r="A1124" s="149"/>
      <c r="B1124" s="149"/>
      <c r="C1124" s="149" t="s">
        <v>3801</v>
      </c>
      <c r="D1124" s="149"/>
      <c r="E1124" s="149"/>
      <c r="F1124" s="149"/>
      <c r="G1124" s="149"/>
      <c r="H1124" s="12"/>
      <c r="I1124" s="149" t="s">
        <v>5287</v>
      </c>
      <c r="J1124" s="20" t="e">
        <f>IF(shinsei_strtower08_BUILD_KUBUN_TEXT="建築基準法第20条第２号に掲げる建築物","■","□")</f>
        <v>#NAME?</v>
      </c>
    </row>
    <row r="1125" spans="1:12" s="10" customFormat="1" ht="18" customHeight="1">
      <c r="A1125" s="149"/>
      <c r="B1125" s="149"/>
      <c r="C1125" s="149" t="s">
        <v>3801</v>
      </c>
      <c r="D1125" s="149"/>
      <c r="E1125" s="149"/>
      <c r="F1125" s="149"/>
      <c r="G1125" s="149"/>
      <c r="H1125" s="12"/>
      <c r="I1125" s="149" t="s">
        <v>5288</v>
      </c>
      <c r="J1125" s="20" t="e">
        <f>IF(shinsei_strtower08_BUILD_KUBUN_TEXT="建築基準法第20条第３号に掲げる建築物","■","□")</f>
        <v>#NAME?</v>
      </c>
    </row>
    <row r="1126" spans="1:12" s="10" customFormat="1" ht="18" customHeight="1">
      <c r="A1126" s="12"/>
      <c r="B1126" s="12" t="s">
        <v>5289</v>
      </c>
      <c r="C1126" s="12"/>
      <c r="D1126" s="12"/>
      <c r="E1126" s="11"/>
      <c r="F1126" s="11"/>
      <c r="G1126" s="9" t="s">
        <v>5290</v>
      </c>
      <c r="H1126" s="13"/>
      <c r="I1126" s="9" t="s">
        <v>5291</v>
      </c>
      <c r="J1126" s="25" t="e">
        <f>IF(shinsei_strtower08_MENJYO_TEXT="","",shinsei_strtower08_MENJYO_TEXT)</f>
        <v>#NAME?</v>
      </c>
      <c r="K1126" s="10" t="s">
        <v>3862</v>
      </c>
    </row>
    <row r="1127" spans="1:12" s="10" customFormat="1" ht="18" customHeight="1">
      <c r="A1127" s="12"/>
      <c r="B1127" s="12" t="s">
        <v>3935</v>
      </c>
      <c r="C1127" s="12"/>
      <c r="D1127" s="12"/>
      <c r="E1127" s="11"/>
      <c r="F1127" s="11"/>
      <c r="G1127" s="9" t="s">
        <v>5292</v>
      </c>
      <c r="H1127" s="20"/>
      <c r="I1127" s="9" t="s">
        <v>5293</v>
      </c>
      <c r="J1127" s="25" t="e">
        <f>IF(shinsei_strtower08_PROGRAM_KIND="","",shinsei_strtower08_PROGRAM_KIND)</f>
        <v>#NAME?</v>
      </c>
      <c r="K1127" s="10" t="s">
        <v>5704</v>
      </c>
    </row>
    <row r="1128" spans="1:12" s="10" customFormat="1" ht="18" customHeight="1">
      <c r="B1128" s="12" t="s">
        <v>3939</v>
      </c>
      <c r="C1128" s="12"/>
      <c r="D1128" s="12"/>
      <c r="G1128" s="9" t="s">
        <v>5294</v>
      </c>
      <c r="H1128" s="13"/>
      <c r="I1128" s="10" t="s">
        <v>5295</v>
      </c>
      <c r="J1128" s="25" t="e">
        <f>IF(shinsei_strtower08_REI80_2_KOKUJI_TEXT="","",shinsei_strtower08_REI80_2_KOKUJI_TEXT)</f>
        <v>#NAME?</v>
      </c>
    </row>
    <row r="1129" spans="1:12" s="10" customFormat="1" ht="18" customHeight="1">
      <c r="B1129" s="12" t="s">
        <v>3943</v>
      </c>
      <c r="C1129" s="12"/>
      <c r="D1129" s="12"/>
      <c r="G1129" s="9" t="s">
        <v>3713</v>
      </c>
      <c r="H1129" s="13"/>
      <c r="I1129" s="10" t="s">
        <v>3714</v>
      </c>
      <c r="J1129" s="25" t="e">
        <f>IF(shinsei_strtower08_PROGRAM_KIND__nintei__box="■",2,IF(OR(shinsei_strtower08_PROGRAM_KIND__hyouka__box="■",shinsei_strtower08_PROGRAM_KIND__sonota__box="■"),1,0))</f>
        <v>#NAME?</v>
      </c>
      <c r="K1129" s="10" t="s">
        <v>3946</v>
      </c>
    </row>
    <row r="1130" spans="1:12" s="10" customFormat="1" ht="18" customHeight="1">
      <c r="B1130" s="12" t="s">
        <v>3947</v>
      </c>
      <c r="C1130" s="12"/>
      <c r="D1130" s="12"/>
      <c r="G1130" s="9" t="s">
        <v>3715</v>
      </c>
      <c r="H1130" s="13"/>
    </row>
    <row r="1131" spans="1:12" s="10" customFormat="1" ht="18" customHeight="1">
      <c r="B1131" s="12" t="s">
        <v>4305</v>
      </c>
      <c r="C1131" s="12"/>
      <c r="D1131" s="12"/>
      <c r="G1131" s="9" t="s">
        <v>3716</v>
      </c>
      <c r="H1131" s="13"/>
    </row>
    <row r="1132" spans="1:12" s="10" customFormat="1" ht="18" customHeight="1">
      <c r="B1132" s="105" t="s">
        <v>3717</v>
      </c>
      <c r="C1132" s="105"/>
      <c r="D1132" s="105"/>
      <c r="E1132" s="24"/>
      <c r="F1132" s="24"/>
      <c r="G1132" s="9"/>
      <c r="H1132" s="12"/>
    </row>
    <row r="1133" spans="1:12" s="10" customFormat="1" ht="18" customHeight="1">
      <c r="C1133" s="10" t="s">
        <v>3951</v>
      </c>
      <c r="D1133" s="12"/>
      <c r="G1133" s="9" t="s">
        <v>3718</v>
      </c>
      <c r="H1133" s="13"/>
      <c r="I1133" s="10" t="s">
        <v>3719</v>
      </c>
      <c r="J1133" s="25" t="e">
        <f>IF(shinsei_strtower08_prgo01_NAME="","",shinsei_strtower08_prgo01_NAME)</f>
        <v>#NAME?</v>
      </c>
      <c r="K1133" s="10" t="s">
        <v>3862</v>
      </c>
      <c r="L1133" s="10" t="s">
        <v>3879</v>
      </c>
    </row>
    <row r="1134" spans="1:12" s="10" customFormat="1" ht="18" customHeight="1">
      <c r="C1134" s="12" t="s">
        <v>3954</v>
      </c>
      <c r="D1134" s="12"/>
      <c r="E1134" s="12"/>
      <c r="F1134" s="12"/>
      <c r="G1134" s="9" t="s">
        <v>3720</v>
      </c>
      <c r="H1134" s="13"/>
      <c r="I1134" s="10" t="s">
        <v>3721</v>
      </c>
      <c r="J1134" s="25" t="e">
        <f>IF(shinsei_strtower08_prgo01_VER="","",shinsei_strtower08_prgo01_VER)</f>
        <v>#NAME?</v>
      </c>
    </row>
    <row r="1135" spans="1:12" s="10" customFormat="1" ht="18" customHeight="1">
      <c r="C1135" s="12" t="s">
        <v>3957</v>
      </c>
      <c r="D1135" s="12"/>
      <c r="G1135" s="9"/>
      <c r="H1135" s="9"/>
      <c r="I1135" s="10" t="s">
        <v>3722</v>
      </c>
      <c r="J1135" s="25" t="e">
        <f>IF(shinsei_strtower08_prgo01_NAME="","",IF(shinsei_strtower08_prgo01_NINTEI_NO="","無","有"))</f>
        <v>#NAME?</v>
      </c>
      <c r="K1135" s="10" t="s">
        <v>3959</v>
      </c>
      <c r="L1135" s="10" t="s">
        <v>3879</v>
      </c>
    </row>
    <row r="1136" spans="1:12" s="10" customFormat="1" ht="18" customHeight="1">
      <c r="C1136" s="12" t="s">
        <v>3960</v>
      </c>
      <c r="D1136" s="12"/>
      <c r="G1136" s="9" t="s">
        <v>3723</v>
      </c>
      <c r="H1136" s="13"/>
      <c r="I1136" s="10" t="s">
        <v>3724</v>
      </c>
      <c r="J1136" s="25" t="e">
        <f>IF(shinsei_strtower08_prgo01_NINTEI_NO="","",shinsei_strtower08_prgo01_NINTEI_NO)</f>
        <v>#NAME?</v>
      </c>
      <c r="K1136" s="10" t="s">
        <v>3863</v>
      </c>
      <c r="L1136" s="10" t="s">
        <v>3879</v>
      </c>
    </row>
    <row r="1137" spans="2:12" s="10" customFormat="1" ht="18" customHeight="1">
      <c r="C1137" s="12" t="s">
        <v>3964</v>
      </c>
      <c r="D1137" s="12"/>
      <c r="G1137" s="9" t="s">
        <v>3725</v>
      </c>
      <c r="H1137" s="74"/>
      <c r="I1137" s="10" t="s">
        <v>3726</v>
      </c>
      <c r="J1137" s="25" t="e">
        <f>IF(shinsei_strtower08_prgo01_NINTEI_DATE="","",TEXT(shinsei_strtower08_prgo01_NINTEI_DATE,"ggge年m月d日")&amp;"  ")</f>
        <v>#NAME?</v>
      </c>
    </row>
    <row r="1138" spans="2:12" s="10" customFormat="1" ht="18" customHeight="1">
      <c r="C1138" s="12" t="s">
        <v>6416</v>
      </c>
      <c r="D1138" s="12"/>
      <c r="G1138" s="9" t="s">
        <v>3727</v>
      </c>
      <c r="H1138" s="13"/>
    </row>
    <row r="1139" spans="2:12" s="10" customFormat="1" ht="18" customHeight="1">
      <c r="C1139" s="12" t="s">
        <v>3970</v>
      </c>
      <c r="D1139" s="12"/>
      <c r="G1139" s="9"/>
      <c r="H1139" s="12"/>
      <c r="I1139" s="9" t="s">
        <v>3728</v>
      </c>
      <c r="J1139" s="25" t="e">
        <f>IF(shinsei_strtower08_prgo01_NAME="","",shinsei_strtower08_prgo01_NAME)&amp;CHAR(10)&amp;IF(shinsei_strtower08_prgo01_VER="","","Ver."&amp;shinsei_strtower08_prgo01_VER&amp;CHAR(10))</f>
        <v>#NAME?</v>
      </c>
    </row>
    <row r="1140" spans="2:12" s="10" customFormat="1" ht="18" customHeight="1">
      <c r="C1140" s="12" t="s">
        <v>3972</v>
      </c>
      <c r="D1140" s="12"/>
      <c r="G1140" s="9"/>
      <c r="H1140" s="12"/>
      <c r="I1140" s="9" t="s">
        <v>3729</v>
      </c>
      <c r="J1140" s="25" t="e">
        <f>IF(shinsei_strtower08_prgo01_NAME="","",shinsei_strtower08_prgo01_NAME&amp;" ")&amp;IF(shinsei_strtower08_prgo01_VER="","","Ver."&amp;shinsei_strtower08_prgo01_VER&amp;"  ")</f>
        <v>#NAME?</v>
      </c>
    </row>
    <row r="1141" spans="2:12" s="10" customFormat="1" ht="18" customHeight="1">
      <c r="C1141" s="12" t="s">
        <v>3974</v>
      </c>
      <c r="D1141" s="12"/>
      <c r="G1141" s="9"/>
      <c r="H1141" s="12"/>
    </row>
    <row r="1142" spans="2:12" s="10" customFormat="1" ht="18" customHeight="1">
      <c r="D1142" s="12" t="s">
        <v>6392</v>
      </c>
      <c r="G1142" s="9"/>
      <c r="H1142" s="12"/>
      <c r="I1142" s="9" t="s">
        <v>3730</v>
      </c>
      <c r="J1142" s="173" t="e">
        <f>IF(cst_shinsei_strtower08_prgo01_NINTEI__umu="有",IF(shinsei_strtower08_prgo01_MAKER_NAME="","",shinsei_strtower08_prgo01_MAKER_NAME&amp;"  "),"")</f>
        <v>#NAME?</v>
      </c>
    </row>
    <row r="1143" spans="2:12" s="10" customFormat="1" ht="18" customHeight="1">
      <c r="B1143" s="12"/>
      <c r="D1143" s="12" t="s">
        <v>3972</v>
      </c>
      <c r="G1143" s="9"/>
      <c r="H1143" s="12"/>
      <c r="I1143" s="9" t="s">
        <v>3731</v>
      </c>
      <c r="J1143" s="25" t="e">
        <f>IF(cst_shinsei_strtower08_prgo01_NINTEI__umu="有",IF(shinsei_strtower08_prgo01_NAME="","",shinsei_strtower08_prgo01_NAME&amp;" ")&amp;IF(shinsei_strtower08_prgo01_VER="","","Ver."&amp;shinsei_strtower08_prgo01_VER&amp;"  "),"")</f>
        <v>#NAME?</v>
      </c>
    </row>
    <row r="1144" spans="2:12" s="10" customFormat="1" ht="18" customHeight="1">
      <c r="C1144" s="12" t="s">
        <v>3981</v>
      </c>
      <c r="D1144" s="12"/>
      <c r="G1144" s="9"/>
      <c r="H1144" s="12"/>
    </row>
    <row r="1145" spans="2:12" s="10" customFormat="1" ht="18" customHeight="1">
      <c r="B1145" s="12"/>
      <c r="D1145" s="12" t="s">
        <v>3975</v>
      </c>
      <c r="G1145" s="9"/>
      <c r="H1145" s="12"/>
      <c r="I1145" s="9" t="s">
        <v>5315</v>
      </c>
      <c r="J1145" s="173" t="e">
        <f>IF(cst_shinsei_strtower08_prgo01_NINTEI__umu="無",IF(shinsei_strtower08_prgo01_MAKER_NAME="","",shinsei_strtower08_prgo01_MAKER_NAME&amp;"  "),"")</f>
        <v>#NAME?</v>
      </c>
    </row>
    <row r="1146" spans="2:12" s="10" customFormat="1" ht="18" customHeight="1">
      <c r="B1146" s="12"/>
      <c r="D1146" s="12" t="s">
        <v>3972</v>
      </c>
      <c r="G1146" s="9"/>
      <c r="H1146" s="12"/>
      <c r="I1146" s="9" t="s">
        <v>5316</v>
      </c>
      <c r="J1146" s="25" t="e">
        <f>IF(cst_shinsei_strtower08_prgo01_NINTEI__umu="無",IF(shinsei_strtower08_prgo01_NAME="","",shinsei_strtower08_prgo01_NAME&amp;" ")&amp;IF(shinsei_strtower08_prgo01_VER="","","Ver."&amp;shinsei_strtower08_prgo01_VER&amp;"  "),"")</f>
        <v>#NAME?</v>
      </c>
    </row>
    <row r="1147" spans="2:12" s="10" customFormat="1" ht="18" customHeight="1">
      <c r="B1147" s="105" t="s">
        <v>4000</v>
      </c>
      <c r="C1147" s="105"/>
      <c r="D1147" s="105"/>
      <c r="E1147" s="24"/>
      <c r="F1147" s="24"/>
      <c r="G1147" s="9"/>
      <c r="H1147" s="12"/>
    </row>
    <row r="1148" spans="2:12" s="10" customFormat="1" ht="18" customHeight="1">
      <c r="C1148" s="10" t="s">
        <v>3951</v>
      </c>
      <c r="D1148" s="12"/>
      <c r="G1148" s="9" t="s">
        <v>5317</v>
      </c>
      <c r="H1148" s="13"/>
      <c r="K1148" s="10" t="s">
        <v>3862</v>
      </c>
      <c r="L1148" s="10" t="s">
        <v>3879</v>
      </c>
    </row>
    <row r="1149" spans="2:12" s="10" customFormat="1" ht="18" customHeight="1">
      <c r="C1149" s="12" t="s">
        <v>3954</v>
      </c>
      <c r="D1149" s="12"/>
      <c r="G1149" s="9" t="s">
        <v>5318</v>
      </c>
      <c r="H1149" s="13"/>
    </row>
    <row r="1150" spans="2:12" s="10" customFormat="1" ht="18" customHeight="1">
      <c r="C1150" s="12" t="s">
        <v>3957</v>
      </c>
      <c r="D1150" s="12"/>
      <c r="G1150" s="9"/>
      <c r="H1150" s="9"/>
      <c r="I1150" s="10" t="s">
        <v>5319</v>
      </c>
      <c r="J1150" s="25" t="e">
        <f>IF(shinsei_strtower08_prgo02_NAME="","",IF(shinsei_strtower08_prgo02_NINTEI_NO="","無","有"))</f>
        <v>#NAME?</v>
      </c>
      <c r="K1150" s="10" t="s">
        <v>2941</v>
      </c>
      <c r="L1150" s="10" t="s">
        <v>3879</v>
      </c>
    </row>
    <row r="1151" spans="2:12" s="10" customFormat="1" ht="18" customHeight="1">
      <c r="C1151" s="12" t="s">
        <v>3960</v>
      </c>
      <c r="D1151" s="12"/>
      <c r="G1151" s="9" t="s">
        <v>5320</v>
      </c>
      <c r="H1151" s="13"/>
      <c r="K1151" s="10" t="s">
        <v>3862</v>
      </c>
      <c r="L1151" s="10" t="s">
        <v>3879</v>
      </c>
    </row>
    <row r="1152" spans="2:12" s="10" customFormat="1" ht="18" customHeight="1">
      <c r="C1152" s="12" t="s">
        <v>3964</v>
      </c>
      <c r="D1152" s="12"/>
      <c r="G1152" s="9" t="s">
        <v>5321</v>
      </c>
      <c r="H1152" s="74"/>
      <c r="I1152" s="10" t="s">
        <v>5322</v>
      </c>
      <c r="J1152" s="25" t="e">
        <f>IF(shinsei_strtower08_prgo02_NINTEI_DATE="","",shinsei_strtower08_prgo02_NINTEI_DATE)</f>
        <v>#NAME?</v>
      </c>
    </row>
    <row r="1153" spans="2:12" s="10" customFormat="1" ht="18" customHeight="1">
      <c r="C1153" s="12" t="s">
        <v>4794</v>
      </c>
      <c r="D1153" s="12"/>
      <c r="G1153" s="9" t="s">
        <v>5323</v>
      </c>
      <c r="H1153" s="13"/>
    </row>
    <row r="1154" spans="2:12" s="10" customFormat="1" ht="18" customHeight="1">
      <c r="C1154" s="12" t="s">
        <v>3970</v>
      </c>
      <c r="D1154" s="12"/>
      <c r="G1154" s="9"/>
      <c r="H1154" s="12"/>
      <c r="I1154" s="9" t="s">
        <v>5324</v>
      </c>
      <c r="J1154" s="25" t="e">
        <f>IF(shinsei_strtower08_prgo02_NAME="","",shinsei_strtower08_prgo02_NAME)&amp;CHAR(10)&amp;IF(shinsei_strtower08_prgo02_VER="","","Ver."&amp;shinsei_strtower08_prgo02_VER&amp;CHAR(10))</f>
        <v>#NAME?</v>
      </c>
    </row>
    <row r="1155" spans="2:12" s="10" customFormat="1" ht="18" customHeight="1">
      <c r="C1155" s="12" t="s">
        <v>3972</v>
      </c>
      <c r="D1155" s="12"/>
      <c r="G1155" s="9"/>
      <c r="H1155" s="12"/>
      <c r="I1155" s="9" t="s">
        <v>5325</v>
      </c>
      <c r="J1155" s="25" t="e">
        <f>IF(shinsei_strtower08_prgo02_NAME="","",shinsei_strtower08_prgo02_NAME&amp;" ")&amp;IF(shinsei_strtower08_prgo02_VER="","","Ver."&amp;shinsei_strtower08_prgo02_VER&amp;"  ")</f>
        <v>#NAME?</v>
      </c>
    </row>
    <row r="1156" spans="2:12" s="10" customFormat="1" ht="18" customHeight="1">
      <c r="C1156" s="12" t="s">
        <v>3974</v>
      </c>
      <c r="D1156" s="12"/>
      <c r="G1156" s="9"/>
      <c r="H1156" s="12"/>
    </row>
    <row r="1157" spans="2:12" s="10" customFormat="1" ht="18" customHeight="1">
      <c r="D1157" s="12" t="s">
        <v>3975</v>
      </c>
      <c r="G1157" s="9"/>
      <c r="H1157" s="12"/>
      <c r="I1157" s="9" t="s">
        <v>5326</v>
      </c>
      <c r="J1157" s="173" t="e">
        <f>IF(cst_shinsei_strtower08_prgo02_NINTEI__umu="有",IF(shinsei_strtower08_prgo02_MAKER_NAME="","",shinsei_strtower08_prgo02_MAKER_NAME&amp;"  "),"")</f>
        <v>#NAME?</v>
      </c>
    </row>
    <row r="1158" spans="2:12" s="10" customFormat="1" ht="18" customHeight="1">
      <c r="D1158" s="12" t="s">
        <v>3972</v>
      </c>
      <c r="G1158" s="9"/>
      <c r="H1158" s="12"/>
      <c r="I1158" s="9" t="s">
        <v>5327</v>
      </c>
      <c r="J1158" s="25" t="e">
        <f>IF(cst_shinsei_strtower08_prgo02_NINTEI__umu="有",IF(shinsei_strtower08_prgo02_NAME="","",shinsei_strtower08_prgo02_NAME&amp;" ")&amp;IF(shinsei_strtower08_prgo02_VER="","","Ver."&amp;shinsei_strtower08_prgo02_VER&amp;"  "),"")</f>
        <v>#NAME?</v>
      </c>
    </row>
    <row r="1159" spans="2:12" s="10" customFormat="1" ht="18" customHeight="1">
      <c r="C1159" s="12" t="s">
        <v>3981</v>
      </c>
      <c r="D1159" s="12"/>
      <c r="G1159" s="9"/>
      <c r="H1159" s="12"/>
    </row>
    <row r="1160" spans="2:12" s="10" customFormat="1" ht="18" customHeight="1">
      <c r="D1160" s="12" t="s">
        <v>3976</v>
      </c>
      <c r="G1160" s="9"/>
      <c r="H1160" s="12"/>
      <c r="I1160" s="9" t="s">
        <v>5328</v>
      </c>
      <c r="J1160" s="173" t="e">
        <f>IF(cst_shinsei_strtower08_prgo02_NINTEI__umu="無",IF(shinsei_strtower08_prgo02_MAKER_NAME="","",shinsei_strtower08_prgo02_MAKER_NAME&amp;"  "),"")</f>
        <v>#NAME?</v>
      </c>
    </row>
    <row r="1161" spans="2:12" s="10" customFormat="1" ht="18" customHeight="1">
      <c r="D1161" s="12" t="s">
        <v>3972</v>
      </c>
      <c r="G1161" s="9"/>
      <c r="H1161" s="12"/>
      <c r="I1161" s="9" t="s">
        <v>5329</v>
      </c>
      <c r="J1161" s="25" t="e">
        <f>IF(cst_shinsei_strtower08_prgo02_NINTEI__umu="無",IF(shinsei_strtower08_prgo02_NAME="","",shinsei_strtower08_prgo02_NAME&amp;" ")&amp;IF(shinsei_strtower08_prgo02_VER="","","Ver."&amp;shinsei_strtower08_prgo02_VER&amp;"  "),"")</f>
        <v>#NAME?</v>
      </c>
    </row>
    <row r="1162" spans="2:12" s="10" customFormat="1" ht="18" customHeight="1">
      <c r="B1162" s="105" t="s">
        <v>5330</v>
      </c>
      <c r="C1162" s="105"/>
      <c r="D1162" s="105"/>
      <c r="E1162" s="24"/>
      <c r="F1162" s="24"/>
      <c r="G1162" s="9"/>
      <c r="H1162" s="12"/>
    </row>
    <row r="1163" spans="2:12" s="10" customFormat="1" ht="18" customHeight="1">
      <c r="C1163" s="10" t="s">
        <v>3951</v>
      </c>
      <c r="D1163" s="12"/>
      <c r="G1163" s="9" t="s">
        <v>5331</v>
      </c>
      <c r="H1163" s="13"/>
      <c r="K1163" s="10" t="s">
        <v>3863</v>
      </c>
      <c r="L1163" s="10" t="s">
        <v>3879</v>
      </c>
    </row>
    <row r="1164" spans="2:12" s="10" customFormat="1" ht="18" customHeight="1">
      <c r="C1164" s="12" t="s">
        <v>4034</v>
      </c>
      <c r="D1164" s="12"/>
      <c r="G1164" s="9" t="s">
        <v>5332</v>
      </c>
      <c r="H1164" s="13"/>
    </row>
    <row r="1165" spans="2:12" s="10" customFormat="1" ht="18" customHeight="1">
      <c r="C1165" s="12" t="s">
        <v>3957</v>
      </c>
      <c r="D1165" s="12"/>
      <c r="G1165" s="9"/>
      <c r="H1165" s="9"/>
      <c r="I1165" s="10" t="s">
        <v>5333</v>
      </c>
      <c r="J1165" s="25" t="e">
        <f>IF(shinsei_strtower08_prgo03_NAME="","",IF(shinsei_strtower08_prgo03_NINTEI_NO="","無","有"))</f>
        <v>#NAME?</v>
      </c>
      <c r="K1165" s="10" t="s">
        <v>2941</v>
      </c>
      <c r="L1165" s="10" t="s">
        <v>3879</v>
      </c>
    </row>
    <row r="1166" spans="2:12" s="10" customFormat="1" ht="18" customHeight="1">
      <c r="C1166" s="12" t="s">
        <v>3960</v>
      </c>
      <c r="D1166" s="12"/>
      <c r="G1166" s="9" t="s">
        <v>5334</v>
      </c>
      <c r="H1166" s="13"/>
      <c r="K1166" s="10" t="s">
        <v>3862</v>
      </c>
      <c r="L1166" s="10" t="s">
        <v>3879</v>
      </c>
    </row>
    <row r="1167" spans="2:12" s="10" customFormat="1" ht="18" customHeight="1">
      <c r="C1167" s="12" t="s">
        <v>3964</v>
      </c>
      <c r="D1167" s="12"/>
      <c r="G1167" s="9" t="s">
        <v>5335</v>
      </c>
      <c r="H1167" s="74"/>
      <c r="I1167" s="10" t="s">
        <v>5336</v>
      </c>
      <c r="J1167" s="25" t="e">
        <f>IF(shinsei_strtower08_prgo03_NINTEI_DATE="","",TEXT(shinsei_strtower08_prgo03_NINTEI_DATE,"ggge年m月d日")&amp;"  ")</f>
        <v>#NAME?</v>
      </c>
    </row>
    <row r="1168" spans="2:12" s="10" customFormat="1" ht="18" customHeight="1">
      <c r="C1168" s="12" t="s">
        <v>3967</v>
      </c>
      <c r="D1168" s="12"/>
      <c r="G1168" s="9" t="s">
        <v>5337</v>
      </c>
      <c r="H1168" s="13"/>
      <c r="I1168" s="9"/>
      <c r="J1168" s="9"/>
    </row>
    <row r="1169" spans="2:12" s="10" customFormat="1" ht="18" customHeight="1">
      <c r="C1169" s="12" t="s">
        <v>3970</v>
      </c>
      <c r="D1169" s="12"/>
      <c r="G1169" s="9"/>
      <c r="H1169" s="12"/>
      <c r="I1169" s="9" t="s">
        <v>5338</v>
      </c>
      <c r="J1169" s="25" t="e">
        <f>IF(shinsei_strtower08_prgo03_NAME="","",shinsei_strtower08_prgo03_NAME)&amp;CHAR(10)&amp;IF(shinsei_strtower08_prgo03_VER="","","Ver."&amp;shinsei_strtower08_prgo03_VER&amp;CHAR(10))</f>
        <v>#NAME?</v>
      </c>
    </row>
    <row r="1170" spans="2:12" s="10" customFormat="1" ht="18" customHeight="1">
      <c r="C1170" s="12" t="s">
        <v>3972</v>
      </c>
      <c r="D1170" s="12"/>
      <c r="G1170" s="9"/>
      <c r="H1170" s="12"/>
      <c r="I1170" s="9" t="s">
        <v>5339</v>
      </c>
      <c r="J1170" s="25" t="e">
        <f>IF(shinsei_strtower08_prgo03_NAME="","",shinsei_strtower08_prgo03_NAME&amp;" ")&amp;IF(shinsei_strtower08_prgo03_VER="","","Ver."&amp;shinsei_strtower08_prgo03_VER&amp;"  ")</f>
        <v>#NAME?</v>
      </c>
    </row>
    <row r="1171" spans="2:12" s="10" customFormat="1" ht="18" customHeight="1">
      <c r="C1171" s="12" t="s">
        <v>3974</v>
      </c>
      <c r="D1171" s="12"/>
      <c r="G1171" s="9"/>
      <c r="H1171" s="12"/>
    </row>
    <row r="1172" spans="2:12" s="10" customFormat="1" ht="18" customHeight="1">
      <c r="D1172" s="12" t="s">
        <v>6376</v>
      </c>
      <c r="G1172" s="9"/>
      <c r="H1172" s="12"/>
      <c r="I1172" s="9" t="s">
        <v>5340</v>
      </c>
      <c r="J1172" s="173" t="e">
        <f>IF(cst_shinsei_strtower08_prgo03_NINTEI__umu="有",IF(shinsei_strtower08_prgo03_MAKER_NAME="","",shinsei_strtower08_prgo03_MAKER_NAME&amp;"  "),"")</f>
        <v>#NAME?</v>
      </c>
    </row>
    <row r="1173" spans="2:12" s="10" customFormat="1" ht="18" customHeight="1">
      <c r="D1173" s="12" t="s">
        <v>3972</v>
      </c>
      <c r="G1173" s="9"/>
      <c r="H1173" s="12"/>
      <c r="I1173" s="9" t="s">
        <v>5341</v>
      </c>
      <c r="J1173" s="25" t="e">
        <f>IF(cst_shinsei_strtower08_prgo03_NINTEI__umu="有",IF(shinsei_strtower08_prgo03_NAME="","",shinsei_strtower08_prgo03_NAME&amp;" ")&amp;IF(shinsei_strtower08_prgo03_VER="","","Ver."&amp;shinsei_strtower08_prgo03_VER&amp;"  "),"")</f>
        <v>#NAME?</v>
      </c>
    </row>
    <row r="1174" spans="2:12" s="10" customFormat="1" ht="18" customHeight="1">
      <c r="C1174" s="12" t="s">
        <v>3981</v>
      </c>
      <c r="D1174" s="12"/>
      <c r="G1174" s="9"/>
      <c r="H1174" s="12"/>
    </row>
    <row r="1175" spans="2:12" s="10" customFormat="1" ht="18" customHeight="1">
      <c r="D1175" s="12" t="s">
        <v>5342</v>
      </c>
      <c r="G1175" s="9"/>
      <c r="H1175" s="12"/>
      <c r="I1175" s="9" t="s">
        <v>5343</v>
      </c>
      <c r="J1175" s="173" t="e">
        <f>IF(cst_shinsei_strtower08_prgo03_NINTEI__umu="無",IF(shinsei_strtower08_prgo03_MAKER_NAME="","",shinsei_strtower08_prgo03_MAKER_NAME&amp;"  "),"")</f>
        <v>#NAME?</v>
      </c>
    </row>
    <row r="1176" spans="2:12" s="10" customFormat="1" ht="18" customHeight="1">
      <c r="D1176" s="12" t="s">
        <v>3972</v>
      </c>
      <c r="G1176" s="9"/>
      <c r="H1176" s="12"/>
      <c r="I1176" s="9" t="s">
        <v>5344</v>
      </c>
      <c r="J1176" s="25" t="e">
        <f>IF(cst_shinsei_strtower08_prgo03_NINTEI__umu="無",IF(shinsei_strtower08_prgo03_NAME="","",shinsei_strtower08_prgo03_NAME&amp;" ")&amp;IF(shinsei_strtower08_prgo03_VER="","","Ver."&amp;shinsei_strtower08_prgo03_VER&amp;"  "),"")</f>
        <v>#NAME?</v>
      </c>
    </row>
    <row r="1177" spans="2:12" s="10" customFormat="1" ht="18" customHeight="1">
      <c r="B1177" s="105" t="s">
        <v>5345</v>
      </c>
      <c r="C1177" s="105"/>
      <c r="D1177" s="105"/>
      <c r="E1177" s="24"/>
      <c r="F1177" s="24"/>
      <c r="G1177" s="9"/>
      <c r="H1177" s="12"/>
    </row>
    <row r="1178" spans="2:12" s="10" customFormat="1" ht="18" customHeight="1">
      <c r="C1178" s="10" t="s">
        <v>3951</v>
      </c>
      <c r="D1178" s="12"/>
      <c r="G1178" s="9" t="s">
        <v>5346</v>
      </c>
      <c r="H1178" s="13"/>
      <c r="K1178" s="10" t="s">
        <v>5347</v>
      </c>
      <c r="L1178" s="10" t="s">
        <v>3879</v>
      </c>
    </row>
    <row r="1179" spans="2:12" s="10" customFormat="1" ht="18" customHeight="1">
      <c r="C1179" s="12" t="s">
        <v>5348</v>
      </c>
      <c r="D1179" s="12"/>
      <c r="G1179" s="9" t="s">
        <v>5349</v>
      </c>
      <c r="H1179" s="13"/>
    </row>
    <row r="1180" spans="2:12" s="10" customFormat="1" ht="18" customHeight="1">
      <c r="C1180" s="12" t="s">
        <v>3957</v>
      </c>
      <c r="D1180" s="12"/>
      <c r="G1180" s="9"/>
      <c r="H1180" s="9"/>
      <c r="I1180" s="10" t="s">
        <v>5350</v>
      </c>
      <c r="J1180" s="25" t="e">
        <f>IF(shinsei_strtower08_prgo04_NAME="","",IF(shinsei_strtower08_prgo04_NINTEI_NO="","無","有"))</f>
        <v>#NAME?</v>
      </c>
      <c r="K1180" s="10" t="s">
        <v>2941</v>
      </c>
      <c r="L1180" s="10" t="s">
        <v>3879</v>
      </c>
    </row>
    <row r="1181" spans="2:12" s="10" customFormat="1" ht="18" customHeight="1">
      <c r="C1181" s="12" t="s">
        <v>3960</v>
      </c>
      <c r="D1181" s="12"/>
      <c r="G1181" s="9" t="s">
        <v>5351</v>
      </c>
      <c r="H1181" s="13"/>
      <c r="K1181" s="10" t="s">
        <v>4695</v>
      </c>
      <c r="L1181" s="10" t="s">
        <v>3879</v>
      </c>
    </row>
    <row r="1182" spans="2:12" s="10" customFormat="1" ht="18" customHeight="1">
      <c r="C1182" s="12" t="s">
        <v>3964</v>
      </c>
      <c r="D1182" s="12"/>
      <c r="G1182" s="9" t="s">
        <v>5352</v>
      </c>
      <c r="H1182" s="74"/>
      <c r="I1182" s="10" t="s">
        <v>5353</v>
      </c>
      <c r="J1182" s="25" t="e">
        <f>IF(shinsei_strtower08_prgo04_NINTEI_DATE="","",TEXT(shinsei_strtower08_prgo04_NINTEI_DATE,"ggge年m月d日")&amp;"  ")</f>
        <v>#NAME?</v>
      </c>
    </row>
    <row r="1183" spans="2:12" s="10" customFormat="1" ht="18" customHeight="1">
      <c r="C1183" s="12" t="s">
        <v>4779</v>
      </c>
      <c r="D1183" s="12"/>
      <c r="G1183" s="9" t="s">
        <v>5354</v>
      </c>
      <c r="H1183" s="13"/>
      <c r="I1183" s="9"/>
      <c r="J1183" s="9"/>
    </row>
    <row r="1184" spans="2:12" s="10" customFormat="1" ht="18" customHeight="1">
      <c r="C1184" s="12" t="s">
        <v>3970</v>
      </c>
      <c r="D1184" s="12"/>
      <c r="G1184" s="9"/>
      <c r="H1184" s="12"/>
      <c r="I1184" s="9" t="s">
        <v>5355</v>
      </c>
      <c r="J1184" s="25" t="e">
        <f>IF(shinsei_strtower08_prgo04_NAME="","",shinsei_strtower08_prgo04_NAME)&amp;CHAR(10)&amp;IF(shinsei_strtower08_prgo04_VER="","","Ver."&amp;shinsei_strtower08_prgo04_VER&amp;CHAR(10))</f>
        <v>#NAME?</v>
      </c>
    </row>
    <row r="1185" spans="2:12" s="10" customFormat="1" ht="18" customHeight="1">
      <c r="C1185" s="12" t="s">
        <v>3972</v>
      </c>
      <c r="D1185" s="12"/>
      <c r="G1185" s="9"/>
      <c r="H1185" s="12"/>
      <c r="I1185" s="9" t="s">
        <v>5356</v>
      </c>
      <c r="J1185" s="25" t="e">
        <f>IF(shinsei_strtower08_prgo04_NAME="","",shinsei_strtower08_prgo04_NAME&amp;" ")&amp;IF(shinsei_strtower08_prgo04_VER="","","Ver."&amp;shinsei_strtower08_prgo04_VER&amp;"  ")</f>
        <v>#NAME?</v>
      </c>
    </row>
    <row r="1186" spans="2:12" s="10" customFormat="1" ht="18" customHeight="1">
      <c r="C1186" s="12" t="s">
        <v>3974</v>
      </c>
      <c r="D1186" s="12"/>
      <c r="G1186" s="9"/>
      <c r="H1186" s="12"/>
    </row>
    <row r="1187" spans="2:12" s="10" customFormat="1" ht="18" customHeight="1">
      <c r="D1187" s="12" t="s">
        <v>3975</v>
      </c>
      <c r="G1187" s="9"/>
      <c r="H1187" s="12"/>
      <c r="I1187" s="9" t="s">
        <v>5357</v>
      </c>
      <c r="J1187" s="173" t="e">
        <f>IF(cst_shinsei_strtower08_prgo04_NINTEI__umu="有",IF(shinsei_strtower08_prgo04_MAKER_NAME="","",shinsei_strtower08_prgo04_MAKER_NAME&amp;"  "),"")</f>
        <v>#NAME?</v>
      </c>
    </row>
    <row r="1188" spans="2:12" s="10" customFormat="1" ht="18" customHeight="1">
      <c r="D1188" s="12" t="s">
        <v>3972</v>
      </c>
      <c r="G1188" s="9"/>
      <c r="H1188" s="12"/>
      <c r="I1188" s="9" t="s">
        <v>5358</v>
      </c>
      <c r="J1188" s="25" t="e">
        <f>IF(cst_shinsei_strtower08_prgo04_NINTEI__umu="有",IF(shinsei_strtower08_prgo04_NAME="","",shinsei_strtower08_prgo04_NAME&amp;" ")&amp;IF(shinsei_strtower08_prgo04_VER="","","Ver."&amp;shinsei_strtower08_prgo04_VER&amp;"  "),"")</f>
        <v>#NAME?</v>
      </c>
    </row>
    <row r="1189" spans="2:12" s="10" customFormat="1" ht="18" customHeight="1">
      <c r="C1189" s="12" t="s">
        <v>3981</v>
      </c>
      <c r="D1189" s="12"/>
      <c r="G1189" s="9"/>
      <c r="H1189" s="12"/>
    </row>
    <row r="1190" spans="2:12" s="10" customFormat="1" ht="18" customHeight="1">
      <c r="D1190" s="12" t="s">
        <v>3975</v>
      </c>
      <c r="G1190" s="9"/>
      <c r="H1190" s="12"/>
      <c r="I1190" s="9" t="s">
        <v>5359</v>
      </c>
      <c r="J1190" s="173" t="e">
        <f>IF(cst_shinsei_strtower08_prgo04_NINTEI__umu="無",IF(shinsei_strtower08_prgo04_MAKER_NAME="","",shinsei_strtower08_prgo04_MAKER_NAME&amp;"  "),"")</f>
        <v>#NAME?</v>
      </c>
    </row>
    <row r="1191" spans="2:12" s="10" customFormat="1" ht="18" customHeight="1">
      <c r="D1191" s="12" t="s">
        <v>3972</v>
      </c>
      <c r="G1191" s="9"/>
      <c r="H1191" s="12"/>
      <c r="I1191" s="9" t="s">
        <v>5360</v>
      </c>
      <c r="J1191" s="25" t="e">
        <f>IF(cst_shinsei_strtower08_prgo04_NINTEI__umu="無",IF(shinsei_strtower08_prgo04_NAME="","",shinsei_strtower08_prgo04_NAME&amp;" ")&amp;IF(shinsei_strtower08_prgo04_VER="","","Ver."&amp;shinsei_strtower08_prgo04_VER&amp;"  "),"")</f>
        <v>#NAME?</v>
      </c>
    </row>
    <row r="1192" spans="2:12" s="10" customFormat="1" ht="18" customHeight="1">
      <c r="B1192" s="105" t="s">
        <v>4049</v>
      </c>
      <c r="C1192" s="105"/>
      <c r="D1192" s="105"/>
      <c r="E1192" s="24"/>
      <c r="F1192" s="24"/>
      <c r="G1192" s="9"/>
      <c r="H1192" s="12"/>
    </row>
    <row r="1193" spans="2:12" s="10" customFormat="1" ht="18" customHeight="1">
      <c r="C1193" s="10" t="s">
        <v>3951</v>
      </c>
      <c r="D1193" s="12"/>
      <c r="G1193" s="9" t="s">
        <v>5361</v>
      </c>
      <c r="H1193" s="13"/>
      <c r="K1193" s="10" t="s">
        <v>3862</v>
      </c>
      <c r="L1193" s="10" t="s">
        <v>3879</v>
      </c>
    </row>
    <row r="1194" spans="2:12" s="10" customFormat="1" ht="18" customHeight="1">
      <c r="C1194" s="12" t="s">
        <v>3954</v>
      </c>
      <c r="D1194" s="12"/>
      <c r="G1194" s="9" t="s">
        <v>5362</v>
      </c>
      <c r="H1194" s="13"/>
    </row>
    <row r="1195" spans="2:12" s="10" customFormat="1" ht="18" customHeight="1">
      <c r="C1195" s="12" t="s">
        <v>3957</v>
      </c>
      <c r="D1195" s="12"/>
      <c r="G1195" s="9"/>
      <c r="H1195" s="9"/>
      <c r="I1195" s="10" t="s">
        <v>5363</v>
      </c>
      <c r="J1195" s="25" t="e">
        <f>IF(shinsei_strtower08_prgo05_NAME="","",IF(shinsei_strtower08_prgo05_NINTEI_NO="","無","有"))</f>
        <v>#NAME?</v>
      </c>
      <c r="K1195" s="10" t="s">
        <v>2941</v>
      </c>
      <c r="L1195" s="10" t="s">
        <v>3879</v>
      </c>
    </row>
    <row r="1196" spans="2:12" s="10" customFormat="1" ht="18" customHeight="1">
      <c r="C1196" s="12" t="s">
        <v>3960</v>
      </c>
      <c r="D1196" s="12"/>
      <c r="G1196" s="9" t="s">
        <v>5364</v>
      </c>
      <c r="H1196" s="13"/>
      <c r="K1196" s="10" t="s">
        <v>3862</v>
      </c>
      <c r="L1196" s="10" t="s">
        <v>3879</v>
      </c>
    </row>
    <row r="1197" spans="2:12" s="10" customFormat="1" ht="18" customHeight="1">
      <c r="C1197" s="12" t="s">
        <v>3964</v>
      </c>
      <c r="D1197" s="12"/>
      <c r="G1197" s="9" t="s">
        <v>5365</v>
      </c>
      <c r="H1197" s="74"/>
      <c r="I1197" s="10" t="s">
        <v>5366</v>
      </c>
      <c r="J1197" s="25" t="e">
        <f>IF(shinsei_strtower08_prgo05_NINTEI_DATE="","",TEXT(shinsei_strtower08_prgo05_NINTEI_DATE,"ggge年m月d日")&amp;"  ")</f>
        <v>#NAME?</v>
      </c>
    </row>
    <row r="1198" spans="2:12" s="10" customFormat="1" ht="18" customHeight="1">
      <c r="C1198" s="12" t="s">
        <v>6416</v>
      </c>
      <c r="D1198" s="12"/>
      <c r="G1198" s="9" t="s">
        <v>5367</v>
      </c>
      <c r="H1198" s="13"/>
    </row>
    <row r="1199" spans="2:12" s="10" customFormat="1" ht="18" customHeight="1">
      <c r="C1199" s="12" t="s">
        <v>3970</v>
      </c>
      <c r="D1199" s="12"/>
      <c r="G1199" s="9"/>
      <c r="H1199" s="12"/>
      <c r="I1199" s="9" t="s">
        <v>5368</v>
      </c>
      <c r="J1199" s="25" t="e">
        <f>IF(shinsei_strtower08_prgo05_NAME="","",shinsei_strtower08_prgo05_NAME)&amp;CHAR(10)&amp;IF(shinsei_strtower08_prgo05_VER="","","Ver."&amp;shinsei_strtower08_prgo05_VER&amp;CHAR(10))</f>
        <v>#NAME?</v>
      </c>
    </row>
    <row r="1200" spans="2:12" s="10" customFormat="1" ht="18" customHeight="1">
      <c r="C1200" s="12" t="s">
        <v>3972</v>
      </c>
      <c r="D1200" s="12"/>
      <c r="G1200" s="9"/>
      <c r="H1200" s="12"/>
      <c r="I1200" s="9" t="s">
        <v>5369</v>
      </c>
      <c r="J1200" s="25" t="e">
        <f>IF(shinsei_strtower08_prgo05_NAME="","",shinsei_strtower08_prgo05_NAME&amp;" ")&amp;IF(shinsei_strtower08_prgo05_VER="","","Ver."&amp;shinsei_strtower08_prgo05_VER&amp;"  ")</f>
        <v>#NAME?</v>
      </c>
    </row>
    <row r="1201" spans="2:10" s="10" customFormat="1" ht="18" customHeight="1">
      <c r="C1201" s="12" t="s">
        <v>3974</v>
      </c>
      <c r="D1201" s="12"/>
      <c r="G1201" s="9"/>
      <c r="H1201" s="12"/>
    </row>
    <row r="1202" spans="2:10" s="10" customFormat="1" ht="18" customHeight="1">
      <c r="D1202" s="12" t="s">
        <v>3975</v>
      </c>
      <c r="G1202" s="9"/>
      <c r="H1202" s="12"/>
      <c r="I1202" s="9" t="s">
        <v>5370</v>
      </c>
      <c r="J1202" s="173" t="e">
        <f>IF(cst_shinsei_strtower08_prgo05_NINTEI__umu="有",IF(shinsei_strtower08_prgo05_MAKER_NAME="","",shinsei_strtower08_prgo05_MAKER_NAME&amp;"  "),"")</f>
        <v>#NAME?</v>
      </c>
    </row>
    <row r="1203" spans="2:10" s="10" customFormat="1" ht="18" customHeight="1">
      <c r="D1203" s="12" t="s">
        <v>3972</v>
      </c>
      <c r="G1203" s="9"/>
      <c r="H1203" s="12"/>
      <c r="I1203" s="9" t="s">
        <v>5371</v>
      </c>
      <c r="J1203" s="25" t="e">
        <f>IF(cst_shinsei_strtower08_prgo05_NINTEI__umu="有",IF(shinsei_strtower08_prgo05_NAME="","",shinsei_strtower08_prgo05_NAME&amp;" ")&amp;IF(shinsei_strtower08_prgo05_VER="","","Ver."&amp;shinsei_strtower08_prgo05_VER&amp;"  "),"")</f>
        <v>#NAME?</v>
      </c>
    </row>
    <row r="1204" spans="2:10" s="10" customFormat="1" ht="18" customHeight="1">
      <c r="C1204" s="12" t="s">
        <v>3981</v>
      </c>
      <c r="D1204" s="12"/>
      <c r="G1204" s="9"/>
      <c r="H1204" s="12"/>
    </row>
    <row r="1205" spans="2:10" s="10" customFormat="1" ht="18" customHeight="1">
      <c r="D1205" s="12" t="s">
        <v>3975</v>
      </c>
      <c r="G1205" s="9"/>
      <c r="H1205" s="12"/>
      <c r="I1205" s="9" t="s">
        <v>5372</v>
      </c>
      <c r="J1205" s="173" t="e">
        <f>IF(cst_shinsei_strtower08_prgo05_NINTEI__umu="無",IF(shinsei_strtower08_prgo05_MAKER_NAME="","",shinsei_strtower08_prgo05_MAKER_NAME&amp;"  "),"")</f>
        <v>#NAME?</v>
      </c>
    </row>
    <row r="1206" spans="2:10" s="10" customFormat="1" ht="18" customHeight="1">
      <c r="D1206" s="12" t="s">
        <v>3972</v>
      </c>
      <c r="G1206" s="9"/>
      <c r="H1206" s="12"/>
      <c r="I1206" s="9" t="s">
        <v>5373</v>
      </c>
      <c r="J1206" s="25" t="e">
        <f>IF(cst_shinsei_strtower08_prgo05_NINTEI__umu="無",IF(shinsei_strtower08_prgo05_NAME="","",shinsei_strtower08_prgo05_NAME&amp;" ")&amp;IF(shinsei_strtower08_prgo05_VER="","","Ver."&amp;shinsei_strtower08_prgo05_VER&amp;"  "),"")</f>
        <v>#NAME?</v>
      </c>
    </row>
    <row r="1207" spans="2:10" s="10" customFormat="1" ht="18" customHeight="1">
      <c r="B1207" s="13" t="s">
        <v>3827</v>
      </c>
      <c r="C1207" s="13"/>
      <c r="D1207" s="13"/>
      <c r="E1207" s="25"/>
      <c r="F1207" s="25"/>
      <c r="G1207" s="9"/>
      <c r="H1207" s="80"/>
      <c r="I1207" s="9"/>
      <c r="J1207" s="80"/>
    </row>
    <row r="1208" spans="2:10" s="10" customFormat="1" ht="18" customHeight="1">
      <c r="C1208" s="12" t="s">
        <v>3970</v>
      </c>
      <c r="D1208" s="12"/>
      <c r="G1208" s="9"/>
      <c r="H1208" s="80"/>
      <c r="I1208" s="166" t="s">
        <v>5374</v>
      </c>
      <c r="J1208" s="74" t="e">
        <f>cst_shinsei_strtower08_prgo01_NAME_VER&amp;cst_shinsei_strtower08_prgo02_NAME_VER&amp;cst_shinsei_strtower08_prgo03_NAME_VER&amp;cst_shinsei_strtower08_prgo04_NAME_VER&amp;cst_shinsei_strtower08_prgo05_NAME_VER</f>
        <v>#NAME?</v>
      </c>
    </row>
    <row r="1209" spans="2:10" s="10" customFormat="1" ht="18" customHeight="1">
      <c r="C1209" s="12" t="s">
        <v>3972</v>
      </c>
      <c r="D1209" s="12"/>
      <c r="G1209" s="9"/>
      <c r="H1209" s="80"/>
      <c r="I1209" s="166" t="s">
        <v>5375</v>
      </c>
      <c r="J1209" s="74" t="e">
        <f>cst_shinsei_strtower08_prgo01_NAME_VER__SP&amp;cst_shinsei_strtower08_prgo02_NAME_VER__SP&amp;cst_shinsei_strtower08_prgo03_NAME_VER__SP&amp;cst_shinsei_strtower08_prgo04_NAME_VER__SP&amp;cst_shinsei_strtower08_prgo05_NAME_VER__SP</f>
        <v>#NAME?</v>
      </c>
    </row>
    <row r="1210" spans="2:10" s="10" customFormat="1" ht="18" customHeight="1">
      <c r="B1210" s="13" t="s">
        <v>4068</v>
      </c>
      <c r="C1210" s="13"/>
      <c r="D1210" s="13"/>
      <c r="E1210" s="25"/>
      <c r="F1210" s="25"/>
      <c r="G1210" s="9"/>
      <c r="H1210" s="80"/>
      <c r="I1210" s="9"/>
      <c r="J1210" s="80"/>
    </row>
    <row r="1211" spans="2:10" s="10" customFormat="1" ht="18" customHeight="1">
      <c r="C1211" s="12" t="s">
        <v>3975</v>
      </c>
      <c r="D1211" s="12"/>
      <c r="G1211" s="9"/>
      <c r="H1211" s="80"/>
      <c r="I1211" s="166" t="s">
        <v>5376</v>
      </c>
      <c r="J1211" s="74" t="e">
        <f>cst_shinsei_strtower08_prgo01_MAKER__NINTEI_ari&amp;cst_shinsei_strtower08_prgo02_MAKER__NINTEI_ari&amp;cst_shinsei_strtower08_prgo03_MAKER__NINTEI_ari&amp;cst_shinsei_strtower08_prgo04_MAKER__NINTEI_ari&amp;cst_shinsei_strtower08_prgo05_MAKER__NINTEI_ari</f>
        <v>#NAME?</v>
      </c>
    </row>
    <row r="1212" spans="2:10" s="10" customFormat="1" ht="18" customHeight="1">
      <c r="C1212" s="12" t="s">
        <v>3972</v>
      </c>
      <c r="D1212" s="12"/>
      <c r="G1212" s="9"/>
      <c r="H1212" s="80"/>
      <c r="I1212" s="166" t="s">
        <v>5377</v>
      </c>
      <c r="J1212" s="173" t="e">
        <f>cst_shinsei_strtower08_prgo01_NAME_VER__NINTEI_ari&amp;cst_shinsei_strtower08_prgo02_NAME_VER__NINTEI_ari&amp;cst_shinsei_strtower08_prgo03_NAME_VER__NINTEI_ari&amp;cst_shinsei_strtower08_prgo04_NAME_VER__NINTEI_ari&amp;cst_shinsei_strtower08_prgo05_NAME_VER__NINTEI_ari</f>
        <v>#NAME?</v>
      </c>
    </row>
    <row r="1213" spans="2:10" s="10" customFormat="1" ht="18" customHeight="1">
      <c r="C1213" s="12" t="s">
        <v>3964</v>
      </c>
      <c r="D1213" s="12"/>
      <c r="G1213" s="9"/>
      <c r="H1213" s="80"/>
      <c r="I1213" s="166" t="s">
        <v>5378</v>
      </c>
      <c r="J1213" s="74" t="e">
        <f>cst_shinsei_strtower08_prgo01_NINTEI_DATE_dsp&amp;cst_shinsei_strtower08_prgo02_NINTEI_DATE_dsp&amp;cst_shinsei_strtower08_prgo03_NINTEI_DATE_dsp&amp;cst_shinsei_strtower08_prgo04_NINTEI_DATE_dsp&amp;cst_shinsei_strtower08_prgo05_NINTEI_DATE_dsp</f>
        <v>#NAME?</v>
      </c>
    </row>
    <row r="1214" spans="2:10" s="10" customFormat="1" ht="18" customHeight="1">
      <c r="B1214" s="13" t="s">
        <v>4072</v>
      </c>
      <c r="C1214" s="13"/>
      <c r="D1214" s="13"/>
      <c r="E1214" s="25"/>
      <c r="F1214" s="25"/>
      <c r="G1214" s="9"/>
      <c r="H1214" s="80"/>
      <c r="I1214" s="9"/>
      <c r="J1214" s="80"/>
    </row>
    <row r="1215" spans="2:10" s="10" customFormat="1" ht="18" customHeight="1">
      <c r="C1215" s="12" t="s">
        <v>6376</v>
      </c>
      <c r="D1215" s="12"/>
      <c r="G1215" s="9"/>
      <c r="H1215" s="80"/>
      <c r="I1215" s="166" t="s">
        <v>5379</v>
      </c>
      <c r="J1215" s="74" t="e">
        <f>cst_shinsei_strtower08_prgo01_MAKER__NINTEI_non&amp;cst_shinsei_strtower08_prgo02_MAKER__NINTEI_non&amp;cst_shinsei_strtower08_prgo03_MAKER__NINTEI_non&amp;cst_shinsei_strtower08_prgo04_MAKER__NINTEI_non&amp;cst_shinsei_strtower08_prgo05_MAKER__NINTEI_non</f>
        <v>#NAME?</v>
      </c>
    </row>
    <row r="1216" spans="2:10" s="10" customFormat="1" ht="18" customHeight="1">
      <c r="C1216" s="12" t="s">
        <v>3972</v>
      </c>
      <c r="D1216" s="12"/>
      <c r="G1216" s="9"/>
      <c r="H1216" s="80"/>
      <c r="I1216" s="166" t="s">
        <v>5380</v>
      </c>
      <c r="J1216" s="173" t="e">
        <f>cst_shinsei_strtower08_prgo01_NAME_VER__NINTEI_non&amp;cst_shinsei_strtower08_prgo02_NAME_VER__NINTEI_non&amp;cst_shinsei_strtower08_prgo03_NAME_VER__NINTEI_non&amp;cst_shinsei_strtower08_prgo04_NAME_VER__NINTEI_non&amp;cst_shinsei_strtower08_prgo05_NAME_VER__NINTEI_non</f>
        <v>#NAME?</v>
      </c>
    </row>
    <row r="1217" spans="1:12" s="10" customFormat="1" ht="18" customHeight="1">
      <c r="B1217" s="12" t="s">
        <v>4075</v>
      </c>
      <c r="G1217" s="9" t="s">
        <v>5381</v>
      </c>
      <c r="H1217" s="20"/>
      <c r="I1217" s="9" t="s">
        <v>5382</v>
      </c>
      <c r="J1217" s="20" t="e">
        <f>IF(shinsei_strtower08_DISK_FLAG="","",IF(shinsei_strtower08_DISK_FLAG=1,"有","無"))</f>
        <v>#NAME?</v>
      </c>
    </row>
    <row r="1218" spans="1:12" s="10" customFormat="1" ht="18" customHeight="1">
      <c r="A1218" s="9"/>
      <c r="B1218" s="9" t="s">
        <v>2955</v>
      </c>
      <c r="C1218" s="9"/>
      <c r="D1218" s="9"/>
      <c r="E1218" s="9"/>
      <c r="F1218" s="9"/>
      <c r="G1218" s="9" t="s">
        <v>5383</v>
      </c>
      <c r="H1218" s="136"/>
      <c r="I1218" s="19" t="s">
        <v>5384</v>
      </c>
      <c r="J1218" s="171" t="e">
        <f>IF(shinsei_strtower08_CHARGE="","",shinsei_strtower08_CHARGE)</f>
        <v>#NAME?</v>
      </c>
      <c r="K1218" s="9" t="s">
        <v>2528</v>
      </c>
      <c r="L1218" s="9" t="s">
        <v>2528</v>
      </c>
    </row>
    <row r="1219" spans="1:12" ht="18" customHeight="1">
      <c r="A1219" s="149"/>
      <c r="B1219" s="149"/>
      <c r="C1219" s="149"/>
      <c r="D1219" s="149"/>
      <c r="E1219" s="12" t="s">
        <v>3907</v>
      </c>
      <c r="F1219" s="12"/>
      <c r="G1219" s="149"/>
      <c r="I1219" s="100" t="s">
        <v>5385</v>
      </c>
      <c r="J1219" s="171" t="e">
        <f>IF(shinsei_strtower08_CHARGE="","",TEXT(shinsei_strtower08_CHARGE,"#,##0_ ")&amp;"円")</f>
        <v>#NAME?</v>
      </c>
      <c r="K1219" s="9"/>
      <c r="L1219" s="9"/>
    </row>
    <row r="1220" spans="1:12" ht="18" customHeight="1">
      <c r="A1220" s="149"/>
      <c r="B1220" s="149" t="s">
        <v>3041</v>
      </c>
      <c r="C1220" s="149"/>
      <c r="D1220" s="149"/>
      <c r="E1220" s="149"/>
      <c r="F1220" s="149"/>
      <c r="G1220" s="149" t="s">
        <v>5386</v>
      </c>
      <c r="H1220" s="136"/>
      <c r="I1220" s="100" t="s">
        <v>5387</v>
      </c>
      <c r="J1220" s="136" t="e">
        <f>IF(shinsei_strtower08_CHARGE_WARIMASHI="","",shinsei_strtower08_CHARGE_WARIMASHI)</f>
        <v>#NAME?</v>
      </c>
      <c r="K1220" s="9" t="s">
        <v>2528</v>
      </c>
      <c r="L1220" s="9" t="s">
        <v>2528</v>
      </c>
    </row>
    <row r="1221" spans="1:12" ht="18" customHeight="1">
      <c r="A1221" s="149"/>
      <c r="B1221" s="149" t="s">
        <v>3043</v>
      </c>
      <c r="C1221" s="149"/>
      <c r="D1221" s="149"/>
      <c r="E1221" s="149"/>
      <c r="F1221" s="149"/>
      <c r="G1221" s="149" t="s">
        <v>5388</v>
      </c>
      <c r="H1221" s="136"/>
      <c r="I1221" s="100" t="s">
        <v>5389</v>
      </c>
      <c r="J1221" s="136" t="e">
        <f>IF(shinsei_strtower08_CHARGE_TOTAL="","",shinsei_strtower08_CHARGE_TOTAL)</f>
        <v>#NAME?</v>
      </c>
      <c r="K1221" s="9" t="s">
        <v>2528</v>
      </c>
      <c r="L1221" s="9" t="s">
        <v>2528</v>
      </c>
    </row>
    <row r="1222" spans="1:12" ht="18" customHeight="1">
      <c r="A1222" s="149"/>
      <c r="B1222" s="149" t="s">
        <v>5637</v>
      </c>
      <c r="C1222" s="149"/>
      <c r="D1222" s="149"/>
      <c r="E1222" s="149"/>
      <c r="F1222" s="149"/>
      <c r="G1222" s="149" t="s">
        <v>5390</v>
      </c>
      <c r="H1222" s="13"/>
      <c r="I1222" s="176" t="s">
        <v>5391</v>
      </c>
      <c r="J1222" s="20" t="e">
        <f>IF(shinsei_strtower08_CHARGE_KEISAN_NOTE="","",shinsei_strtower08_CHARGE_KEISAN_NOTE)</f>
        <v>#NAME?</v>
      </c>
      <c r="K1222" s="10" t="s">
        <v>3862</v>
      </c>
      <c r="L1222" s="10" t="s">
        <v>3879</v>
      </c>
    </row>
    <row r="1223" spans="1:12" ht="18" customHeight="1">
      <c r="A1223" s="149"/>
      <c r="B1223" s="149"/>
      <c r="C1223" s="149"/>
      <c r="D1223" s="149"/>
      <c r="E1223" s="149" t="s">
        <v>5640</v>
      </c>
      <c r="F1223" s="149"/>
      <c r="G1223" s="149"/>
      <c r="I1223" s="100" t="s">
        <v>5392</v>
      </c>
      <c r="J1223" s="20" t="e">
        <f>IF(shinsei_INSPECTION_TYPE="計画変更",IF(shinsei_strtower08_CHARGE="","","延べ面積×1/2により算出"),IF(shinsei_strtower08_CHARGE_KEISAN_NOTE="","",shinsei_strtower08_CHARGE_KEISAN_NOTE))</f>
        <v>#NAME?</v>
      </c>
    </row>
    <row r="1224" spans="1:12" ht="18" customHeight="1">
      <c r="A1224" s="149"/>
      <c r="B1224" s="149" t="s">
        <v>5642</v>
      </c>
      <c r="C1224" s="149"/>
      <c r="D1224" s="149"/>
      <c r="E1224" s="149"/>
      <c r="F1224" s="149"/>
      <c r="G1224" s="149" t="s">
        <v>5393</v>
      </c>
      <c r="H1224" s="13"/>
      <c r="I1224" s="149" t="s">
        <v>5394</v>
      </c>
      <c r="J1224" s="20" t="e">
        <f>IF(shinsei_strtower08_KEISAN_X_ROUTE="","",shinsei_strtower08_KEISAN_X_ROUTE)</f>
        <v>#NAME?</v>
      </c>
    </row>
    <row r="1225" spans="1:12" ht="18" customHeight="1">
      <c r="A1225" s="149"/>
      <c r="B1225" s="149" t="s">
        <v>5645</v>
      </c>
      <c r="C1225" s="149"/>
      <c r="D1225" s="149"/>
      <c r="E1225" s="149"/>
      <c r="F1225" s="149"/>
      <c r="G1225" s="149" t="s">
        <v>5395</v>
      </c>
      <c r="H1225" s="13"/>
      <c r="I1225" s="149" t="s">
        <v>5396</v>
      </c>
      <c r="J1225" s="20" t="e">
        <f>IF(shinsei_strtower08_KEISAN_Y_ROUTE="","",shinsei_strtower08_KEISAN_Y_ROUTE)</f>
        <v>#NAME?</v>
      </c>
    </row>
    <row r="1226" spans="1:12" ht="18" customHeight="1">
      <c r="A1226" s="149"/>
      <c r="B1226" s="149"/>
      <c r="C1226" s="149" t="s">
        <v>3805</v>
      </c>
      <c r="D1226" s="149"/>
      <c r="E1226" s="149"/>
      <c r="F1226" s="149"/>
      <c r="G1226" s="149"/>
      <c r="H1226" s="12"/>
      <c r="I1226" s="149" t="s">
        <v>5397</v>
      </c>
      <c r="J1226" s="20" t="e">
        <f>IF(AND(cst_shinsei_strtower08_KEISAN_X_ROUTE="3",cst_shinsei_strtower08_KEISAN_Y_ROUTE="3"),"■","□")</f>
        <v>#NAME?</v>
      </c>
    </row>
    <row r="1227" spans="1:12" ht="18" customHeight="1">
      <c r="A1227" s="149"/>
      <c r="B1227" s="149" t="s">
        <v>5650</v>
      </c>
      <c r="C1227" s="149"/>
      <c r="D1227" s="149"/>
      <c r="E1227" s="149"/>
      <c r="F1227" s="149"/>
      <c r="G1227" s="149" t="s">
        <v>5398</v>
      </c>
      <c r="H1227" s="13"/>
      <c r="I1227" s="149" t="s">
        <v>5399</v>
      </c>
      <c r="J1227" s="20" t="e">
        <f>IF(shinsei_strtower08_PROGRAM_KIND_SONOTA="","",shinsei_strtower08_PROGRAM_KIND_SONOTA)</f>
        <v>#NAME?</v>
      </c>
    </row>
    <row r="1228" spans="1:12" ht="18" customHeight="1">
      <c r="A1228" s="149"/>
      <c r="B1228" s="149"/>
      <c r="C1228" s="149"/>
      <c r="D1228" s="149"/>
      <c r="E1228" s="149"/>
      <c r="F1228" s="149"/>
      <c r="G1228" s="149"/>
      <c r="I1228" s="149"/>
    </row>
    <row r="1229" spans="1:12" s="10" customFormat="1" ht="18" customHeight="1">
      <c r="A1229" s="162" t="s">
        <v>5400</v>
      </c>
      <c r="B1229" s="162"/>
      <c r="C1229" s="162"/>
      <c r="D1229" s="162"/>
      <c r="E1229" s="163"/>
      <c r="F1229" s="163"/>
      <c r="G1229" s="164"/>
      <c r="H1229" s="165"/>
      <c r="I1229" s="9"/>
    </row>
    <row r="1230" spans="1:12" s="10" customFormat="1" ht="18" customHeight="1">
      <c r="A1230" s="12"/>
      <c r="B1230" s="12" t="s">
        <v>3859</v>
      </c>
      <c r="C1230" s="12"/>
      <c r="D1230" s="12"/>
      <c r="E1230" s="11"/>
      <c r="F1230" s="11"/>
      <c r="G1230" s="10" t="s">
        <v>5401</v>
      </c>
      <c r="H1230" s="13"/>
      <c r="I1230" s="19" t="s">
        <v>5402</v>
      </c>
      <c r="J1230" s="25" t="e">
        <f>IF(shinsei_strtower09_TOWER_NO="","",shinsei_strtower09_TOWER_NO)</f>
        <v>#NAME?</v>
      </c>
      <c r="K1230" s="10" t="s">
        <v>3862</v>
      </c>
    </row>
    <row r="1231" spans="1:12" s="10" customFormat="1" ht="18" customHeight="1">
      <c r="A1231" s="12"/>
      <c r="B1231" s="12" t="s">
        <v>3864</v>
      </c>
      <c r="C1231" s="12"/>
      <c r="D1231" s="12"/>
      <c r="E1231" s="11"/>
      <c r="F1231" s="11"/>
      <c r="G1231" s="9" t="s">
        <v>5403</v>
      </c>
      <c r="H1231" s="13"/>
      <c r="I1231" s="19" t="s">
        <v>5404</v>
      </c>
      <c r="J1231" s="25" t="e">
        <f>IF(shinsei_strtower09_STR_TOWER_NO="","",shinsei_strtower09_STR_TOWER_NO)</f>
        <v>#NAME?</v>
      </c>
      <c r="K1231" s="10" t="s">
        <v>3862</v>
      </c>
      <c r="L1231" s="10" t="s">
        <v>3879</v>
      </c>
    </row>
    <row r="1232" spans="1:12" s="166" customFormat="1" ht="18" customHeight="1">
      <c r="B1232" s="12" t="s">
        <v>3868</v>
      </c>
      <c r="I1232" s="9" t="s">
        <v>5405</v>
      </c>
      <c r="J1232" s="167" t="e">
        <f>CONCATENATE(cst_shinsei_strtower09_TOWER_NO," - ",cst_shinsei_strtower09_STR_TOWER_NO)</f>
        <v>#NAME?</v>
      </c>
    </row>
    <row r="1233" spans="1:12" s="166" customFormat="1" ht="18" customHeight="1">
      <c r="B1233" s="12" t="s">
        <v>3870</v>
      </c>
      <c r="I1233" s="9" t="s">
        <v>5406</v>
      </c>
      <c r="J1233" s="167" t="e">
        <f>CONCATENATE(cst_shinsei_strtower09_STR_TOWER_NO," ／ ",cst_shinsei_STR_SHINSEI_TOWERS)</f>
        <v>#NAME?</v>
      </c>
    </row>
    <row r="1234" spans="1:12" s="10" customFormat="1" ht="18" customHeight="1">
      <c r="A1234" s="12"/>
      <c r="B1234" s="12" t="s">
        <v>5407</v>
      </c>
      <c r="C1234" s="11"/>
      <c r="D1234" s="11"/>
      <c r="E1234" s="11"/>
      <c r="F1234" s="11"/>
      <c r="G1234" s="9" t="s">
        <v>5408</v>
      </c>
      <c r="H1234" s="13"/>
      <c r="I1234" s="9" t="s">
        <v>5409</v>
      </c>
      <c r="J1234" s="25" t="e">
        <f>IF(shinsei_strtower09_STR_TOWER_NAME="","",shinsei_strtower09_STR_TOWER_NAME)</f>
        <v>#NAME?</v>
      </c>
    </row>
    <row r="1235" spans="1:12" s="10" customFormat="1" ht="18" customHeight="1">
      <c r="A1235" s="12"/>
      <c r="B1235" s="12" t="s">
        <v>5410</v>
      </c>
      <c r="C1235" s="12"/>
      <c r="D1235" s="12"/>
      <c r="E1235" s="11"/>
      <c r="F1235" s="11"/>
      <c r="G1235" s="9" t="s">
        <v>5411</v>
      </c>
      <c r="H1235" s="20"/>
      <c r="I1235" s="20" t="s">
        <v>5412</v>
      </c>
      <c r="J1235" s="25" t="e">
        <f>IF(shinsei_strtower09_JUDGE="","",shinsei_strtower09_JUDGE)</f>
        <v>#NAME?</v>
      </c>
      <c r="K1235" s="10" t="s">
        <v>3878</v>
      </c>
      <c r="L1235" s="10" t="s">
        <v>3879</v>
      </c>
    </row>
    <row r="1236" spans="1:12" s="10" customFormat="1" ht="18" customHeight="1">
      <c r="A1236" s="12"/>
      <c r="B1236" s="12" t="s">
        <v>4441</v>
      </c>
      <c r="C1236" s="12"/>
      <c r="D1236" s="12"/>
      <c r="E1236" s="11"/>
      <c r="F1236" s="11"/>
      <c r="G1236" s="9" t="s">
        <v>5413</v>
      </c>
      <c r="H1236" s="13"/>
      <c r="I1236" s="9" t="s">
        <v>5414</v>
      </c>
      <c r="J1236" s="25" t="e">
        <f>IF(shinsei_strtower09_STR_TOWER_YOUTO_TEXT="","",shinsei_strtower09_STR_TOWER_YOUTO_TEXT)</f>
        <v>#NAME?</v>
      </c>
      <c r="K1236" s="10" t="s">
        <v>3862</v>
      </c>
      <c r="L1236" s="10" t="s">
        <v>3879</v>
      </c>
    </row>
    <row r="1237" spans="1:12" s="10" customFormat="1" ht="18" customHeight="1">
      <c r="A1237" s="12"/>
      <c r="B1237" s="12" t="s">
        <v>3790</v>
      </c>
      <c r="C1237" s="12"/>
      <c r="D1237" s="12"/>
      <c r="E1237" s="11"/>
      <c r="F1237" s="11"/>
      <c r="G1237" s="9" t="s">
        <v>5415</v>
      </c>
      <c r="H1237" s="13"/>
      <c r="I1237" s="9" t="s">
        <v>5416</v>
      </c>
      <c r="J1237" s="25" t="e">
        <f>IF(shinsei_strtower09_KOUJI_TEXT="","",shinsei_strtower09_KOUJI_TEXT)</f>
        <v>#NAME?</v>
      </c>
      <c r="K1237" s="10" t="s">
        <v>3862</v>
      </c>
      <c r="L1237" s="10" t="s">
        <v>3879</v>
      </c>
    </row>
    <row r="1238" spans="1:12" s="10" customFormat="1" ht="18" customHeight="1">
      <c r="A1238" s="12"/>
      <c r="B1238" s="12" t="s">
        <v>3888</v>
      </c>
      <c r="C1238" s="11"/>
      <c r="D1238" s="11"/>
      <c r="E1238" s="11"/>
      <c r="F1238" s="11"/>
      <c r="G1238" s="9" t="s">
        <v>5417</v>
      </c>
      <c r="H1238" s="13"/>
      <c r="I1238" s="9" t="s">
        <v>5418</v>
      </c>
      <c r="J1238" s="25" t="e">
        <f>IF(shinsei_strtower09_KOUZOU_TEXT="","",shinsei_strtower09_KOUZOU_TEXT)</f>
        <v>#NAME?</v>
      </c>
    </row>
    <row r="1239" spans="1:12" s="10" customFormat="1" ht="18" customHeight="1">
      <c r="A1239" s="12"/>
      <c r="B1239" s="12" t="s">
        <v>5419</v>
      </c>
      <c r="C1239" s="12"/>
      <c r="D1239" s="12"/>
      <c r="E1239" s="11"/>
      <c r="F1239" s="11"/>
      <c r="G1239" s="9" t="s">
        <v>5420</v>
      </c>
      <c r="H1239" s="13"/>
      <c r="I1239" s="9" t="s">
        <v>5421</v>
      </c>
      <c r="J1239" s="25" t="e">
        <f>IF(shinsei_strtower09_KOUZOU_TEXT="","",shinsei_strtower09_KOUZOU_TEXT)</f>
        <v>#NAME?</v>
      </c>
    </row>
    <row r="1240" spans="1:12" s="10" customFormat="1" ht="18" customHeight="1">
      <c r="A1240" s="12"/>
      <c r="B1240" s="12" t="s">
        <v>3893</v>
      </c>
      <c r="C1240" s="11"/>
      <c r="D1240" s="11"/>
      <c r="E1240" s="11"/>
      <c r="F1240" s="11"/>
      <c r="G1240" s="9" t="s">
        <v>5422</v>
      </c>
      <c r="H1240" s="13"/>
      <c r="I1240" s="9" t="s">
        <v>5423</v>
      </c>
      <c r="J1240" s="25" t="e">
        <f>IF(shinsei_strtower09_KOUZOU_KEISAN="","",shinsei_strtower09_KOUZOU_KEISAN)</f>
        <v>#NAME?</v>
      </c>
    </row>
    <row r="1241" spans="1:12" s="10" customFormat="1" ht="18" customHeight="1">
      <c r="A1241" s="12"/>
      <c r="B1241" s="12" t="s">
        <v>3893</v>
      </c>
      <c r="C1241" s="12"/>
      <c r="D1241" s="12"/>
      <c r="E1241" s="11"/>
      <c r="F1241" s="11"/>
      <c r="G1241" s="9" t="s">
        <v>5424</v>
      </c>
      <c r="H1241" s="13"/>
      <c r="I1241" s="10" t="s">
        <v>5425</v>
      </c>
      <c r="J1241" s="25" t="e">
        <f>IF(shinsei_strtower09_KOUZOU_KEISAN_TEXT="","",shinsei_strtower09_KOUZOU_KEISAN_TEXT)</f>
        <v>#NAME?</v>
      </c>
    </row>
    <row r="1242" spans="1:12" s="10" customFormat="1" ht="18" customHeight="1">
      <c r="A1242" s="12"/>
      <c r="B1242" s="12" t="s">
        <v>3902</v>
      </c>
      <c r="C1242" s="12"/>
      <c r="D1242" s="12"/>
      <c r="E1242" s="11"/>
      <c r="F1242" s="11"/>
      <c r="G1242" s="9" t="s">
        <v>5426</v>
      </c>
      <c r="H1242" s="65"/>
      <c r="I1242" s="19" t="s">
        <v>5427</v>
      </c>
      <c r="J1242" s="168" t="e">
        <f>IF(shinsei_strtower09_MENSEKI="","",shinsei_strtower09_MENSEKI)</f>
        <v>#NAME?</v>
      </c>
      <c r="K1242" s="10" t="s">
        <v>3906</v>
      </c>
      <c r="L1242" s="10" t="s">
        <v>3906</v>
      </c>
    </row>
    <row r="1243" spans="1:12" ht="18" customHeight="1">
      <c r="A1243" s="12"/>
      <c r="B1243" s="12"/>
      <c r="C1243" s="12"/>
      <c r="D1243" s="12"/>
      <c r="E1243" s="12" t="s">
        <v>3907</v>
      </c>
      <c r="F1243" s="12"/>
      <c r="G1243" s="9"/>
      <c r="H1243" s="9"/>
      <c r="I1243" s="9" t="s">
        <v>5428</v>
      </c>
      <c r="J1243" s="168" t="e">
        <f>IF(shinsei_strtower09_MENSEKI="","",TEXT(shinsei_strtower09_MENSEKI,"#,##0.00_ ")&amp;"㎡")</f>
        <v>#NAME?</v>
      </c>
    </row>
    <row r="1244" spans="1:12" s="10" customFormat="1" ht="18" customHeight="1">
      <c r="A1244" s="12"/>
      <c r="B1244" s="12" t="s">
        <v>4390</v>
      </c>
      <c r="C1244" s="12"/>
      <c r="D1244" s="12"/>
      <c r="E1244" s="11"/>
      <c r="F1244" s="11"/>
      <c r="G1244" s="9" t="s">
        <v>5429</v>
      </c>
      <c r="H1244" s="93"/>
      <c r="I1244" s="9" t="s">
        <v>5430</v>
      </c>
      <c r="J1244" s="170" t="e">
        <f>IF(shinsei_strtower09_MAX_TAKASA="","",shinsei_strtower09_MAX_TAKASA)</f>
        <v>#NAME?</v>
      </c>
      <c r="K1244" s="10" t="s">
        <v>3911</v>
      </c>
      <c r="L1244" s="10" t="s">
        <v>3911</v>
      </c>
    </row>
    <row r="1245" spans="1:12" s="10" customFormat="1" ht="18" customHeight="1">
      <c r="A1245" s="12"/>
      <c r="B1245" s="12" t="s">
        <v>4388</v>
      </c>
      <c r="C1245" s="11"/>
      <c r="D1245" s="11"/>
      <c r="E1245" s="11"/>
      <c r="F1245" s="11"/>
      <c r="G1245" s="9" t="s">
        <v>5431</v>
      </c>
      <c r="H1245" s="93"/>
      <c r="I1245" s="9" t="s">
        <v>5432</v>
      </c>
      <c r="J1245" s="170" t="e">
        <f>IF(shinsei_strtower09_MAX_NOKI_TAKASA="","",shinsei_strtower09_MAX_NOKI_TAKASA)</f>
        <v>#NAME?</v>
      </c>
    </row>
    <row r="1246" spans="1:12" s="10" customFormat="1" ht="18" customHeight="1">
      <c r="A1246" s="12"/>
      <c r="B1246" s="12" t="s">
        <v>3782</v>
      </c>
      <c r="C1246" s="12"/>
      <c r="D1246" s="12"/>
      <c r="E1246" s="11"/>
      <c r="F1246" s="11"/>
      <c r="G1246" s="9"/>
      <c r="H1246" s="9"/>
      <c r="I1246" s="9"/>
    </row>
    <row r="1247" spans="1:12" s="10" customFormat="1" ht="18" customHeight="1">
      <c r="A1247" s="12"/>
      <c r="B1247" s="12"/>
      <c r="C1247" s="11" t="s">
        <v>3783</v>
      </c>
      <c r="D1247" s="12"/>
      <c r="G1247" s="9" t="s">
        <v>5433</v>
      </c>
      <c r="H1247" s="136"/>
      <c r="I1247" s="9" t="s">
        <v>5434</v>
      </c>
      <c r="J1247" s="171" t="e">
        <f>IF(shinsei_strtower09_KAISU_TIJYOU="","",shinsei_strtower09_KAISU_TIJYOU)</f>
        <v>#NAME?</v>
      </c>
      <c r="K1247" s="10" t="s">
        <v>5435</v>
      </c>
      <c r="L1247" s="10" t="s">
        <v>5435</v>
      </c>
    </row>
    <row r="1248" spans="1:12" s="10" customFormat="1" ht="18" customHeight="1">
      <c r="A1248" s="12"/>
      <c r="B1248" s="12"/>
      <c r="C1248" s="11" t="s">
        <v>3785</v>
      </c>
      <c r="D1248" s="12"/>
      <c r="G1248" s="9" t="s">
        <v>5436</v>
      </c>
      <c r="H1248" s="136"/>
      <c r="I1248" s="9" t="s">
        <v>5437</v>
      </c>
      <c r="J1248" s="171" t="e">
        <f>IF(shinsei_strtower09_KAISU_TIKA="","",shinsei_strtower09_KAISU_TIKA)</f>
        <v>#NAME?</v>
      </c>
      <c r="K1248" s="10" t="s">
        <v>3916</v>
      </c>
      <c r="L1248" s="10" t="s">
        <v>3916</v>
      </c>
    </row>
    <row r="1249" spans="1:12" s="10" customFormat="1" ht="18" customHeight="1">
      <c r="A1249" s="12"/>
      <c r="B1249" s="12"/>
      <c r="C1249" s="11" t="s">
        <v>3787</v>
      </c>
      <c r="D1249" s="12"/>
      <c r="G1249" s="9" t="s">
        <v>5438</v>
      </c>
      <c r="H1249" s="136"/>
      <c r="I1249" s="9" t="s">
        <v>5439</v>
      </c>
      <c r="J1249" s="171" t="e">
        <f>IF(shinsei_strtower09_KAISU_TOUYA="","",shinsei_strtower09_KAISU_TOUYA)</f>
        <v>#NAME?</v>
      </c>
      <c r="K1249" s="10" t="s">
        <v>5281</v>
      </c>
      <c r="L1249" s="10" t="s">
        <v>5281</v>
      </c>
    </row>
    <row r="1250" spans="1:12" s="10" customFormat="1" ht="18" customHeight="1">
      <c r="B1250" s="12" t="s">
        <v>3923</v>
      </c>
      <c r="G1250" s="9" t="s">
        <v>5440</v>
      </c>
      <c r="H1250" s="13"/>
      <c r="I1250" s="10" t="s">
        <v>5441</v>
      </c>
      <c r="J1250" s="25" t="e">
        <f>IF(shinsei_strtower09_BUILD_KUBUN="","",shinsei_strtower09_BUILD_KUBUN)</f>
        <v>#NAME?</v>
      </c>
    </row>
    <row r="1251" spans="1:12" s="10" customFormat="1" ht="18" customHeight="1">
      <c r="B1251" s="12" t="s">
        <v>3923</v>
      </c>
      <c r="C1251" s="12"/>
      <c r="D1251" s="12"/>
      <c r="G1251" s="9" t="s">
        <v>5442</v>
      </c>
      <c r="H1251" s="13"/>
      <c r="I1251" s="10" t="s">
        <v>5443</v>
      </c>
      <c r="J1251" s="25" t="e">
        <f>IF(shinsei_strtower09_BUILD_KUBUN_TEXT="","",shinsei_strtower09_BUILD_KUBUN_TEXT)</f>
        <v>#NAME?</v>
      </c>
      <c r="K1251" s="10" t="s">
        <v>3862</v>
      </c>
    </row>
    <row r="1252" spans="1:12" s="10" customFormat="1" ht="18" customHeight="1">
      <c r="A1252" s="149"/>
      <c r="B1252" s="149"/>
      <c r="C1252" s="149" t="s">
        <v>3801</v>
      </c>
      <c r="D1252" s="149"/>
      <c r="E1252" s="149"/>
      <c r="F1252" s="149"/>
      <c r="G1252" s="149"/>
      <c r="H1252" s="12"/>
      <c r="I1252" s="149" t="s">
        <v>5444</v>
      </c>
      <c r="J1252" s="20" t="e">
        <f>IF(shinsei_strtower09_BUILD_KUBUN_TEXT="建築基準法第20条第２号に掲げる建築物","■","□")</f>
        <v>#NAME?</v>
      </c>
    </row>
    <row r="1253" spans="1:12" s="10" customFormat="1" ht="18" customHeight="1">
      <c r="A1253" s="149"/>
      <c r="B1253" s="149"/>
      <c r="C1253" s="149" t="s">
        <v>3801</v>
      </c>
      <c r="D1253" s="149"/>
      <c r="E1253" s="149"/>
      <c r="F1253" s="149"/>
      <c r="G1253" s="149"/>
      <c r="H1253" s="12"/>
      <c r="I1253" s="149" t="s">
        <v>5445</v>
      </c>
      <c r="J1253" s="20" t="e">
        <f>IF(shinsei_strtower09_BUILD_KUBUN_TEXT="建築基準法第20条第３号に掲げる建築物","■","□")</f>
        <v>#NAME?</v>
      </c>
    </row>
    <row r="1254" spans="1:12" s="10" customFormat="1" ht="18" customHeight="1">
      <c r="A1254" s="12"/>
      <c r="B1254" s="12" t="s">
        <v>3932</v>
      </c>
      <c r="C1254" s="12"/>
      <c r="D1254" s="12"/>
      <c r="E1254" s="11"/>
      <c r="F1254" s="11"/>
      <c r="G1254" s="9" t="s">
        <v>5446</v>
      </c>
      <c r="H1254" s="13"/>
      <c r="I1254" s="9" t="s">
        <v>5447</v>
      </c>
      <c r="J1254" s="25" t="e">
        <f>IF(shinsei_strtower09_MENJYO_TEXT="","",shinsei_strtower09_MENJYO_TEXT)</f>
        <v>#NAME?</v>
      </c>
      <c r="K1254" s="10" t="s">
        <v>3862</v>
      </c>
    </row>
    <row r="1255" spans="1:12" s="10" customFormat="1" ht="18" customHeight="1">
      <c r="A1255" s="12"/>
      <c r="B1255" s="12" t="s">
        <v>3935</v>
      </c>
      <c r="C1255" s="12"/>
      <c r="D1255" s="12"/>
      <c r="E1255" s="11"/>
      <c r="F1255" s="11"/>
      <c r="G1255" s="9" t="s">
        <v>5448</v>
      </c>
      <c r="H1255" s="20"/>
      <c r="I1255" s="9" t="s">
        <v>5449</v>
      </c>
      <c r="J1255" s="25" t="e">
        <f>IF(shinsei_strtower09_PROGRAM_KIND="","",shinsei_strtower09_PROGRAM_KIND)</f>
        <v>#NAME?</v>
      </c>
      <c r="K1255" s="10" t="s">
        <v>5704</v>
      </c>
    </row>
    <row r="1256" spans="1:12" s="10" customFormat="1" ht="18" customHeight="1">
      <c r="B1256" s="12" t="s">
        <v>3939</v>
      </c>
      <c r="C1256" s="12"/>
      <c r="D1256" s="12"/>
      <c r="G1256" s="9" t="s">
        <v>5450</v>
      </c>
      <c r="H1256" s="13"/>
      <c r="I1256" s="10" t="s">
        <v>5451</v>
      </c>
      <c r="J1256" s="25" t="e">
        <f>IF(shinsei_strtower09_REI80_2_KOKUJI_TEXT="","",shinsei_strtower09_REI80_2_KOKUJI_TEXT)</f>
        <v>#NAME?</v>
      </c>
    </row>
    <row r="1257" spans="1:12" s="10" customFormat="1" ht="18" customHeight="1">
      <c r="B1257" s="12" t="s">
        <v>3943</v>
      </c>
      <c r="C1257" s="12"/>
      <c r="D1257" s="12"/>
      <c r="G1257" s="9" t="s">
        <v>5452</v>
      </c>
      <c r="H1257" s="13"/>
      <c r="I1257" s="10" t="s">
        <v>5453</v>
      </c>
      <c r="J1257" s="25" t="e">
        <f>IF(shinsei_strtower09_PROGRAM_KIND__nintei__box="■",2,IF(OR(shinsei_strtower09_PROGRAM_KIND__hyouka__box="■",shinsei_strtower09_PROGRAM_KIND__sonota__box="■"),1,0))</f>
        <v>#NAME?</v>
      </c>
      <c r="K1257" s="10" t="s">
        <v>3946</v>
      </c>
    </row>
    <row r="1258" spans="1:12" s="10" customFormat="1" ht="18" customHeight="1">
      <c r="B1258" s="12" t="s">
        <v>3947</v>
      </c>
      <c r="C1258" s="12"/>
      <c r="D1258" s="12"/>
      <c r="G1258" s="9" t="s">
        <v>5454</v>
      </c>
      <c r="H1258" s="13"/>
    </row>
    <row r="1259" spans="1:12" s="10" customFormat="1" ht="18" customHeight="1">
      <c r="B1259" s="12" t="s">
        <v>4305</v>
      </c>
      <c r="C1259" s="12"/>
      <c r="D1259" s="12"/>
      <c r="G1259" s="9" t="s">
        <v>5455</v>
      </c>
      <c r="H1259" s="13"/>
    </row>
    <row r="1260" spans="1:12" s="10" customFormat="1" ht="18" customHeight="1">
      <c r="B1260" s="105" t="s">
        <v>3950</v>
      </c>
      <c r="C1260" s="105"/>
      <c r="D1260" s="105"/>
      <c r="E1260" s="24"/>
      <c r="F1260" s="24"/>
      <c r="G1260" s="9"/>
      <c r="H1260" s="12"/>
    </row>
    <row r="1261" spans="1:12" s="10" customFormat="1" ht="18" customHeight="1">
      <c r="C1261" s="10" t="s">
        <v>3951</v>
      </c>
      <c r="D1261" s="12"/>
      <c r="G1261" s="9" t="s">
        <v>5456</v>
      </c>
      <c r="H1261" s="13"/>
      <c r="I1261" s="10" t="s">
        <v>5457</v>
      </c>
      <c r="J1261" s="25" t="e">
        <f>IF(shinsei_strtower09_prgo01_NAME="","",shinsei_strtower09_prgo01_NAME)</f>
        <v>#NAME?</v>
      </c>
      <c r="K1261" s="10" t="s">
        <v>4860</v>
      </c>
      <c r="L1261" s="10" t="s">
        <v>3879</v>
      </c>
    </row>
    <row r="1262" spans="1:12" s="10" customFormat="1" ht="18" customHeight="1">
      <c r="C1262" s="12" t="s">
        <v>6555</v>
      </c>
      <c r="D1262" s="12"/>
      <c r="E1262" s="12"/>
      <c r="F1262" s="12"/>
      <c r="G1262" s="9" t="s">
        <v>5458</v>
      </c>
      <c r="H1262" s="13"/>
      <c r="I1262" s="10" t="s">
        <v>5459</v>
      </c>
      <c r="J1262" s="25" t="e">
        <f>IF(shinsei_strtower09_prgo01_VER="","",shinsei_strtower09_prgo01_VER)</f>
        <v>#NAME?</v>
      </c>
    </row>
    <row r="1263" spans="1:12" s="10" customFormat="1" ht="18" customHeight="1">
      <c r="C1263" s="12" t="s">
        <v>3957</v>
      </c>
      <c r="D1263" s="12"/>
      <c r="G1263" s="9"/>
      <c r="H1263" s="9"/>
      <c r="I1263" s="10" t="s">
        <v>5460</v>
      </c>
      <c r="J1263" s="25" t="e">
        <f>IF(shinsei_strtower09_prgo01_NAME="","",IF(shinsei_strtower09_prgo01_NINTEI_NO="","無","有"))</f>
        <v>#NAME?</v>
      </c>
      <c r="K1263" s="10" t="s">
        <v>3959</v>
      </c>
      <c r="L1263" s="10" t="s">
        <v>3879</v>
      </c>
    </row>
    <row r="1264" spans="1:12" s="10" customFormat="1" ht="18" customHeight="1">
      <c r="C1264" s="12" t="s">
        <v>3960</v>
      </c>
      <c r="D1264" s="12"/>
      <c r="G1264" s="9" t="s">
        <v>5461</v>
      </c>
      <c r="H1264" s="13"/>
      <c r="I1264" s="10" t="s">
        <v>5462</v>
      </c>
      <c r="J1264" s="25" t="e">
        <f>IF(shinsei_strtower09_prgo01_NINTEI_NO="","",shinsei_strtower09_prgo01_NINTEI_NO)</f>
        <v>#NAME?</v>
      </c>
      <c r="K1264" s="10" t="s">
        <v>5463</v>
      </c>
      <c r="L1264" s="10" t="s">
        <v>3879</v>
      </c>
    </row>
    <row r="1265" spans="2:12" s="10" customFormat="1" ht="18" customHeight="1">
      <c r="C1265" s="12" t="s">
        <v>3964</v>
      </c>
      <c r="D1265" s="12"/>
      <c r="G1265" s="9" t="s">
        <v>5464</v>
      </c>
      <c r="H1265" s="74"/>
      <c r="I1265" s="10" t="s">
        <v>5465</v>
      </c>
      <c r="J1265" s="25" t="e">
        <f>IF(shinsei_strtower09_prgo01_NINTEI_DATE="","",TEXT(shinsei_strtower09_prgo01_NINTEI_DATE,"ggge年m月d日")&amp;"  ")</f>
        <v>#NAME?</v>
      </c>
    </row>
    <row r="1266" spans="2:12" s="10" customFormat="1" ht="18" customHeight="1">
      <c r="C1266" s="12" t="s">
        <v>3967</v>
      </c>
      <c r="D1266" s="12"/>
      <c r="G1266" s="9" t="s">
        <v>5466</v>
      </c>
      <c r="H1266" s="13"/>
    </row>
    <row r="1267" spans="2:12" s="10" customFormat="1" ht="18" customHeight="1">
      <c r="C1267" s="12" t="s">
        <v>3970</v>
      </c>
      <c r="D1267" s="12"/>
      <c r="G1267" s="9"/>
      <c r="H1267" s="12"/>
      <c r="I1267" s="9" t="s">
        <v>5467</v>
      </c>
      <c r="J1267" s="25" t="e">
        <f>IF(shinsei_strtower09_prgo01_NAME="","",shinsei_strtower09_prgo01_NAME)&amp;CHAR(10)&amp;IF(shinsei_strtower09_prgo01_VER="","","Ver."&amp;shinsei_strtower09_prgo01_VER&amp;CHAR(10))</f>
        <v>#NAME?</v>
      </c>
    </row>
    <row r="1268" spans="2:12" s="10" customFormat="1" ht="18" customHeight="1">
      <c r="C1268" s="12" t="s">
        <v>3972</v>
      </c>
      <c r="D1268" s="12"/>
      <c r="G1268" s="9"/>
      <c r="H1268" s="12"/>
      <c r="I1268" s="9" t="s">
        <v>5468</v>
      </c>
      <c r="J1268" s="25" t="e">
        <f>IF(shinsei_strtower09_prgo01_NAME="","",shinsei_strtower09_prgo01_NAME&amp;" ")&amp;IF(shinsei_strtower09_prgo01_VER="","","Ver."&amp;shinsei_strtower09_prgo01_VER&amp;"  ")</f>
        <v>#NAME?</v>
      </c>
    </row>
    <row r="1269" spans="2:12" s="10" customFormat="1" ht="18" customHeight="1">
      <c r="C1269" s="12" t="s">
        <v>3974</v>
      </c>
      <c r="D1269" s="12"/>
      <c r="G1269" s="9"/>
      <c r="H1269" s="12"/>
    </row>
    <row r="1270" spans="2:12" s="10" customFormat="1" ht="18" customHeight="1">
      <c r="D1270" s="12" t="s">
        <v>3975</v>
      </c>
      <c r="G1270" s="9"/>
      <c r="H1270" s="12"/>
      <c r="I1270" s="9" t="s">
        <v>5469</v>
      </c>
      <c r="J1270" s="173" t="e">
        <f>IF(cst_shinsei_strtower09_prgo01_NINTEI__umu="有",IF(shinsei_strtower09_prgo01_MAKER_NAME="","",shinsei_strtower09_prgo01_MAKER_NAME&amp;"  "),"")</f>
        <v>#NAME?</v>
      </c>
    </row>
    <row r="1271" spans="2:12" s="10" customFormat="1" ht="18" customHeight="1">
      <c r="B1271" s="12"/>
      <c r="D1271" s="12" t="s">
        <v>3972</v>
      </c>
      <c r="G1271" s="9"/>
      <c r="H1271" s="12"/>
      <c r="I1271" s="9" t="s">
        <v>5470</v>
      </c>
      <c r="J1271" s="25" t="e">
        <f>IF(cst_shinsei_strtower09_prgo01_NINTEI__umu="有",IF(shinsei_strtower09_prgo01_NAME="","",shinsei_strtower09_prgo01_NAME&amp;" ")&amp;IF(shinsei_strtower09_prgo01_VER="","","Ver."&amp;shinsei_strtower09_prgo01_VER&amp;"  "),"")</f>
        <v>#NAME?</v>
      </c>
    </row>
    <row r="1272" spans="2:12" s="10" customFormat="1" ht="18" customHeight="1">
      <c r="C1272" s="12" t="s">
        <v>3981</v>
      </c>
      <c r="D1272" s="12"/>
      <c r="G1272" s="9"/>
      <c r="H1272" s="12"/>
    </row>
    <row r="1273" spans="2:12" s="10" customFormat="1" ht="18" customHeight="1">
      <c r="B1273" s="12"/>
      <c r="D1273" s="12" t="s">
        <v>3975</v>
      </c>
      <c r="G1273" s="9"/>
      <c r="H1273" s="12"/>
      <c r="I1273" s="9" t="s">
        <v>5471</v>
      </c>
      <c r="J1273" s="173" t="e">
        <f>IF(cst_shinsei_strtower09_prgo01_NINTEI__umu="無",IF(shinsei_strtower09_prgo01_MAKER_NAME="","",shinsei_strtower09_prgo01_MAKER_NAME&amp;"  "),"")</f>
        <v>#NAME?</v>
      </c>
    </row>
    <row r="1274" spans="2:12" s="10" customFormat="1" ht="18" customHeight="1">
      <c r="B1274" s="12"/>
      <c r="D1274" s="12" t="s">
        <v>3972</v>
      </c>
      <c r="G1274" s="9"/>
      <c r="H1274" s="12"/>
      <c r="I1274" s="9" t="s">
        <v>5472</v>
      </c>
      <c r="J1274" s="25" t="e">
        <f>IF(cst_shinsei_strtower09_prgo01_NINTEI__umu="無",IF(shinsei_strtower09_prgo01_NAME="","",shinsei_strtower09_prgo01_NAME&amp;" ")&amp;IF(shinsei_strtower09_prgo01_VER="","","Ver."&amp;shinsei_strtower09_prgo01_VER&amp;"  "),"")</f>
        <v>#NAME?</v>
      </c>
    </row>
    <row r="1275" spans="2:12" s="10" customFormat="1" ht="18" customHeight="1">
      <c r="B1275" s="105" t="s">
        <v>4000</v>
      </c>
      <c r="C1275" s="105"/>
      <c r="D1275" s="105"/>
      <c r="E1275" s="24"/>
      <c r="F1275" s="24"/>
      <c r="G1275" s="9"/>
      <c r="H1275" s="12"/>
    </row>
    <row r="1276" spans="2:12" s="10" customFormat="1" ht="18" customHeight="1">
      <c r="C1276" s="10" t="s">
        <v>3951</v>
      </c>
      <c r="D1276" s="12"/>
      <c r="G1276" s="9" t="s">
        <v>5473</v>
      </c>
      <c r="H1276" s="13"/>
      <c r="K1276" s="10" t="s">
        <v>3862</v>
      </c>
      <c r="L1276" s="10" t="s">
        <v>3879</v>
      </c>
    </row>
    <row r="1277" spans="2:12" s="10" customFormat="1" ht="18" customHeight="1">
      <c r="C1277" s="12" t="s">
        <v>3954</v>
      </c>
      <c r="D1277" s="12"/>
      <c r="G1277" s="9" t="s">
        <v>5474</v>
      </c>
      <c r="H1277" s="13"/>
    </row>
    <row r="1278" spans="2:12" s="10" customFormat="1" ht="18" customHeight="1">
      <c r="C1278" s="12" t="s">
        <v>3957</v>
      </c>
      <c r="D1278" s="12"/>
      <c r="G1278" s="9"/>
      <c r="H1278" s="9"/>
      <c r="I1278" s="10" t="s">
        <v>5475</v>
      </c>
      <c r="J1278" s="25" t="e">
        <f>IF(shinsei_strtower09_prgo02_NAME="","",IF(shinsei_strtower09_prgo02_NINTEI_NO="","無","有"))</f>
        <v>#NAME?</v>
      </c>
      <c r="K1278" s="10" t="s">
        <v>2941</v>
      </c>
      <c r="L1278" s="10" t="s">
        <v>3879</v>
      </c>
    </row>
    <row r="1279" spans="2:12" s="10" customFormat="1" ht="18" customHeight="1">
      <c r="C1279" s="12" t="s">
        <v>3960</v>
      </c>
      <c r="D1279" s="12"/>
      <c r="G1279" s="9" t="s">
        <v>5476</v>
      </c>
      <c r="H1279" s="13"/>
      <c r="K1279" s="10" t="s">
        <v>4791</v>
      </c>
      <c r="L1279" s="10" t="s">
        <v>3879</v>
      </c>
    </row>
    <row r="1280" spans="2:12" s="10" customFormat="1" ht="18" customHeight="1">
      <c r="C1280" s="12" t="s">
        <v>3964</v>
      </c>
      <c r="D1280" s="12"/>
      <c r="G1280" s="9" t="s">
        <v>5477</v>
      </c>
      <c r="H1280" s="74"/>
      <c r="I1280" s="10" t="s">
        <v>5478</v>
      </c>
      <c r="J1280" s="25" t="e">
        <f>IF(shinsei_strtower09_prgo02_NINTEI_DATE="","",shinsei_strtower09_prgo02_NINTEI_DATE)</f>
        <v>#NAME?</v>
      </c>
    </row>
    <row r="1281" spans="2:12" s="10" customFormat="1" ht="18" customHeight="1">
      <c r="C1281" s="12" t="s">
        <v>4794</v>
      </c>
      <c r="D1281" s="12"/>
      <c r="G1281" s="9" t="s">
        <v>5479</v>
      </c>
      <c r="H1281" s="13"/>
    </row>
    <row r="1282" spans="2:12" s="10" customFormat="1" ht="18" customHeight="1">
      <c r="C1282" s="12" t="s">
        <v>3970</v>
      </c>
      <c r="D1282" s="12"/>
      <c r="G1282" s="9"/>
      <c r="H1282" s="12"/>
      <c r="I1282" s="9" t="s">
        <v>5480</v>
      </c>
      <c r="J1282" s="25" t="e">
        <f>IF(shinsei_strtower09_prgo02_NAME="","",shinsei_strtower09_prgo02_NAME)&amp;CHAR(10)&amp;IF(shinsei_strtower09_prgo02_VER="","","Ver."&amp;shinsei_strtower09_prgo02_VER&amp;CHAR(10))</f>
        <v>#NAME?</v>
      </c>
    </row>
    <row r="1283" spans="2:12" s="10" customFormat="1" ht="18" customHeight="1">
      <c r="C1283" s="12" t="s">
        <v>3972</v>
      </c>
      <c r="D1283" s="12"/>
      <c r="G1283" s="9"/>
      <c r="H1283" s="12"/>
      <c r="I1283" s="9" t="s">
        <v>5481</v>
      </c>
      <c r="J1283" s="25" t="e">
        <f>IF(shinsei_strtower09_prgo02_NAME="","",shinsei_strtower09_prgo02_NAME&amp;" ")&amp;IF(shinsei_strtower09_prgo02_VER="","","Ver."&amp;shinsei_strtower09_prgo02_VER&amp;"  ")</f>
        <v>#NAME?</v>
      </c>
    </row>
    <row r="1284" spans="2:12" s="10" customFormat="1" ht="18" customHeight="1">
      <c r="C1284" s="12" t="s">
        <v>3974</v>
      </c>
      <c r="D1284" s="12"/>
      <c r="G1284" s="9"/>
      <c r="H1284" s="12"/>
    </row>
    <row r="1285" spans="2:12" s="10" customFormat="1" ht="18" customHeight="1">
      <c r="D1285" s="12" t="s">
        <v>3975</v>
      </c>
      <c r="G1285" s="9"/>
      <c r="H1285" s="12"/>
      <c r="I1285" s="9" t="s">
        <v>5482</v>
      </c>
      <c r="J1285" s="173" t="e">
        <f>IF(cst_shinsei_strtower09_prgo02_NINTEI__umu="有",IF(shinsei_strtower09_prgo02_MAKER_NAME="","",shinsei_strtower09_prgo02_MAKER_NAME&amp;"  "),"")</f>
        <v>#NAME?</v>
      </c>
    </row>
    <row r="1286" spans="2:12" s="10" customFormat="1" ht="18" customHeight="1">
      <c r="D1286" s="12" t="s">
        <v>3972</v>
      </c>
      <c r="G1286" s="9"/>
      <c r="H1286" s="12"/>
      <c r="I1286" s="9" t="s">
        <v>5483</v>
      </c>
      <c r="J1286" s="25" t="e">
        <f>IF(cst_shinsei_strtower09_prgo02_NINTEI__umu="有",IF(shinsei_strtower09_prgo02_NAME="","",shinsei_strtower09_prgo02_NAME&amp;" ")&amp;IF(shinsei_strtower09_prgo02_VER="","","Ver."&amp;shinsei_strtower09_prgo02_VER&amp;"  "),"")</f>
        <v>#NAME?</v>
      </c>
    </row>
    <row r="1287" spans="2:12" s="10" customFormat="1" ht="18" customHeight="1">
      <c r="C1287" s="12" t="s">
        <v>3981</v>
      </c>
      <c r="D1287" s="12"/>
      <c r="G1287" s="9"/>
      <c r="H1287" s="12"/>
    </row>
    <row r="1288" spans="2:12" s="10" customFormat="1" ht="18" customHeight="1">
      <c r="D1288" s="12" t="s">
        <v>3976</v>
      </c>
      <c r="G1288" s="9"/>
      <c r="H1288" s="12"/>
      <c r="I1288" s="9" t="s">
        <v>5484</v>
      </c>
      <c r="J1288" s="173" t="e">
        <f>IF(cst_shinsei_strtower09_prgo02_NINTEI__umu="無",IF(shinsei_strtower09_prgo02_MAKER_NAME="","",shinsei_strtower09_prgo02_MAKER_NAME&amp;"  "),"")</f>
        <v>#NAME?</v>
      </c>
    </row>
    <row r="1289" spans="2:12" s="10" customFormat="1" ht="18" customHeight="1">
      <c r="D1289" s="12" t="s">
        <v>3972</v>
      </c>
      <c r="G1289" s="9"/>
      <c r="H1289" s="12"/>
      <c r="I1289" s="9" t="s">
        <v>5485</v>
      </c>
      <c r="J1289" s="25" t="e">
        <f>IF(cst_shinsei_strtower09_prgo02_NINTEI__umu="無",IF(shinsei_strtower09_prgo02_NAME="","",shinsei_strtower09_prgo02_NAME&amp;" ")&amp;IF(shinsei_strtower09_prgo02_VER="","","Ver."&amp;shinsei_strtower09_prgo02_VER&amp;"  "),"")</f>
        <v>#NAME?</v>
      </c>
    </row>
    <row r="1290" spans="2:12" s="10" customFormat="1" ht="18" customHeight="1">
      <c r="B1290" s="105" t="s">
        <v>5330</v>
      </c>
      <c r="C1290" s="105"/>
      <c r="D1290" s="105"/>
      <c r="E1290" s="24"/>
      <c r="F1290" s="24"/>
      <c r="G1290" s="9"/>
      <c r="H1290" s="12"/>
    </row>
    <row r="1291" spans="2:12" s="10" customFormat="1" ht="18" customHeight="1">
      <c r="C1291" s="10" t="s">
        <v>3951</v>
      </c>
      <c r="D1291" s="12"/>
      <c r="G1291" s="9" t="s">
        <v>5486</v>
      </c>
      <c r="H1291" s="13"/>
      <c r="K1291" s="10" t="s">
        <v>3863</v>
      </c>
      <c r="L1291" s="10" t="s">
        <v>3879</v>
      </c>
    </row>
    <row r="1292" spans="2:12" s="10" customFormat="1" ht="18" customHeight="1">
      <c r="C1292" s="12" t="s">
        <v>4034</v>
      </c>
      <c r="D1292" s="12"/>
      <c r="G1292" s="9" t="s">
        <v>5487</v>
      </c>
      <c r="H1292" s="13"/>
    </row>
    <row r="1293" spans="2:12" s="10" customFormat="1" ht="18" customHeight="1">
      <c r="C1293" s="12" t="s">
        <v>3957</v>
      </c>
      <c r="D1293" s="12"/>
      <c r="G1293" s="9"/>
      <c r="H1293" s="9"/>
      <c r="I1293" s="10" t="s">
        <v>5488</v>
      </c>
      <c r="J1293" s="25" t="e">
        <f>IF(shinsei_strtower09_prgo03_NAME="","",IF(shinsei_strtower09_prgo03_NINTEI_NO="","無","有"))</f>
        <v>#NAME?</v>
      </c>
      <c r="K1293" s="10" t="s">
        <v>2941</v>
      </c>
      <c r="L1293" s="10" t="s">
        <v>3879</v>
      </c>
    </row>
    <row r="1294" spans="2:12" s="10" customFormat="1" ht="18" customHeight="1">
      <c r="C1294" s="12" t="s">
        <v>3960</v>
      </c>
      <c r="D1294" s="12"/>
      <c r="G1294" s="9" t="s">
        <v>5489</v>
      </c>
      <c r="H1294" s="13"/>
      <c r="K1294" s="10" t="s">
        <v>4807</v>
      </c>
      <c r="L1294" s="10" t="s">
        <v>3879</v>
      </c>
    </row>
    <row r="1295" spans="2:12" s="10" customFormat="1" ht="18" customHeight="1">
      <c r="C1295" s="12" t="s">
        <v>3964</v>
      </c>
      <c r="D1295" s="12"/>
      <c r="G1295" s="9" t="s">
        <v>5490</v>
      </c>
      <c r="H1295" s="74"/>
      <c r="I1295" s="10" t="s">
        <v>5491</v>
      </c>
      <c r="J1295" s="25" t="e">
        <f>IF(shinsei_strtower09_prgo03_NINTEI_DATE="","",TEXT(shinsei_strtower09_prgo03_NINTEI_DATE,"ggge年m月d日")&amp;"  ")</f>
        <v>#NAME?</v>
      </c>
    </row>
    <row r="1296" spans="2:12" s="10" customFormat="1" ht="18" customHeight="1">
      <c r="C1296" s="12" t="s">
        <v>3967</v>
      </c>
      <c r="D1296" s="12"/>
      <c r="G1296" s="9" t="s">
        <v>5492</v>
      </c>
      <c r="H1296" s="13"/>
      <c r="I1296" s="9"/>
      <c r="J1296" s="9"/>
    </row>
    <row r="1297" spans="2:12" s="10" customFormat="1" ht="18" customHeight="1">
      <c r="C1297" s="12" t="s">
        <v>3970</v>
      </c>
      <c r="D1297" s="12"/>
      <c r="G1297" s="9"/>
      <c r="H1297" s="12"/>
      <c r="I1297" s="9" t="s">
        <v>5493</v>
      </c>
      <c r="J1297" s="25" t="e">
        <f>IF(shinsei_strtower09_prgo03_NAME="","",shinsei_strtower09_prgo03_NAME)&amp;CHAR(10)&amp;IF(shinsei_strtower09_prgo03_VER="","","Ver."&amp;shinsei_strtower09_prgo03_VER&amp;CHAR(10))</f>
        <v>#NAME?</v>
      </c>
    </row>
    <row r="1298" spans="2:12" s="10" customFormat="1" ht="18" customHeight="1">
      <c r="C1298" s="12" t="s">
        <v>3972</v>
      </c>
      <c r="D1298" s="12"/>
      <c r="G1298" s="9"/>
      <c r="H1298" s="12"/>
      <c r="I1298" s="9" t="s">
        <v>5494</v>
      </c>
      <c r="J1298" s="25" t="e">
        <f>IF(shinsei_strtower09_prgo03_NAME="","",shinsei_strtower09_prgo03_NAME&amp;" ")&amp;IF(shinsei_strtower09_prgo03_VER="","","Ver."&amp;shinsei_strtower09_prgo03_VER&amp;"  ")</f>
        <v>#NAME?</v>
      </c>
    </row>
    <row r="1299" spans="2:12" s="10" customFormat="1" ht="18" customHeight="1">
      <c r="C1299" s="12" t="s">
        <v>3974</v>
      </c>
      <c r="D1299" s="12"/>
      <c r="G1299" s="9"/>
      <c r="H1299" s="12"/>
    </row>
    <row r="1300" spans="2:12" s="10" customFormat="1" ht="18" customHeight="1">
      <c r="D1300" s="12" t="s">
        <v>3975</v>
      </c>
      <c r="G1300" s="9"/>
      <c r="H1300" s="12"/>
      <c r="I1300" s="9" t="s">
        <v>5495</v>
      </c>
      <c r="J1300" s="173" t="e">
        <f>IF(cst_shinsei_strtower09_prgo03_NINTEI__umu="有",IF(shinsei_strtower09_prgo03_MAKER_NAME="","",shinsei_strtower09_prgo03_MAKER_NAME&amp;"  "),"")</f>
        <v>#NAME?</v>
      </c>
    </row>
    <row r="1301" spans="2:12" s="10" customFormat="1" ht="18" customHeight="1">
      <c r="D1301" s="12" t="s">
        <v>3972</v>
      </c>
      <c r="G1301" s="9"/>
      <c r="H1301" s="12"/>
      <c r="I1301" s="9" t="s">
        <v>5496</v>
      </c>
      <c r="J1301" s="25" t="e">
        <f>IF(cst_shinsei_strtower09_prgo03_NINTEI__umu="有",IF(shinsei_strtower09_prgo03_NAME="","",shinsei_strtower09_prgo03_NAME&amp;" ")&amp;IF(shinsei_strtower09_prgo03_VER="","","Ver."&amp;shinsei_strtower09_prgo03_VER&amp;"  "),"")</f>
        <v>#NAME?</v>
      </c>
    </row>
    <row r="1302" spans="2:12" s="10" customFormat="1" ht="18" customHeight="1">
      <c r="C1302" s="12" t="s">
        <v>3981</v>
      </c>
      <c r="D1302" s="12"/>
      <c r="G1302" s="9"/>
      <c r="H1302" s="12"/>
    </row>
    <row r="1303" spans="2:12" s="10" customFormat="1" ht="18" customHeight="1">
      <c r="D1303" s="12" t="s">
        <v>4815</v>
      </c>
      <c r="G1303" s="9"/>
      <c r="H1303" s="12"/>
      <c r="I1303" s="9" t="s">
        <v>5497</v>
      </c>
      <c r="J1303" s="173" t="e">
        <f>IF(cst_shinsei_strtower09_prgo03_NINTEI__umu="無",IF(shinsei_strtower09_prgo03_MAKER_NAME="","",shinsei_strtower09_prgo03_MAKER_NAME&amp;"  "),"")</f>
        <v>#NAME?</v>
      </c>
    </row>
    <row r="1304" spans="2:12" s="10" customFormat="1" ht="18" customHeight="1">
      <c r="D1304" s="12" t="s">
        <v>3972</v>
      </c>
      <c r="G1304" s="9"/>
      <c r="H1304" s="12"/>
      <c r="I1304" s="9" t="s">
        <v>5498</v>
      </c>
      <c r="J1304" s="25" t="e">
        <f>IF(cst_shinsei_strtower09_prgo03_NINTEI__umu="無",IF(shinsei_strtower09_prgo03_NAME="","",shinsei_strtower09_prgo03_NAME&amp;" ")&amp;IF(shinsei_strtower09_prgo03_VER="","","Ver."&amp;shinsei_strtower09_prgo03_VER&amp;"  "),"")</f>
        <v>#NAME?</v>
      </c>
    </row>
    <row r="1305" spans="2:12" s="10" customFormat="1" ht="18" customHeight="1">
      <c r="B1305" s="105" t="s">
        <v>5499</v>
      </c>
      <c r="C1305" s="105"/>
      <c r="D1305" s="105"/>
      <c r="E1305" s="24"/>
      <c r="F1305" s="24"/>
      <c r="G1305" s="9"/>
      <c r="H1305" s="12"/>
    </row>
    <row r="1306" spans="2:12" s="10" customFormat="1" ht="18" customHeight="1">
      <c r="C1306" s="10" t="s">
        <v>3951</v>
      </c>
      <c r="D1306" s="12"/>
      <c r="G1306" s="9" t="s">
        <v>5500</v>
      </c>
      <c r="H1306" s="13"/>
      <c r="K1306" s="10" t="s">
        <v>6509</v>
      </c>
      <c r="L1306" s="10" t="s">
        <v>3879</v>
      </c>
    </row>
    <row r="1307" spans="2:12" s="10" customFormat="1" ht="18" customHeight="1">
      <c r="C1307" s="12" t="s">
        <v>5501</v>
      </c>
      <c r="D1307" s="12"/>
      <c r="G1307" s="9" t="s">
        <v>5502</v>
      </c>
      <c r="H1307" s="13"/>
    </row>
    <row r="1308" spans="2:12" s="10" customFormat="1" ht="18" customHeight="1">
      <c r="C1308" s="12" t="s">
        <v>3957</v>
      </c>
      <c r="D1308" s="12"/>
      <c r="G1308" s="9"/>
      <c r="H1308" s="9"/>
      <c r="I1308" s="10" t="s">
        <v>5503</v>
      </c>
      <c r="J1308" s="25" t="e">
        <f>IF(shinsei_strtower09_prgo04_NAME="","",IF(shinsei_strtower09_prgo04_NINTEI_NO="","無","有"))</f>
        <v>#NAME?</v>
      </c>
      <c r="K1308" s="10" t="s">
        <v>2941</v>
      </c>
      <c r="L1308" s="10" t="s">
        <v>3879</v>
      </c>
    </row>
    <row r="1309" spans="2:12" s="10" customFormat="1" ht="18" customHeight="1">
      <c r="C1309" s="12" t="s">
        <v>3960</v>
      </c>
      <c r="D1309" s="12"/>
      <c r="G1309" s="9" t="s">
        <v>5504</v>
      </c>
      <c r="H1309" s="13"/>
      <c r="K1309" s="10" t="s">
        <v>3862</v>
      </c>
      <c r="L1309" s="10" t="s">
        <v>3879</v>
      </c>
    </row>
    <row r="1310" spans="2:12" s="10" customFormat="1" ht="18" customHeight="1">
      <c r="C1310" s="12" t="s">
        <v>3964</v>
      </c>
      <c r="D1310" s="12"/>
      <c r="G1310" s="9" t="s">
        <v>5505</v>
      </c>
      <c r="H1310" s="74"/>
      <c r="I1310" s="10" t="s">
        <v>5506</v>
      </c>
      <c r="J1310" s="25" t="e">
        <f>IF(shinsei_strtower09_prgo04_NINTEI_DATE="","",TEXT(shinsei_strtower09_prgo04_NINTEI_DATE,"ggge年m月d日")&amp;"  ")</f>
        <v>#NAME?</v>
      </c>
    </row>
    <row r="1311" spans="2:12" s="10" customFormat="1" ht="18" customHeight="1">
      <c r="C1311" s="12" t="s">
        <v>3968</v>
      </c>
      <c r="D1311" s="12"/>
      <c r="G1311" s="9" t="s">
        <v>5507</v>
      </c>
      <c r="H1311" s="13"/>
      <c r="I1311" s="9"/>
      <c r="J1311" s="9"/>
    </row>
    <row r="1312" spans="2:12" s="10" customFormat="1" ht="18" customHeight="1">
      <c r="C1312" s="12" t="s">
        <v>3970</v>
      </c>
      <c r="D1312" s="12"/>
      <c r="G1312" s="9"/>
      <c r="H1312" s="12"/>
      <c r="I1312" s="9" t="s">
        <v>5508</v>
      </c>
      <c r="J1312" s="25" t="e">
        <f>IF(shinsei_strtower09_prgo04_NAME="","",shinsei_strtower09_prgo04_NAME)&amp;CHAR(10)&amp;IF(shinsei_strtower09_prgo04_VER="","","Ver."&amp;shinsei_strtower09_prgo04_VER&amp;CHAR(10))</f>
        <v>#NAME?</v>
      </c>
    </row>
    <row r="1313" spans="2:12" s="10" customFormat="1" ht="18" customHeight="1">
      <c r="C1313" s="12" t="s">
        <v>3972</v>
      </c>
      <c r="D1313" s="12"/>
      <c r="G1313" s="9"/>
      <c r="H1313" s="12"/>
      <c r="I1313" s="9" t="s">
        <v>5509</v>
      </c>
      <c r="J1313" s="25" t="e">
        <f>IF(shinsei_strtower09_prgo04_NAME="","",shinsei_strtower09_prgo04_NAME&amp;" ")&amp;IF(shinsei_strtower09_prgo04_VER="","","Ver."&amp;shinsei_strtower09_prgo04_VER&amp;"  ")</f>
        <v>#NAME?</v>
      </c>
    </row>
    <row r="1314" spans="2:12" s="10" customFormat="1" ht="18" customHeight="1">
      <c r="C1314" s="12" t="s">
        <v>3974</v>
      </c>
      <c r="D1314" s="12"/>
      <c r="G1314" s="9"/>
      <c r="H1314" s="12"/>
    </row>
    <row r="1315" spans="2:12" s="10" customFormat="1" ht="18" customHeight="1">
      <c r="D1315" s="12" t="s">
        <v>6392</v>
      </c>
      <c r="G1315" s="9"/>
      <c r="H1315" s="12"/>
      <c r="I1315" s="9" t="s">
        <v>5510</v>
      </c>
      <c r="J1315" s="173" t="e">
        <f>IF(cst_shinsei_strtower09_prgo04_NINTEI__umu="有",IF(shinsei_strtower09_prgo04_MAKER_NAME="","",shinsei_strtower09_prgo04_MAKER_NAME&amp;"  "),"")</f>
        <v>#NAME?</v>
      </c>
    </row>
    <row r="1316" spans="2:12" s="10" customFormat="1" ht="18" customHeight="1">
      <c r="D1316" s="12" t="s">
        <v>3972</v>
      </c>
      <c r="G1316" s="9"/>
      <c r="H1316" s="12"/>
      <c r="I1316" s="9" t="s">
        <v>5511</v>
      </c>
      <c r="J1316" s="25" t="e">
        <f>IF(cst_shinsei_strtower09_prgo04_NINTEI__umu="有",IF(shinsei_strtower09_prgo04_NAME="","",shinsei_strtower09_prgo04_NAME&amp;" ")&amp;IF(shinsei_strtower09_prgo04_VER="","","Ver."&amp;shinsei_strtower09_prgo04_VER&amp;"  "),"")</f>
        <v>#NAME?</v>
      </c>
    </row>
    <row r="1317" spans="2:12" s="10" customFormat="1" ht="18" customHeight="1">
      <c r="C1317" s="12" t="s">
        <v>3981</v>
      </c>
      <c r="D1317" s="12"/>
      <c r="G1317" s="9"/>
      <c r="H1317" s="12"/>
    </row>
    <row r="1318" spans="2:12" s="10" customFormat="1" ht="18" customHeight="1">
      <c r="D1318" s="12" t="s">
        <v>3975</v>
      </c>
      <c r="G1318" s="9"/>
      <c r="H1318" s="12"/>
      <c r="I1318" s="9" t="s">
        <v>5512</v>
      </c>
      <c r="J1318" s="173" t="e">
        <f>IF(cst_shinsei_strtower09_prgo04_NINTEI__umu="無",IF(shinsei_strtower09_prgo04_MAKER_NAME="","",shinsei_strtower09_prgo04_MAKER_NAME&amp;"  "),"")</f>
        <v>#NAME?</v>
      </c>
    </row>
    <row r="1319" spans="2:12" s="10" customFormat="1" ht="18" customHeight="1">
      <c r="D1319" s="12" t="s">
        <v>3972</v>
      </c>
      <c r="G1319" s="9"/>
      <c r="H1319" s="12"/>
      <c r="I1319" s="9" t="s">
        <v>5513</v>
      </c>
      <c r="J1319" s="25" t="e">
        <f>IF(cst_shinsei_strtower09_prgo04_NINTEI__umu="無",IF(shinsei_strtower09_prgo04_NAME="","",shinsei_strtower09_prgo04_NAME&amp;" ")&amp;IF(shinsei_strtower09_prgo04_VER="","","Ver."&amp;shinsei_strtower09_prgo04_VER&amp;"  "),"")</f>
        <v>#NAME?</v>
      </c>
    </row>
    <row r="1320" spans="2:12" s="10" customFormat="1" ht="18" customHeight="1">
      <c r="B1320" s="105" t="s">
        <v>4049</v>
      </c>
      <c r="C1320" s="105"/>
      <c r="D1320" s="105"/>
      <c r="E1320" s="24"/>
      <c r="F1320" s="24"/>
      <c r="G1320" s="9"/>
      <c r="H1320" s="12"/>
    </row>
    <row r="1321" spans="2:12" s="10" customFormat="1" ht="18" customHeight="1">
      <c r="C1321" s="10" t="s">
        <v>3951</v>
      </c>
      <c r="D1321" s="12"/>
      <c r="G1321" s="9" t="s">
        <v>5514</v>
      </c>
      <c r="H1321" s="13"/>
      <c r="K1321" s="10" t="s">
        <v>3862</v>
      </c>
      <c r="L1321" s="10" t="s">
        <v>3879</v>
      </c>
    </row>
    <row r="1322" spans="2:12" s="10" customFormat="1" ht="18" customHeight="1">
      <c r="C1322" s="12" t="s">
        <v>3954</v>
      </c>
      <c r="D1322" s="12"/>
      <c r="G1322" s="9" t="s">
        <v>5515</v>
      </c>
      <c r="H1322" s="13"/>
    </row>
    <row r="1323" spans="2:12" s="10" customFormat="1" ht="18" customHeight="1">
      <c r="C1323" s="12" t="s">
        <v>3957</v>
      </c>
      <c r="D1323" s="12"/>
      <c r="G1323" s="9"/>
      <c r="H1323" s="9"/>
      <c r="I1323" s="10" t="s">
        <v>5516</v>
      </c>
      <c r="J1323" s="25" t="e">
        <f>IF(shinsei_strtower09_prgo05_NAME="","",IF(shinsei_strtower09_prgo05_NINTEI_NO="","無","有"))</f>
        <v>#NAME?</v>
      </c>
      <c r="K1323" s="10" t="s">
        <v>2941</v>
      </c>
      <c r="L1323" s="10" t="s">
        <v>3879</v>
      </c>
    </row>
    <row r="1324" spans="2:12" s="10" customFormat="1" ht="18" customHeight="1">
      <c r="C1324" s="12" t="s">
        <v>3960</v>
      </c>
      <c r="D1324" s="12"/>
      <c r="G1324" s="9" t="s">
        <v>5517</v>
      </c>
      <c r="H1324" s="13"/>
      <c r="K1324" s="10" t="s">
        <v>3862</v>
      </c>
      <c r="L1324" s="10" t="s">
        <v>3879</v>
      </c>
    </row>
    <row r="1325" spans="2:12" s="10" customFormat="1" ht="18" customHeight="1">
      <c r="C1325" s="12" t="s">
        <v>3964</v>
      </c>
      <c r="D1325" s="12"/>
      <c r="G1325" s="9" t="s">
        <v>5518</v>
      </c>
      <c r="H1325" s="74"/>
      <c r="I1325" s="10" t="s">
        <v>5519</v>
      </c>
      <c r="J1325" s="25" t="e">
        <f>IF(shinsei_strtower09_prgo05_NINTEI_DATE="","",TEXT(shinsei_strtower09_prgo05_NINTEI_DATE,"ggge年m月d日")&amp;"  ")</f>
        <v>#NAME?</v>
      </c>
    </row>
    <row r="1326" spans="2:12" s="10" customFormat="1" ht="18" customHeight="1">
      <c r="C1326" s="12" t="s">
        <v>6578</v>
      </c>
      <c r="D1326" s="12"/>
      <c r="G1326" s="9" t="s">
        <v>5520</v>
      </c>
      <c r="H1326" s="13"/>
    </row>
    <row r="1327" spans="2:12" s="10" customFormat="1" ht="18" customHeight="1">
      <c r="C1327" s="12" t="s">
        <v>3970</v>
      </c>
      <c r="D1327" s="12"/>
      <c r="G1327" s="9"/>
      <c r="H1327" s="12"/>
      <c r="I1327" s="9" t="s">
        <v>5521</v>
      </c>
      <c r="J1327" s="25" t="e">
        <f>IF(shinsei_strtower09_prgo05_NAME="","",shinsei_strtower09_prgo05_NAME)&amp;CHAR(10)&amp;IF(shinsei_strtower09_prgo05_VER="","","Ver."&amp;shinsei_strtower09_prgo05_VER&amp;CHAR(10))</f>
        <v>#NAME?</v>
      </c>
    </row>
    <row r="1328" spans="2:12" s="10" customFormat="1" ht="18" customHeight="1">
      <c r="C1328" s="12" t="s">
        <v>3972</v>
      </c>
      <c r="D1328" s="12"/>
      <c r="G1328" s="9"/>
      <c r="H1328" s="12"/>
      <c r="I1328" s="9" t="s">
        <v>5522</v>
      </c>
      <c r="J1328" s="25" t="e">
        <f>IF(shinsei_strtower09_prgo05_NAME="","",shinsei_strtower09_prgo05_NAME&amp;" ")&amp;IF(shinsei_strtower09_prgo05_VER="","","Ver."&amp;shinsei_strtower09_prgo05_VER&amp;"  ")</f>
        <v>#NAME?</v>
      </c>
    </row>
    <row r="1329" spans="2:10" s="10" customFormat="1" ht="18" customHeight="1">
      <c r="C1329" s="12" t="s">
        <v>3974</v>
      </c>
      <c r="D1329" s="12"/>
      <c r="G1329" s="9"/>
      <c r="H1329" s="12"/>
    </row>
    <row r="1330" spans="2:10" s="10" customFormat="1" ht="18" customHeight="1">
      <c r="D1330" s="12" t="s">
        <v>3975</v>
      </c>
      <c r="G1330" s="9"/>
      <c r="H1330" s="12"/>
      <c r="I1330" s="9" t="s">
        <v>5523</v>
      </c>
      <c r="J1330" s="173" t="e">
        <f>IF(cst_shinsei_strtower09_prgo05_NINTEI__umu="有",IF(shinsei_strtower09_prgo05_MAKER_NAME="","",shinsei_strtower09_prgo05_MAKER_NAME&amp;"  "),"")</f>
        <v>#NAME?</v>
      </c>
    </row>
    <row r="1331" spans="2:10" s="10" customFormat="1" ht="18" customHeight="1">
      <c r="D1331" s="12" t="s">
        <v>3972</v>
      </c>
      <c r="G1331" s="9"/>
      <c r="H1331" s="12"/>
      <c r="I1331" s="9" t="s">
        <v>5524</v>
      </c>
      <c r="J1331" s="25" t="e">
        <f>IF(cst_shinsei_strtower09_prgo05_NINTEI__umu="有",IF(shinsei_strtower09_prgo05_NAME="","",shinsei_strtower09_prgo05_NAME&amp;" ")&amp;IF(shinsei_strtower09_prgo05_VER="","","Ver."&amp;shinsei_strtower09_prgo05_VER&amp;"  "),"")</f>
        <v>#NAME?</v>
      </c>
    </row>
    <row r="1332" spans="2:10" s="10" customFormat="1" ht="18" customHeight="1">
      <c r="C1332" s="12" t="s">
        <v>3981</v>
      </c>
      <c r="D1332" s="12"/>
      <c r="G1332" s="9"/>
      <c r="H1332" s="12"/>
    </row>
    <row r="1333" spans="2:10" s="10" customFormat="1" ht="18" customHeight="1">
      <c r="D1333" s="12" t="s">
        <v>3975</v>
      </c>
      <c r="G1333" s="9"/>
      <c r="H1333" s="12"/>
      <c r="I1333" s="9" t="s">
        <v>5525</v>
      </c>
      <c r="J1333" s="173" t="e">
        <f>IF(cst_shinsei_strtower09_prgo05_NINTEI__umu="無",IF(shinsei_strtower09_prgo05_MAKER_NAME="","",shinsei_strtower09_prgo05_MAKER_NAME&amp;"  "),"")</f>
        <v>#NAME?</v>
      </c>
    </row>
    <row r="1334" spans="2:10" s="10" customFormat="1" ht="18" customHeight="1">
      <c r="D1334" s="12" t="s">
        <v>3972</v>
      </c>
      <c r="G1334" s="9"/>
      <c r="H1334" s="12"/>
      <c r="I1334" s="9" t="s">
        <v>5526</v>
      </c>
      <c r="J1334" s="25" t="e">
        <f>IF(cst_shinsei_strtower09_prgo05_NINTEI__umu="無",IF(shinsei_strtower09_prgo05_NAME="","",shinsei_strtower09_prgo05_NAME&amp;" ")&amp;IF(shinsei_strtower09_prgo05_VER="","","Ver."&amp;shinsei_strtower09_prgo05_VER&amp;"  "),"")</f>
        <v>#NAME?</v>
      </c>
    </row>
    <row r="1335" spans="2:10" s="10" customFormat="1" ht="18" customHeight="1">
      <c r="B1335" s="13" t="s">
        <v>3827</v>
      </c>
      <c r="C1335" s="13"/>
      <c r="D1335" s="13"/>
      <c r="E1335" s="25"/>
      <c r="F1335" s="25"/>
      <c r="G1335" s="9"/>
      <c r="H1335" s="80"/>
      <c r="I1335" s="9"/>
      <c r="J1335" s="80"/>
    </row>
    <row r="1336" spans="2:10" s="10" customFormat="1" ht="18" customHeight="1">
      <c r="C1336" s="12" t="s">
        <v>3970</v>
      </c>
      <c r="D1336" s="12"/>
      <c r="G1336" s="9"/>
      <c r="H1336" s="80"/>
      <c r="I1336" s="166" t="s">
        <v>5527</v>
      </c>
      <c r="J1336" s="74" t="e">
        <f>cst_shinsei_strtower09_prgo01_NAME_VER&amp;cst_shinsei_strtower09_prgo02_NAME_VER&amp;cst_shinsei_strtower09_prgo03_NAME_VER&amp;cst_shinsei_strtower09_prgo04_NAME_VER&amp;cst_shinsei_strtower09_prgo05_NAME_VER</f>
        <v>#NAME?</v>
      </c>
    </row>
    <row r="1337" spans="2:10" s="10" customFormat="1" ht="18" customHeight="1">
      <c r="C1337" s="12" t="s">
        <v>3972</v>
      </c>
      <c r="D1337" s="12"/>
      <c r="G1337" s="9"/>
      <c r="H1337" s="80"/>
      <c r="I1337" s="166" t="s">
        <v>5528</v>
      </c>
      <c r="J1337" s="74" t="e">
        <f>cst_shinsei_strtower09_prgo01_NAME_VER__SP&amp;cst_shinsei_strtower09_prgo02_NAME_VER__SP&amp;cst_shinsei_strtower09_prgo03_NAME_VER__SP&amp;cst_shinsei_strtower09_prgo04_NAME_VER__SP&amp;cst_shinsei_strtower09_prgo05_NAME_VER__SP</f>
        <v>#NAME?</v>
      </c>
    </row>
    <row r="1338" spans="2:10" s="10" customFormat="1" ht="18" customHeight="1">
      <c r="B1338" s="13" t="s">
        <v>4068</v>
      </c>
      <c r="C1338" s="13"/>
      <c r="D1338" s="13"/>
      <c r="E1338" s="25"/>
      <c r="F1338" s="25"/>
      <c r="G1338" s="9"/>
      <c r="H1338" s="80"/>
      <c r="I1338" s="9"/>
      <c r="J1338" s="80"/>
    </row>
    <row r="1339" spans="2:10" s="10" customFormat="1" ht="18" customHeight="1">
      <c r="C1339" s="12" t="s">
        <v>3975</v>
      </c>
      <c r="D1339" s="12"/>
      <c r="G1339" s="9"/>
      <c r="H1339" s="80"/>
      <c r="I1339" s="166" t="s">
        <v>5529</v>
      </c>
      <c r="J1339" s="74" t="e">
        <f>cst_shinsei_strtower09_prgo01_MAKER__NINTEI_ari&amp;cst_shinsei_strtower09_prgo02_MAKER__NINTEI_ari&amp;cst_shinsei_strtower09_prgo03_MAKER__NINTEI_ari&amp;cst_shinsei_strtower09_prgo04_MAKER__NINTEI_ari&amp;cst_shinsei_strtower09_prgo05_MAKER__NINTEI_ari</f>
        <v>#NAME?</v>
      </c>
    </row>
    <row r="1340" spans="2:10" s="10" customFormat="1" ht="18" customHeight="1">
      <c r="C1340" s="12" t="s">
        <v>3972</v>
      </c>
      <c r="D1340" s="12"/>
      <c r="G1340" s="9"/>
      <c r="H1340" s="80"/>
      <c r="I1340" s="166" t="s">
        <v>5530</v>
      </c>
      <c r="J1340" s="173" t="e">
        <f>cst_shinsei_strtower09_prgo01_NAME_VER__NINTEI_ari&amp;cst_shinsei_strtower09_prgo02_NAME_VER__NINTEI_ari&amp;cst_shinsei_strtower09_prgo03_NAME_VER__NINTEI_ari&amp;cst_shinsei_strtower09_prgo04_NAME_VER__NINTEI_ari&amp;cst_shinsei_strtower09_prgo05_NAME_VER__NINTEI_ari</f>
        <v>#NAME?</v>
      </c>
    </row>
    <row r="1341" spans="2:10" s="10" customFormat="1" ht="18" customHeight="1">
      <c r="C1341" s="12" t="s">
        <v>3964</v>
      </c>
      <c r="D1341" s="12"/>
      <c r="G1341" s="9"/>
      <c r="H1341" s="80"/>
      <c r="I1341" s="166" t="s">
        <v>5531</v>
      </c>
      <c r="J1341" s="74" t="e">
        <f>cst_shinsei_strtower09_prgo01_NINTEI_DATE_dsp&amp;cst_shinsei_strtower09_prgo02_NINTEI_DATE_dsp&amp;cst_shinsei_strtower09_prgo03_NINTEI_DATE_dsp&amp;cst_shinsei_strtower09_prgo04_NINTEI_DATE_dsp&amp;cst_shinsei_strtower09_prgo05_NINTEI_DATE_dsp</f>
        <v>#NAME?</v>
      </c>
    </row>
    <row r="1342" spans="2:10" s="10" customFormat="1" ht="18" customHeight="1">
      <c r="B1342" s="13" t="s">
        <v>4072</v>
      </c>
      <c r="C1342" s="13"/>
      <c r="D1342" s="13"/>
      <c r="E1342" s="25"/>
      <c r="F1342" s="25"/>
      <c r="G1342" s="9"/>
      <c r="H1342" s="80"/>
      <c r="I1342" s="9"/>
      <c r="J1342" s="80"/>
    </row>
    <row r="1343" spans="2:10" s="10" customFormat="1" ht="18" customHeight="1">
      <c r="C1343" s="12" t="s">
        <v>3976</v>
      </c>
      <c r="D1343" s="12"/>
      <c r="G1343" s="9"/>
      <c r="H1343" s="80"/>
      <c r="I1343" s="166" t="s">
        <v>5532</v>
      </c>
      <c r="J1343" s="74" t="e">
        <f>cst_shinsei_strtower09_prgo01_MAKER__NINTEI_non&amp;cst_shinsei_strtower09_prgo02_MAKER__NINTEI_non&amp;cst_shinsei_strtower09_prgo03_MAKER__NINTEI_non&amp;cst_shinsei_strtower09_prgo04_MAKER__NINTEI_non&amp;cst_shinsei_strtower09_prgo05_MAKER__NINTEI_non</f>
        <v>#NAME?</v>
      </c>
    </row>
    <row r="1344" spans="2:10" s="10" customFormat="1" ht="18" customHeight="1">
      <c r="C1344" s="12" t="s">
        <v>3972</v>
      </c>
      <c r="D1344" s="12"/>
      <c r="G1344" s="9"/>
      <c r="H1344" s="80"/>
      <c r="I1344" s="166" t="s">
        <v>5533</v>
      </c>
      <c r="J1344" s="173" t="e">
        <f>cst_shinsei_strtower09_prgo01_NAME_VER__NINTEI_non&amp;cst_shinsei_strtower09_prgo02_NAME_VER__NINTEI_non&amp;cst_shinsei_strtower09_prgo03_NAME_VER__NINTEI_non&amp;cst_shinsei_strtower09_prgo04_NAME_VER__NINTEI_non&amp;cst_shinsei_strtower09_prgo05_NAME_VER__NINTEI_non</f>
        <v>#NAME?</v>
      </c>
    </row>
    <row r="1345" spans="1:12" s="10" customFormat="1" ht="18" customHeight="1">
      <c r="B1345" s="12" t="s">
        <v>4075</v>
      </c>
      <c r="G1345" s="9" t="s">
        <v>5534</v>
      </c>
      <c r="H1345" s="20"/>
      <c r="I1345" s="9" t="s">
        <v>5535</v>
      </c>
      <c r="J1345" s="20" t="e">
        <f>IF(shinsei_strtower09_DISK_FLAG="","",IF(shinsei_strtower09_DISK_FLAG=1,"有","無"))</f>
        <v>#NAME?</v>
      </c>
    </row>
    <row r="1346" spans="1:12" s="10" customFormat="1" ht="18" customHeight="1">
      <c r="A1346" s="9"/>
      <c r="B1346" s="9" t="s">
        <v>2955</v>
      </c>
      <c r="C1346" s="9"/>
      <c r="D1346" s="9"/>
      <c r="E1346" s="9"/>
      <c r="F1346" s="9"/>
      <c r="G1346" s="9" t="s">
        <v>5536</v>
      </c>
      <c r="H1346" s="136"/>
      <c r="I1346" s="19" t="s">
        <v>5537</v>
      </c>
      <c r="J1346" s="171" t="e">
        <f>IF(shinsei_strtower09_CHARGE="","",shinsei_strtower09_CHARGE)</f>
        <v>#NAME?</v>
      </c>
      <c r="K1346" s="9" t="s">
        <v>2528</v>
      </c>
      <c r="L1346" s="9" t="s">
        <v>2528</v>
      </c>
    </row>
    <row r="1347" spans="1:12" ht="18" customHeight="1">
      <c r="A1347" s="149"/>
      <c r="B1347" s="149"/>
      <c r="C1347" s="149"/>
      <c r="D1347" s="149"/>
      <c r="E1347" s="12" t="s">
        <v>3907</v>
      </c>
      <c r="F1347" s="12"/>
      <c r="G1347" s="149"/>
      <c r="I1347" s="100" t="s">
        <v>5538</v>
      </c>
      <c r="J1347" s="171" t="e">
        <f>IF(shinsei_strtower09_CHARGE="","",TEXT(shinsei_strtower09_CHARGE,"#,##0_ ")&amp;"円")</f>
        <v>#NAME?</v>
      </c>
      <c r="K1347" s="9"/>
      <c r="L1347" s="9"/>
    </row>
    <row r="1348" spans="1:12" ht="18" customHeight="1">
      <c r="A1348" s="149"/>
      <c r="B1348" s="149" t="s">
        <v>3041</v>
      </c>
      <c r="C1348" s="149"/>
      <c r="D1348" s="149"/>
      <c r="E1348" s="149"/>
      <c r="F1348" s="149"/>
      <c r="G1348" s="149" t="s">
        <v>5539</v>
      </c>
      <c r="H1348" s="136"/>
      <c r="I1348" s="100" t="s">
        <v>5540</v>
      </c>
      <c r="J1348" s="136" t="e">
        <f>IF(shinsei_strtower09_CHARGE_WARIMASHI="","",shinsei_strtower09_CHARGE_WARIMASHI)</f>
        <v>#NAME?</v>
      </c>
      <c r="K1348" s="9" t="s">
        <v>2528</v>
      </c>
      <c r="L1348" s="9" t="s">
        <v>2528</v>
      </c>
    </row>
    <row r="1349" spans="1:12" ht="18" customHeight="1">
      <c r="A1349" s="149"/>
      <c r="B1349" s="149" t="s">
        <v>3043</v>
      </c>
      <c r="C1349" s="149"/>
      <c r="D1349" s="149"/>
      <c r="E1349" s="149"/>
      <c r="F1349" s="149"/>
      <c r="G1349" s="149" t="s">
        <v>5541</v>
      </c>
      <c r="H1349" s="136"/>
      <c r="I1349" s="100" t="s">
        <v>5542</v>
      </c>
      <c r="J1349" s="136" t="e">
        <f>IF(shinsei_strtower09_CHARGE_TOTAL="","",shinsei_strtower09_CHARGE_TOTAL)</f>
        <v>#NAME?</v>
      </c>
      <c r="K1349" s="9" t="s">
        <v>2528</v>
      </c>
      <c r="L1349" s="9" t="s">
        <v>2528</v>
      </c>
    </row>
    <row r="1350" spans="1:12" ht="18" customHeight="1">
      <c r="A1350" s="149"/>
      <c r="B1350" s="149" t="s">
        <v>5637</v>
      </c>
      <c r="C1350" s="149"/>
      <c r="D1350" s="149"/>
      <c r="E1350" s="149"/>
      <c r="F1350" s="149"/>
      <c r="G1350" s="149" t="s">
        <v>5543</v>
      </c>
      <c r="H1350" s="13"/>
      <c r="I1350" s="176" t="s">
        <v>5544</v>
      </c>
      <c r="J1350" s="20" t="e">
        <f>IF(shinsei_strtower09_CHARGE_KEISAN_NOTE="","",shinsei_strtower09_CHARGE_KEISAN_NOTE)</f>
        <v>#NAME?</v>
      </c>
      <c r="K1350" s="10" t="s">
        <v>3862</v>
      </c>
      <c r="L1350" s="10" t="s">
        <v>3879</v>
      </c>
    </row>
    <row r="1351" spans="1:12" ht="18" customHeight="1">
      <c r="A1351" s="149"/>
      <c r="B1351" s="149"/>
      <c r="C1351" s="149"/>
      <c r="D1351" s="149"/>
      <c r="E1351" s="149" t="s">
        <v>5640</v>
      </c>
      <c r="F1351" s="149"/>
      <c r="G1351" s="149"/>
      <c r="I1351" s="100" t="s">
        <v>5545</v>
      </c>
      <c r="J1351" s="20" t="e">
        <f>IF(shinsei_INSPECTION_TYPE="計画変更",IF(shinsei_strtower09_CHARGE="","","延べ面積×1/2により算出"),IF(shinsei_strtower09_CHARGE_KEISAN_NOTE="","",shinsei_strtower09_CHARGE_KEISAN_NOTE))</f>
        <v>#NAME?</v>
      </c>
    </row>
    <row r="1352" spans="1:12" ht="18" customHeight="1">
      <c r="A1352" s="149"/>
      <c r="B1352" s="149" t="s">
        <v>5642</v>
      </c>
      <c r="C1352" s="149"/>
      <c r="D1352" s="149"/>
      <c r="E1352" s="149"/>
      <c r="F1352" s="149"/>
      <c r="G1352" s="149" t="s">
        <v>5546</v>
      </c>
      <c r="H1352" s="13"/>
      <c r="I1352" s="149" t="s">
        <v>5547</v>
      </c>
      <c r="J1352" s="20" t="e">
        <f>IF(shinsei_strtower09_KEISAN_X_ROUTE="","",shinsei_strtower09_KEISAN_X_ROUTE)</f>
        <v>#NAME?</v>
      </c>
    </row>
    <row r="1353" spans="1:12" ht="18" customHeight="1">
      <c r="A1353" s="149"/>
      <c r="B1353" s="149" t="s">
        <v>5645</v>
      </c>
      <c r="C1353" s="149"/>
      <c r="D1353" s="149"/>
      <c r="E1353" s="149"/>
      <c r="F1353" s="149"/>
      <c r="G1353" s="149" t="s">
        <v>5548</v>
      </c>
      <c r="H1353" s="13"/>
      <c r="I1353" s="149" t="s">
        <v>5549</v>
      </c>
      <c r="J1353" s="20" t="e">
        <f>IF(shinsei_strtower09_KEISAN_Y_ROUTE="","",shinsei_strtower09_KEISAN_Y_ROUTE)</f>
        <v>#NAME?</v>
      </c>
    </row>
    <row r="1354" spans="1:12" ht="18" customHeight="1">
      <c r="A1354" s="149"/>
      <c r="B1354" s="149"/>
      <c r="C1354" s="149" t="s">
        <v>3805</v>
      </c>
      <c r="D1354" s="149"/>
      <c r="E1354" s="149"/>
      <c r="F1354" s="149"/>
      <c r="G1354" s="149"/>
      <c r="H1354" s="12"/>
      <c r="I1354" s="149" t="s">
        <v>5550</v>
      </c>
      <c r="J1354" s="20" t="e">
        <f>IF(AND(cst_shinsei_strtower09_KEISAN_X_ROUTE="3",cst_shinsei_strtower09_KEISAN_Y_ROUTE="3"),"■","□")</f>
        <v>#NAME?</v>
      </c>
    </row>
    <row r="1355" spans="1:12" ht="18" customHeight="1">
      <c r="A1355" s="149"/>
      <c r="B1355" s="149" t="s">
        <v>5650</v>
      </c>
      <c r="C1355" s="149"/>
      <c r="D1355" s="149"/>
      <c r="E1355" s="149"/>
      <c r="F1355" s="149"/>
      <c r="G1355" s="149" t="s">
        <v>5551</v>
      </c>
      <c r="H1355" s="13"/>
      <c r="I1355" s="149" t="s">
        <v>5552</v>
      </c>
      <c r="J1355" s="20" t="e">
        <f>IF(shinsei_strtower09_PROGRAM_KIND_SONOTA="","",shinsei_strtower09_PROGRAM_KIND_SONOTA)</f>
        <v>#NAME?</v>
      </c>
    </row>
    <row r="1356" spans="1:12" ht="18" customHeight="1">
      <c r="A1356" s="149"/>
      <c r="B1356" s="149"/>
      <c r="C1356" s="149"/>
      <c r="D1356" s="149"/>
      <c r="E1356" s="149"/>
      <c r="F1356" s="149"/>
      <c r="G1356" s="149"/>
      <c r="I1356" s="149"/>
    </row>
    <row r="1357" spans="1:12" s="10" customFormat="1" ht="18" customHeight="1">
      <c r="A1357" s="162" t="s">
        <v>3087</v>
      </c>
      <c r="B1357" s="162"/>
      <c r="C1357" s="162"/>
      <c r="D1357" s="162"/>
      <c r="E1357" s="163"/>
      <c r="F1357" s="163"/>
      <c r="G1357" s="164"/>
      <c r="H1357" s="165"/>
      <c r="I1357" s="9"/>
    </row>
    <row r="1358" spans="1:12" s="10" customFormat="1" ht="18" customHeight="1">
      <c r="A1358" s="12"/>
      <c r="B1358" s="12" t="s">
        <v>3859</v>
      </c>
      <c r="C1358" s="12"/>
      <c r="D1358" s="12"/>
      <c r="E1358" s="11"/>
      <c r="F1358" s="11"/>
      <c r="G1358" s="10" t="s">
        <v>5553</v>
      </c>
      <c r="H1358" s="13"/>
      <c r="I1358" s="19" t="s">
        <v>5554</v>
      </c>
      <c r="J1358" s="25" t="e">
        <f>IF(shinsei_strtower10_TOWER_NO="","",shinsei_strtower10_TOWER_NO)</f>
        <v>#NAME?</v>
      </c>
      <c r="K1358" s="10" t="s">
        <v>3862</v>
      </c>
    </row>
    <row r="1359" spans="1:12" s="10" customFormat="1" ht="18" customHeight="1">
      <c r="A1359" s="12"/>
      <c r="B1359" s="12" t="s">
        <v>3864</v>
      </c>
      <c r="C1359" s="12"/>
      <c r="D1359" s="12"/>
      <c r="E1359" s="11"/>
      <c r="F1359" s="11"/>
      <c r="G1359" s="9" t="s">
        <v>5555</v>
      </c>
      <c r="H1359" s="13"/>
      <c r="I1359" s="19" t="s">
        <v>5556</v>
      </c>
      <c r="J1359" s="25" t="e">
        <f>IF(shinsei_strtower10_STR_TOWER_NO="","",shinsei_strtower10_STR_TOWER_NO)</f>
        <v>#NAME?</v>
      </c>
      <c r="K1359" s="10" t="s">
        <v>3862</v>
      </c>
      <c r="L1359" s="10" t="s">
        <v>3879</v>
      </c>
    </row>
    <row r="1360" spans="1:12" s="166" customFormat="1" ht="18" customHeight="1">
      <c r="B1360" s="12" t="s">
        <v>3868</v>
      </c>
      <c r="I1360" s="9" t="s">
        <v>5557</v>
      </c>
      <c r="J1360" s="167" t="e">
        <f>CONCATENATE(cst_shinsei_strtower10_TOWER_NO," - ",cst_shinsei_strtower10_STR_TOWER_NO)</f>
        <v>#NAME?</v>
      </c>
    </row>
    <row r="1361" spans="1:12" s="166" customFormat="1" ht="18" customHeight="1">
      <c r="B1361" s="12" t="s">
        <v>3870</v>
      </c>
      <c r="I1361" s="9" t="s">
        <v>5558</v>
      </c>
      <c r="J1361" s="167" t="e">
        <f>CONCATENATE(cst_shinsei_strtower10_STR_TOWER_NO," ／ ",cst_shinsei_STR_SHINSEI_TOWERS)</f>
        <v>#NAME?</v>
      </c>
    </row>
    <row r="1362" spans="1:12" s="10" customFormat="1" ht="18" customHeight="1">
      <c r="A1362" s="12"/>
      <c r="B1362" s="12" t="s">
        <v>5559</v>
      </c>
      <c r="C1362" s="11"/>
      <c r="D1362" s="11"/>
      <c r="E1362" s="11"/>
      <c r="F1362" s="11"/>
      <c r="G1362" s="9" t="s">
        <v>5560</v>
      </c>
      <c r="H1362" s="13"/>
      <c r="I1362" s="9" t="s">
        <v>5561</v>
      </c>
      <c r="J1362" s="25" t="e">
        <f>IF(shinsei_strtower10_STR_TOWER_NAME="","",shinsei_strtower10_STR_TOWER_NAME)</f>
        <v>#NAME?</v>
      </c>
    </row>
    <row r="1363" spans="1:12" s="10" customFormat="1" ht="18" customHeight="1">
      <c r="A1363" s="12"/>
      <c r="B1363" s="12" t="s">
        <v>3875</v>
      </c>
      <c r="C1363" s="12"/>
      <c r="D1363" s="12"/>
      <c r="E1363" s="11"/>
      <c r="F1363" s="11"/>
      <c r="G1363" s="9" t="s">
        <v>5562</v>
      </c>
      <c r="H1363" s="20"/>
      <c r="I1363" s="20" t="s">
        <v>5563</v>
      </c>
      <c r="J1363" s="25" t="e">
        <f>IF(shinsei_strtower10_JUDGE="","",shinsei_strtower10_JUDGE)</f>
        <v>#NAME?</v>
      </c>
      <c r="K1363" s="10" t="s">
        <v>3878</v>
      </c>
      <c r="L1363" s="10" t="s">
        <v>3879</v>
      </c>
    </row>
    <row r="1364" spans="1:12" s="10" customFormat="1" ht="18" customHeight="1">
      <c r="A1364" s="12"/>
      <c r="B1364" s="12" t="s">
        <v>4441</v>
      </c>
      <c r="C1364" s="12"/>
      <c r="D1364" s="12"/>
      <c r="E1364" s="11"/>
      <c r="F1364" s="11"/>
      <c r="G1364" s="9" t="s">
        <v>5564</v>
      </c>
      <c r="H1364" s="13"/>
      <c r="I1364" s="9" t="s">
        <v>5565</v>
      </c>
      <c r="J1364" s="25" t="e">
        <f>IF(shinsei_strtower10_STR_TOWER_YOUTO_TEXT="","",shinsei_strtower10_STR_TOWER_YOUTO_TEXT)</f>
        <v>#NAME?</v>
      </c>
      <c r="K1364" s="10" t="s">
        <v>3863</v>
      </c>
      <c r="L1364" s="10" t="s">
        <v>3879</v>
      </c>
    </row>
    <row r="1365" spans="1:12" s="10" customFormat="1" ht="18" customHeight="1">
      <c r="A1365" s="12"/>
      <c r="B1365" s="12" t="s">
        <v>3790</v>
      </c>
      <c r="C1365" s="12"/>
      <c r="D1365" s="12"/>
      <c r="E1365" s="11"/>
      <c r="F1365" s="11"/>
      <c r="G1365" s="9" t="s">
        <v>5566</v>
      </c>
      <c r="H1365" s="13"/>
      <c r="I1365" s="9" t="s">
        <v>5567</v>
      </c>
      <c r="J1365" s="25" t="e">
        <f>IF(shinsei_strtower10_KOUJI_TEXT="","",shinsei_strtower10_KOUJI_TEXT)</f>
        <v>#NAME?</v>
      </c>
      <c r="K1365" s="10" t="s">
        <v>4762</v>
      </c>
      <c r="L1365" s="10" t="s">
        <v>3879</v>
      </c>
    </row>
    <row r="1366" spans="1:12" s="10" customFormat="1" ht="18" customHeight="1">
      <c r="A1366" s="12"/>
      <c r="B1366" s="12" t="s">
        <v>5568</v>
      </c>
      <c r="C1366" s="11"/>
      <c r="D1366" s="11"/>
      <c r="E1366" s="11"/>
      <c r="F1366" s="11"/>
      <c r="G1366" s="9" t="s">
        <v>5569</v>
      </c>
      <c r="H1366" s="13"/>
      <c r="I1366" s="9" t="s">
        <v>5570</v>
      </c>
      <c r="J1366" s="25" t="e">
        <f>IF(shinsei_strtower10_KOUZOU_TEXT="","",shinsei_strtower10_KOUZOU_TEXT)</f>
        <v>#NAME?</v>
      </c>
    </row>
    <row r="1367" spans="1:12" s="10" customFormat="1" ht="18" customHeight="1">
      <c r="A1367" s="12"/>
      <c r="B1367" s="12" t="s">
        <v>5571</v>
      </c>
      <c r="C1367" s="12"/>
      <c r="D1367" s="12"/>
      <c r="E1367" s="11"/>
      <c r="F1367" s="11"/>
      <c r="G1367" s="9" t="s">
        <v>5572</v>
      </c>
      <c r="H1367" s="13"/>
      <c r="I1367" s="9" t="s">
        <v>5573</v>
      </c>
      <c r="J1367" s="25" t="e">
        <f>IF(shinsei_strtower10_KOUZOU_TEXT="","",shinsei_strtower10_KOUZOU_TEXT)</f>
        <v>#NAME?</v>
      </c>
    </row>
    <row r="1368" spans="1:12" s="10" customFormat="1" ht="18" customHeight="1">
      <c r="A1368" s="12"/>
      <c r="B1368" s="12" t="s">
        <v>3893</v>
      </c>
      <c r="C1368" s="11"/>
      <c r="D1368" s="11"/>
      <c r="E1368" s="11"/>
      <c r="F1368" s="11"/>
      <c r="G1368" s="9" t="s">
        <v>5574</v>
      </c>
      <c r="H1368" s="13"/>
      <c r="I1368" s="9" t="s">
        <v>5575</v>
      </c>
      <c r="J1368" s="25" t="e">
        <f>IF(shinsei_strtower10_KOUZOU_KEISAN="","",shinsei_strtower10_KOUZOU_KEISAN)</f>
        <v>#NAME?</v>
      </c>
    </row>
    <row r="1369" spans="1:12" s="10" customFormat="1" ht="18" customHeight="1">
      <c r="A1369" s="12"/>
      <c r="B1369" s="12" t="s">
        <v>3893</v>
      </c>
      <c r="C1369" s="12"/>
      <c r="D1369" s="12"/>
      <c r="E1369" s="11"/>
      <c r="F1369" s="11"/>
      <c r="G1369" s="9" t="s">
        <v>5576</v>
      </c>
      <c r="H1369" s="13"/>
      <c r="I1369" s="10" t="s">
        <v>5577</v>
      </c>
      <c r="J1369" s="25" t="e">
        <f>IF(shinsei_strtower10_KOUZOU_KEISAN_TEXT="","",shinsei_strtower10_KOUZOU_KEISAN_TEXT)</f>
        <v>#NAME?</v>
      </c>
    </row>
    <row r="1370" spans="1:12" s="10" customFormat="1" ht="18" customHeight="1">
      <c r="A1370" s="12"/>
      <c r="B1370" s="12" t="s">
        <v>3902</v>
      </c>
      <c r="C1370" s="12"/>
      <c r="D1370" s="12"/>
      <c r="E1370" s="11"/>
      <c r="F1370" s="11"/>
      <c r="G1370" s="9" t="s">
        <v>5578</v>
      </c>
      <c r="H1370" s="65"/>
      <c r="I1370" s="19" t="s">
        <v>5579</v>
      </c>
      <c r="J1370" s="168" t="e">
        <f>IF(shinsei_strtower10_MENSEKI="","",shinsei_strtower10_MENSEKI)</f>
        <v>#NAME?</v>
      </c>
      <c r="K1370" s="10" t="s">
        <v>3906</v>
      </c>
      <c r="L1370" s="10" t="s">
        <v>3906</v>
      </c>
    </row>
    <row r="1371" spans="1:12" ht="18" customHeight="1">
      <c r="A1371" s="12"/>
      <c r="B1371" s="12"/>
      <c r="C1371" s="12"/>
      <c r="D1371" s="12"/>
      <c r="E1371" s="12" t="s">
        <v>3907</v>
      </c>
      <c r="F1371" s="12"/>
      <c r="G1371" s="9"/>
      <c r="H1371" s="9"/>
      <c r="I1371" s="9" t="s">
        <v>5580</v>
      </c>
      <c r="J1371" s="168" t="e">
        <f>IF(shinsei_strtower10_MENSEKI="","",TEXT(shinsei_strtower10_MENSEKI,"#,##0.00_ ")&amp;"㎡")</f>
        <v>#NAME?</v>
      </c>
    </row>
    <row r="1372" spans="1:12" s="10" customFormat="1" ht="18" customHeight="1">
      <c r="A1372" s="12"/>
      <c r="B1372" s="12" t="s">
        <v>4390</v>
      </c>
      <c r="C1372" s="12"/>
      <c r="D1372" s="12"/>
      <c r="E1372" s="11"/>
      <c r="F1372" s="11"/>
      <c r="G1372" s="9" t="s">
        <v>5581</v>
      </c>
      <c r="H1372" s="93"/>
      <c r="I1372" s="9" t="s">
        <v>5582</v>
      </c>
      <c r="J1372" s="170" t="e">
        <f>IF(shinsei_strtower10_MAX_TAKASA="","",shinsei_strtower10_MAX_TAKASA)</f>
        <v>#NAME?</v>
      </c>
      <c r="K1372" s="10" t="s">
        <v>3911</v>
      </c>
      <c r="L1372" s="10" t="s">
        <v>3911</v>
      </c>
    </row>
    <row r="1373" spans="1:12" s="10" customFormat="1" ht="18" customHeight="1">
      <c r="A1373" s="12"/>
      <c r="B1373" s="12" t="s">
        <v>4388</v>
      </c>
      <c r="C1373" s="11"/>
      <c r="D1373" s="11"/>
      <c r="E1373" s="11"/>
      <c r="F1373" s="11"/>
      <c r="G1373" s="9" t="s">
        <v>5583</v>
      </c>
      <c r="H1373" s="93"/>
      <c r="I1373" s="9" t="s">
        <v>5584</v>
      </c>
      <c r="J1373" s="170" t="e">
        <f>IF(shinsei_strtower10_MAX_NOKI_TAKASA="","",shinsei_strtower10_MAX_NOKI_TAKASA)</f>
        <v>#NAME?</v>
      </c>
    </row>
    <row r="1374" spans="1:12" s="10" customFormat="1" ht="18" customHeight="1">
      <c r="A1374" s="12"/>
      <c r="B1374" s="12" t="s">
        <v>3782</v>
      </c>
      <c r="C1374" s="12"/>
      <c r="D1374" s="12"/>
      <c r="E1374" s="11"/>
      <c r="F1374" s="11"/>
      <c r="G1374" s="9"/>
      <c r="H1374" s="9"/>
      <c r="I1374" s="9"/>
    </row>
    <row r="1375" spans="1:12" s="10" customFormat="1" ht="18" customHeight="1">
      <c r="A1375" s="12"/>
      <c r="B1375" s="12"/>
      <c r="C1375" s="11" t="s">
        <v>3783</v>
      </c>
      <c r="D1375" s="12"/>
      <c r="G1375" s="9" t="s">
        <v>5585</v>
      </c>
      <c r="H1375" s="136"/>
      <c r="I1375" s="9" t="s">
        <v>5586</v>
      </c>
      <c r="J1375" s="171" t="e">
        <f>IF(shinsei_strtower10_KAISU_TIJYOU="","",shinsei_strtower10_KAISU_TIJYOU)</f>
        <v>#NAME?</v>
      </c>
      <c r="K1375" s="10" t="s">
        <v>3916</v>
      </c>
      <c r="L1375" s="10" t="s">
        <v>3916</v>
      </c>
    </row>
    <row r="1376" spans="1:12" s="10" customFormat="1" ht="18" customHeight="1">
      <c r="A1376" s="12"/>
      <c r="B1376" s="12"/>
      <c r="C1376" s="11" t="s">
        <v>3785</v>
      </c>
      <c r="D1376" s="12"/>
      <c r="G1376" s="9" t="s">
        <v>5587</v>
      </c>
      <c r="H1376" s="136"/>
      <c r="I1376" s="9" t="s">
        <v>5588</v>
      </c>
      <c r="J1376" s="171" t="e">
        <f>IF(shinsei_strtower10_KAISU_TIKA="","",shinsei_strtower10_KAISU_TIKA)</f>
        <v>#NAME?</v>
      </c>
      <c r="K1376" s="10" t="s">
        <v>3920</v>
      </c>
      <c r="L1376" s="10" t="s">
        <v>3920</v>
      </c>
    </row>
    <row r="1377" spans="1:12" s="10" customFormat="1" ht="18" customHeight="1">
      <c r="A1377" s="12"/>
      <c r="B1377" s="12"/>
      <c r="C1377" s="11" t="s">
        <v>3787</v>
      </c>
      <c r="D1377" s="12"/>
      <c r="G1377" s="9" t="s">
        <v>5589</v>
      </c>
      <c r="H1377" s="136"/>
      <c r="I1377" s="9" t="s">
        <v>5590</v>
      </c>
      <c r="J1377" s="171" t="e">
        <f>IF(shinsei_strtower10_KAISU_TOUYA="","",shinsei_strtower10_KAISU_TOUYA)</f>
        <v>#NAME?</v>
      </c>
      <c r="K1377" s="10" t="s">
        <v>6500</v>
      </c>
      <c r="L1377" s="10" t="s">
        <v>6500</v>
      </c>
    </row>
    <row r="1378" spans="1:12" s="10" customFormat="1" ht="18" customHeight="1">
      <c r="B1378" s="12" t="s">
        <v>3923</v>
      </c>
      <c r="G1378" s="9" t="s">
        <v>5591</v>
      </c>
      <c r="H1378" s="13"/>
      <c r="I1378" s="10" t="s">
        <v>5592</v>
      </c>
      <c r="J1378" s="25" t="e">
        <f>IF(shinsei_strtower10_BUILD_KUBUN="","",shinsei_strtower10_BUILD_KUBUN)</f>
        <v>#NAME?</v>
      </c>
    </row>
    <row r="1379" spans="1:12" s="10" customFormat="1" ht="18" customHeight="1">
      <c r="B1379" s="12" t="s">
        <v>3923</v>
      </c>
      <c r="C1379" s="12"/>
      <c r="D1379" s="12"/>
      <c r="G1379" s="9" t="s">
        <v>5593</v>
      </c>
      <c r="H1379" s="13"/>
      <c r="I1379" s="10" t="s">
        <v>5594</v>
      </c>
      <c r="J1379" s="25" t="e">
        <f>IF(shinsei_strtower10_BUILD_KUBUN_TEXT="","",shinsei_strtower10_BUILD_KUBUN_TEXT)</f>
        <v>#NAME?</v>
      </c>
      <c r="K1379" s="10" t="s">
        <v>3862</v>
      </c>
    </row>
    <row r="1380" spans="1:12" s="10" customFormat="1" ht="18" customHeight="1">
      <c r="A1380" s="149"/>
      <c r="B1380" s="149"/>
      <c r="C1380" s="149" t="s">
        <v>3801</v>
      </c>
      <c r="D1380" s="149"/>
      <c r="E1380" s="149"/>
      <c r="F1380" s="149"/>
      <c r="G1380" s="149"/>
      <c r="H1380" s="12"/>
      <c r="I1380" s="149" t="s">
        <v>5595</v>
      </c>
      <c r="J1380" s="20" t="e">
        <f>IF(shinsei_strtower10_BUILD_KUBUN_TEXT="建築基準法第20条第２号に掲げる建築物","■","□")</f>
        <v>#NAME?</v>
      </c>
    </row>
    <row r="1381" spans="1:12" s="10" customFormat="1" ht="18" customHeight="1">
      <c r="A1381" s="149"/>
      <c r="B1381" s="149"/>
      <c r="C1381" s="149" t="s">
        <v>3801</v>
      </c>
      <c r="D1381" s="149"/>
      <c r="E1381" s="149"/>
      <c r="F1381" s="149"/>
      <c r="G1381" s="149"/>
      <c r="H1381" s="12"/>
      <c r="I1381" s="149" t="s">
        <v>5596</v>
      </c>
      <c r="J1381" s="20" t="e">
        <f>IF(shinsei_strtower10_BUILD_KUBUN_TEXT="建築基準法第20条第３号に掲げる建築物","■","□")</f>
        <v>#NAME?</v>
      </c>
    </row>
    <row r="1382" spans="1:12" s="10" customFormat="1" ht="18" customHeight="1">
      <c r="A1382" s="12"/>
      <c r="B1382" s="12" t="s">
        <v>3932</v>
      </c>
      <c r="C1382" s="12"/>
      <c r="D1382" s="12"/>
      <c r="E1382" s="11"/>
      <c r="F1382" s="11"/>
      <c r="G1382" s="9" t="s">
        <v>5597</v>
      </c>
      <c r="H1382" s="13"/>
      <c r="I1382" s="9" t="s">
        <v>5598</v>
      </c>
      <c r="J1382" s="25" t="e">
        <f>IF(shinsei_strtower10_MENJYO_TEXT="","",shinsei_strtower10_MENJYO_TEXT)</f>
        <v>#NAME?</v>
      </c>
      <c r="K1382" s="10" t="s">
        <v>4791</v>
      </c>
    </row>
    <row r="1383" spans="1:12" s="10" customFormat="1" ht="18" customHeight="1">
      <c r="A1383" s="12"/>
      <c r="B1383" s="12" t="s">
        <v>3935</v>
      </c>
      <c r="C1383" s="12"/>
      <c r="D1383" s="12"/>
      <c r="E1383" s="11"/>
      <c r="F1383" s="11"/>
      <c r="G1383" s="9" t="s">
        <v>5599</v>
      </c>
      <c r="H1383" s="20"/>
      <c r="I1383" s="9" t="s">
        <v>5600</v>
      </c>
      <c r="J1383" s="25" t="e">
        <f>IF(shinsei_strtower10_PROGRAM_KIND="","",shinsei_strtower10_PROGRAM_KIND)</f>
        <v>#NAME?</v>
      </c>
      <c r="K1383" s="10" t="s">
        <v>5704</v>
      </c>
    </row>
    <row r="1384" spans="1:12" s="10" customFormat="1" ht="18" customHeight="1">
      <c r="B1384" s="12" t="s">
        <v>3939</v>
      </c>
      <c r="C1384" s="12"/>
      <c r="D1384" s="12"/>
      <c r="G1384" s="9" t="s">
        <v>5601</v>
      </c>
      <c r="H1384" s="13"/>
      <c r="I1384" s="10" t="s">
        <v>5602</v>
      </c>
      <c r="J1384" s="25" t="e">
        <f>IF(shinsei_strtower10_REI80_2_KOKUJI_TEXT="","",shinsei_strtower10_REI80_2_KOKUJI_TEXT)</f>
        <v>#NAME?</v>
      </c>
    </row>
    <row r="1385" spans="1:12" s="10" customFormat="1" ht="18" customHeight="1">
      <c r="B1385" s="12" t="s">
        <v>3943</v>
      </c>
      <c r="C1385" s="12"/>
      <c r="D1385" s="12"/>
      <c r="G1385" s="9" t="s">
        <v>5603</v>
      </c>
      <c r="H1385" s="13"/>
      <c r="I1385" s="10" t="s">
        <v>5604</v>
      </c>
      <c r="J1385" s="25" t="e">
        <f>IF(shinsei_strtower10_PROGRAM_KIND__nintei__box="■",2,IF(OR(shinsei_strtower10_PROGRAM_KIND__hyouka__box="■",shinsei_strtower10_PROGRAM_KIND__sonota__box="■"),1,0))</f>
        <v>#NAME?</v>
      </c>
      <c r="K1385" s="10" t="s">
        <v>3946</v>
      </c>
    </row>
    <row r="1386" spans="1:12" s="10" customFormat="1" ht="18" customHeight="1">
      <c r="B1386" s="12" t="s">
        <v>3947</v>
      </c>
      <c r="C1386" s="12"/>
      <c r="D1386" s="12"/>
      <c r="G1386" s="9" t="s">
        <v>5605</v>
      </c>
      <c r="H1386" s="13"/>
    </row>
    <row r="1387" spans="1:12" s="10" customFormat="1" ht="18" customHeight="1">
      <c r="B1387" s="12" t="s">
        <v>4305</v>
      </c>
      <c r="C1387" s="12"/>
      <c r="D1387" s="12"/>
      <c r="G1387" s="9" t="s">
        <v>5606</v>
      </c>
      <c r="H1387" s="13"/>
    </row>
    <row r="1388" spans="1:12" s="10" customFormat="1" ht="18" customHeight="1">
      <c r="B1388" s="105" t="s">
        <v>3950</v>
      </c>
      <c r="C1388" s="105"/>
      <c r="D1388" s="105"/>
      <c r="E1388" s="24"/>
      <c r="F1388" s="24"/>
      <c r="G1388" s="9"/>
      <c r="H1388" s="12"/>
    </row>
    <row r="1389" spans="1:12" s="10" customFormat="1" ht="18" customHeight="1">
      <c r="C1389" s="10" t="s">
        <v>3951</v>
      </c>
      <c r="D1389" s="12"/>
      <c r="G1389" s="9" t="s">
        <v>5607</v>
      </c>
      <c r="H1389" s="13"/>
      <c r="I1389" s="10" t="s">
        <v>5608</v>
      </c>
      <c r="J1389" s="25" t="e">
        <f>IF(shinsei_strtower10_prgo01_NAME="","",shinsei_strtower10_prgo01_NAME)</f>
        <v>#NAME?</v>
      </c>
      <c r="K1389" s="10" t="s">
        <v>4762</v>
      </c>
      <c r="L1389" s="10" t="s">
        <v>3879</v>
      </c>
    </row>
    <row r="1390" spans="1:12" s="10" customFormat="1" ht="18" customHeight="1">
      <c r="C1390" s="12" t="s">
        <v>6397</v>
      </c>
      <c r="D1390" s="12"/>
      <c r="E1390" s="12"/>
      <c r="F1390" s="12"/>
      <c r="G1390" s="9" t="s">
        <v>5609</v>
      </c>
      <c r="H1390" s="13"/>
      <c r="I1390" s="10" t="s">
        <v>5610</v>
      </c>
      <c r="J1390" s="25" t="e">
        <f>IF(shinsei_strtower10_prgo01_VER="","",shinsei_strtower10_prgo01_VER)</f>
        <v>#NAME?</v>
      </c>
    </row>
    <row r="1391" spans="1:12" s="10" customFormat="1" ht="18" customHeight="1">
      <c r="C1391" s="12" t="s">
        <v>3957</v>
      </c>
      <c r="D1391" s="12"/>
      <c r="G1391" s="9"/>
      <c r="H1391" s="9"/>
      <c r="I1391" s="10" t="s">
        <v>5611</v>
      </c>
      <c r="J1391" s="25" t="e">
        <f>IF(shinsei_strtower10_prgo01_NAME="","",IF(shinsei_strtower10_prgo01_NINTEI_NO="","無","有"))</f>
        <v>#NAME?</v>
      </c>
      <c r="K1391" s="10" t="s">
        <v>3959</v>
      </c>
      <c r="L1391" s="10" t="s">
        <v>3879</v>
      </c>
    </row>
    <row r="1392" spans="1:12" s="10" customFormat="1" ht="18" customHeight="1">
      <c r="C1392" s="12" t="s">
        <v>3960</v>
      </c>
      <c r="D1392" s="12"/>
      <c r="G1392" s="9" t="s">
        <v>5612</v>
      </c>
      <c r="H1392" s="13"/>
      <c r="I1392" s="10" t="s">
        <v>5613</v>
      </c>
      <c r="J1392" s="25" t="e">
        <f>IF(shinsei_strtower10_prgo01_NINTEI_NO="","",shinsei_strtower10_prgo01_NINTEI_NO)</f>
        <v>#NAME?</v>
      </c>
      <c r="K1392" s="10" t="s">
        <v>3963</v>
      </c>
      <c r="L1392" s="10" t="s">
        <v>3879</v>
      </c>
    </row>
    <row r="1393" spans="2:12" s="10" customFormat="1" ht="18" customHeight="1">
      <c r="C1393" s="12" t="s">
        <v>3964</v>
      </c>
      <c r="D1393" s="12"/>
      <c r="G1393" s="9" t="s">
        <v>5614</v>
      </c>
      <c r="H1393" s="74"/>
      <c r="I1393" s="10" t="s">
        <v>5615</v>
      </c>
      <c r="J1393" s="25" t="e">
        <f>IF(shinsei_strtower10_prgo01_NINTEI_DATE="","",TEXT(shinsei_strtower10_prgo01_NINTEI_DATE,"ggge年m月d日")&amp;"  ")</f>
        <v>#NAME?</v>
      </c>
    </row>
    <row r="1394" spans="2:12" s="10" customFormat="1" ht="18" customHeight="1">
      <c r="C1394" s="12" t="s">
        <v>3967</v>
      </c>
      <c r="D1394" s="12"/>
      <c r="G1394" s="9" t="s">
        <v>5616</v>
      </c>
      <c r="H1394" s="13"/>
    </row>
    <row r="1395" spans="2:12" s="10" customFormat="1" ht="18" customHeight="1">
      <c r="C1395" s="12" t="s">
        <v>3970</v>
      </c>
      <c r="D1395" s="12"/>
      <c r="G1395" s="9"/>
      <c r="H1395" s="12"/>
      <c r="I1395" s="9" t="s">
        <v>5617</v>
      </c>
      <c r="J1395" s="25" t="e">
        <f>IF(shinsei_strtower10_prgo01_NAME="","",shinsei_strtower10_prgo01_NAME)&amp;CHAR(10)&amp;IF(shinsei_strtower10_prgo01_VER="","","Ver."&amp;shinsei_strtower10_prgo01_VER&amp;CHAR(10))</f>
        <v>#NAME?</v>
      </c>
    </row>
    <row r="1396" spans="2:12" s="10" customFormat="1" ht="18" customHeight="1">
      <c r="C1396" s="12" t="s">
        <v>3972</v>
      </c>
      <c r="D1396" s="12"/>
      <c r="G1396" s="9"/>
      <c r="H1396" s="12"/>
      <c r="I1396" s="9" t="s">
        <v>5618</v>
      </c>
      <c r="J1396" s="25" t="e">
        <f>IF(shinsei_strtower10_prgo01_NAME="","",shinsei_strtower10_prgo01_NAME&amp;" ")&amp;IF(shinsei_strtower10_prgo01_VER="","","Ver."&amp;shinsei_strtower10_prgo01_VER&amp;"  ")</f>
        <v>#NAME?</v>
      </c>
    </row>
    <row r="1397" spans="2:12" s="10" customFormat="1" ht="18" customHeight="1">
      <c r="C1397" s="12" t="s">
        <v>3974</v>
      </c>
      <c r="D1397" s="12"/>
      <c r="G1397" s="9"/>
      <c r="H1397" s="12"/>
    </row>
    <row r="1398" spans="2:12" s="10" customFormat="1" ht="18" customHeight="1">
      <c r="D1398" s="12" t="s">
        <v>3975</v>
      </c>
      <c r="G1398" s="9"/>
      <c r="H1398" s="12"/>
      <c r="I1398" s="9" t="s">
        <v>5619</v>
      </c>
      <c r="J1398" s="173" t="e">
        <f>IF(cst_shinsei_strtower10_prgo01_NINTEI__umu="有",IF(shinsei_strtower10_prgo01_MAKER_NAME="","",shinsei_strtower10_prgo01_MAKER_NAME&amp;"  "),"")</f>
        <v>#NAME?</v>
      </c>
    </row>
    <row r="1399" spans="2:12" s="10" customFormat="1" ht="18" customHeight="1">
      <c r="B1399" s="12"/>
      <c r="D1399" s="12" t="s">
        <v>3972</v>
      </c>
      <c r="G1399" s="9"/>
      <c r="H1399" s="12"/>
      <c r="I1399" s="9" t="s">
        <v>5620</v>
      </c>
      <c r="J1399" s="25" t="e">
        <f>IF(cst_shinsei_strtower10_prgo01_NINTEI__umu="有",IF(shinsei_strtower10_prgo01_NAME="","",shinsei_strtower10_prgo01_NAME&amp;" ")&amp;IF(shinsei_strtower10_prgo01_VER="","","Ver."&amp;shinsei_strtower10_prgo01_VER&amp;"  "),"")</f>
        <v>#NAME?</v>
      </c>
    </row>
    <row r="1400" spans="2:12" s="10" customFormat="1" ht="18" customHeight="1">
      <c r="C1400" s="12" t="s">
        <v>3981</v>
      </c>
      <c r="D1400" s="12"/>
      <c r="G1400" s="9"/>
      <c r="H1400" s="12"/>
    </row>
    <row r="1401" spans="2:12" s="10" customFormat="1" ht="18" customHeight="1">
      <c r="B1401" s="12"/>
      <c r="D1401" s="12" t="s">
        <v>4749</v>
      </c>
      <c r="G1401" s="9"/>
      <c r="H1401" s="12"/>
      <c r="I1401" s="9" t="s">
        <v>5621</v>
      </c>
      <c r="J1401" s="173" t="e">
        <f>IF(cst_shinsei_strtower10_prgo01_NINTEI__umu="無",IF(shinsei_strtower10_prgo01_MAKER_NAME="","",shinsei_strtower10_prgo01_MAKER_NAME&amp;"  "),"")</f>
        <v>#NAME?</v>
      </c>
    </row>
    <row r="1402" spans="2:12" s="10" customFormat="1" ht="18" customHeight="1">
      <c r="B1402" s="12"/>
      <c r="D1402" s="12" t="s">
        <v>3972</v>
      </c>
      <c r="G1402" s="9"/>
      <c r="H1402" s="12"/>
      <c r="I1402" s="9" t="s">
        <v>5622</v>
      </c>
      <c r="J1402" s="25" t="e">
        <f>IF(cst_shinsei_strtower10_prgo01_NINTEI__umu="無",IF(shinsei_strtower10_prgo01_NAME="","",shinsei_strtower10_prgo01_NAME&amp;" ")&amp;IF(shinsei_strtower10_prgo01_VER="","","Ver."&amp;shinsei_strtower10_prgo01_VER&amp;"  "),"")</f>
        <v>#NAME?</v>
      </c>
    </row>
    <row r="1403" spans="2:12" s="10" customFormat="1" ht="18" customHeight="1">
      <c r="B1403" s="105" t="s">
        <v>5623</v>
      </c>
      <c r="C1403" s="105"/>
      <c r="D1403" s="105"/>
      <c r="E1403" s="24"/>
      <c r="F1403" s="24"/>
      <c r="G1403" s="9"/>
      <c r="H1403" s="12"/>
    </row>
    <row r="1404" spans="2:12" s="10" customFormat="1" ht="18" customHeight="1">
      <c r="C1404" s="10" t="s">
        <v>3951</v>
      </c>
      <c r="D1404" s="12"/>
      <c r="G1404" s="9" t="s">
        <v>5624</v>
      </c>
      <c r="H1404" s="13"/>
      <c r="K1404" s="10" t="s">
        <v>4860</v>
      </c>
      <c r="L1404" s="10" t="s">
        <v>3879</v>
      </c>
    </row>
    <row r="1405" spans="2:12" s="10" customFormat="1" ht="18" customHeight="1">
      <c r="C1405" s="12" t="s">
        <v>6555</v>
      </c>
      <c r="D1405" s="12"/>
      <c r="G1405" s="9" t="s">
        <v>5625</v>
      </c>
      <c r="H1405" s="13"/>
    </row>
    <row r="1406" spans="2:12" s="10" customFormat="1" ht="18" customHeight="1">
      <c r="C1406" s="12" t="s">
        <v>3957</v>
      </c>
      <c r="D1406" s="12"/>
      <c r="G1406" s="9"/>
      <c r="H1406" s="9"/>
      <c r="I1406" s="10" t="s">
        <v>5626</v>
      </c>
      <c r="J1406" s="25" t="e">
        <f>IF(shinsei_strtower10_prgo02_NAME="","",IF(shinsei_strtower10_prgo02_NINTEI_NO="","無","有"))</f>
        <v>#NAME?</v>
      </c>
      <c r="K1406" s="10" t="s">
        <v>2941</v>
      </c>
      <c r="L1406" s="10" t="s">
        <v>3879</v>
      </c>
    </row>
    <row r="1407" spans="2:12" s="10" customFormat="1" ht="18" customHeight="1">
      <c r="C1407" s="12" t="s">
        <v>3960</v>
      </c>
      <c r="D1407" s="12"/>
      <c r="G1407" s="9" t="s">
        <v>5627</v>
      </c>
      <c r="H1407" s="13"/>
      <c r="K1407" s="10" t="s">
        <v>5463</v>
      </c>
      <c r="L1407" s="10" t="s">
        <v>3879</v>
      </c>
    </row>
    <row r="1408" spans="2:12" s="10" customFormat="1" ht="18" customHeight="1">
      <c r="C1408" s="12" t="s">
        <v>3964</v>
      </c>
      <c r="D1408" s="12"/>
      <c r="G1408" s="9" t="s">
        <v>5628</v>
      </c>
      <c r="H1408" s="74"/>
      <c r="I1408" s="10" t="s">
        <v>5629</v>
      </c>
      <c r="J1408" s="25" t="e">
        <f>IF(shinsei_strtower10_prgo02_NINTEI_DATE="","",shinsei_strtower10_prgo02_NINTEI_DATE)</f>
        <v>#NAME?</v>
      </c>
    </row>
    <row r="1409" spans="2:12" s="10" customFormat="1" ht="18" customHeight="1">
      <c r="C1409" s="12" t="s">
        <v>3967</v>
      </c>
      <c r="D1409" s="12"/>
      <c r="G1409" s="9" t="s">
        <v>5630</v>
      </c>
      <c r="H1409" s="13"/>
    </row>
    <row r="1410" spans="2:12" s="10" customFormat="1" ht="18" customHeight="1">
      <c r="C1410" s="12" t="s">
        <v>3970</v>
      </c>
      <c r="D1410" s="12"/>
      <c r="G1410" s="9"/>
      <c r="H1410" s="12"/>
      <c r="I1410" s="9" t="s">
        <v>5631</v>
      </c>
      <c r="J1410" s="25" t="e">
        <f>IF(shinsei_strtower10_prgo02_NAME="","",shinsei_strtower10_prgo02_NAME)&amp;CHAR(10)&amp;IF(shinsei_strtower10_prgo02_VER="","","Ver."&amp;shinsei_strtower10_prgo02_VER&amp;CHAR(10))</f>
        <v>#NAME?</v>
      </c>
    </row>
    <row r="1411" spans="2:12" s="10" customFormat="1" ht="18" customHeight="1">
      <c r="C1411" s="12" t="s">
        <v>3972</v>
      </c>
      <c r="D1411" s="12"/>
      <c r="G1411" s="9"/>
      <c r="H1411" s="12"/>
      <c r="I1411" s="9" t="s">
        <v>5632</v>
      </c>
      <c r="J1411" s="25" t="e">
        <f>IF(shinsei_strtower10_prgo02_NAME="","",shinsei_strtower10_prgo02_NAME&amp;" ")&amp;IF(shinsei_strtower10_prgo02_VER="","","Ver."&amp;shinsei_strtower10_prgo02_VER&amp;"  ")</f>
        <v>#NAME?</v>
      </c>
    </row>
    <row r="1412" spans="2:12" s="10" customFormat="1" ht="18" customHeight="1">
      <c r="C1412" s="12" t="s">
        <v>3974</v>
      </c>
      <c r="D1412" s="12"/>
      <c r="G1412" s="9"/>
      <c r="H1412" s="12"/>
    </row>
    <row r="1413" spans="2:12" s="10" customFormat="1" ht="18" customHeight="1">
      <c r="D1413" s="12" t="s">
        <v>6392</v>
      </c>
      <c r="G1413" s="9"/>
      <c r="H1413" s="12"/>
      <c r="I1413" s="9" t="s">
        <v>5633</v>
      </c>
      <c r="J1413" s="173" t="e">
        <f>IF(cst_shinsei_strtower10_prgo02_NINTEI__umu="有",IF(shinsei_strtower10_prgo02_MAKER_NAME="","",shinsei_strtower10_prgo02_MAKER_NAME&amp;"  "),"")</f>
        <v>#NAME?</v>
      </c>
    </row>
    <row r="1414" spans="2:12" s="10" customFormat="1" ht="18" customHeight="1">
      <c r="D1414" s="12" t="s">
        <v>3972</v>
      </c>
      <c r="G1414" s="9"/>
      <c r="H1414" s="12"/>
      <c r="I1414" s="9" t="s">
        <v>5634</v>
      </c>
      <c r="J1414" s="25" t="e">
        <f>IF(cst_shinsei_strtower10_prgo02_NINTEI__umu="有",IF(shinsei_strtower10_prgo02_NAME="","",shinsei_strtower10_prgo02_NAME&amp;" ")&amp;IF(shinsei_strtower10_prgo02_VER="","","Ver."&amp;shinsei_strtower10_prgo02_VER&amp;"  "),"")</f>
        <v>#NAME?</v>
      </c>
    </row>
    <row r="1415" spans="2:12" s="10" customFormat="1" ht="18" customHeight="1">
      <c r="C1415" s="12" t="s">
        <v>3981</v>
      </c>
      <c r="D1415" s="12"/>
      <c r="G1415" s="9"/>
      <c r="H1415" s="12"/>
    </row>
    <row r="1416" spans="2:12" s="10" customFormat="1" ht="18" customHeight="1">
      <c r="D1416" s="12" t="s">
        <v>3975</v>
      </c>
      <c r="G1416" s="9"/>
      <c r="H1416" s="12"/>
      <c r="I1416" s="9" t="s">
        <v>5635</v>
      </c>
      <c r="J1416" s="173" t="e">
        <f>IF(cst_shinsei_strtower10_prgo02_NINTEI__umu="無",IF(shinsei_strtower10_prgo02_MAKER_NAME="","",shinsei_strtower10_prgo02_MAKER_NAME&amp;"  "),"")</f>
        <v>#NAME?</v>
      </c>
    </row>
    <row r="1417" spans="2:12" s="10" customFormat="1" ht="18" customHeight="1">
      <c r="D1417" s="12" t="s">
        <v>3972</v>
      </c>
      <c r="G1417" s="9"/>
      <c r="H1417" s="12"/>
      <c r="I1417" s="9" t="s">
        <v>7006</v>
      </c>
      <c r="J1417" s="25" t="e">
        <f>IF(cst_shinsei_strtower10_prgo02_NINTEI__umu="無",IF(shinsei_strtower10_prgo02_NAME="","",shinsei_strtower10_prgo02_NAME&amp;" ")&amp;IF(shinsei_strtower10_prgo02_VER="","","Ver."&amp;shinsei_strtower10_prgo02_VER&amp;"  "),"")</f>
        <v>#NAME?</v>
      </c>
    </row>
    <row r="1418" spans="2:12" s="10" customFormat="1" ht="18" customHeight="1">
      <c r="B1418" s="105" t="s">
        <v>4016</v>
      </c>
      <c r="C1418" s="105"/>
      <c r="D1418" s="105"/>
      <c r="E1418" s="24"/>
      <c r="F1418" s="24"/>
      <c r="G1418" s="9"/>
      <c r="H1418" s="12"/>
    </row>
    <row r="1419" spans="2:12" s="10" customFormat="1" ht="18" customHeight="1">
      <c r="C1419" s="10" t="s">
        <v>3951</v>
      </c>
      <c r="D1419" s="12"/>
      <c r="G1419" s="9" t="s">
        <v>7007</v>
      </c>
      <c r="H1419" s="13"/>
      <c r="K1419" s="10" t="s">
        <v>3862</v>
      </c>
      <c r="L1419" s="10" t="s">
        <v>3879</v>
      </c>
    </row>
    <row r="1420" spans="2:12" s="10" customFormat="1" ht="18" customHeight="1">
      <c r="C1420" s="12" t="s">
        <v>3954</v>
      </c>
      <c r="D1420" s="12"/>
      <c r="G1420" s="9" t="s">
        <v>7008</v>
      </c>
      <c r="H1420" s="13"/>
    </row>
    <row r="1421" spans="2:12" s="10" customFormat="1" ht="18" customHeight="1">
      <c r="C1421" s="12" t="s">
        <v>3957</v>
      </c>
      <c r="D1421" s="12"/>
      <c r="G1421" s="9"/>
      <c r="H1421" s="9"/>
      <c r="I1421" s="10" t="s">
        <v>7009</v>
      </c>
      <c r="J1421" s="25" t="e">
        <f>IF(shinsei_strtower10_prgo03_NAME="","",IF(shinsei_strtower10_prgo03_NINTEI_NO="","無","有"))</f>
        <v>#NAME?</v>
      </c>
      <c r="K1421" s="10" t="s">
        <v>2941</v>
      </c>
      <c r="L1421" s="10" t="s">
        <v>3879</v>
      </c>
    </row>
    <row r="1422" spans="2:12" s="10" customFormat="1" ht="18" customHeight="1">
      <c r="C1422" s="12" t="s">
        <v>3960</v>
      </c>
      <c r="D1422" s="12"/>
      <c r="G1422" s="9" t="s">
        <v>7010</v>
      </c>
      <c r="H1422" s="13"/>
      <c r="K1422" s="10" t="s">
        <v>4791</v>
      </c>
      <c r="L1422" s="10" t="s">
        <v>3879</v>
      </c>
    </row>
    <row r="1423" spans="2:12" s="10" customFormat="1" ht="18" customHeight="1">
      <c r="C1423" s="12" t="s">
        <v>3964</v>
      </c>
      <c r="D1423" s="12"/>
      <c r="G1423" s="9" t="s">
        <v>7011</v>
      </c>
      <c r="H1423" s="74"/>
      <c r="I1423" s="10" t="s">
        <v>7012</v>
      </c>
      <c r="J1423" s="25" t="e">
        <f>IF(shinsei_strtower10_prgo03_NINTEI_DATE="","",TEXT(shinsei_strtower10_prgo03_NINTEI_DATE,"ggge年m月d日")&amp;"  ")</f>
        <v>#NAME?</v>
      </c>
    </row>
    <row r="1424" spans="2:12" s="10" customFormat="1" ht="18" customHeight="1">
      <c r="C1424" s="12" t="s">
        <v>3967</v>
      </c>
      <c r="D1424" s="12"/>
      <c r="G1424" s="9" t="s">
        <v>7013</v>
      </c>
      <c r="H1424" s="13"/>
      <c r="I1424" s="9"/>
      <c r="J1424" s="9"/>
    </row>
    <row r="1425" spans="2:12" s="10" customFormat="1" ht="18" customHeight="1">
      <c r="C1425" s="12" t="s">
        <v>3970</v>
      </c>
      <c r="D1425" s="12"/>
      <c r="G1425" s="9"/>
      <c r="H1425" s="12"/>
      <c r="I1425" s="9" t="s">
        <v>7014</v>
      </c>
      <c r="J1425" s="25" t="e">
        <f>IF(shinsei_strtower10_prgo03_NAME="","",shinsei_strtower10_prgo03_NAME)&amp;CHAR(10)&amp;IF(shinsei_strtower10_prgo03_VER="","","Ver."&amp;shinsei_strtower10_prgo03_VER&amp;CHAR(10))</f>
        <v>#NAME?</v>
      </c>
    </row>
    <row r="1426" spans="2:12" s="10" customFormat="1" ht="18" customHeight="1">
      <c r="C1426" s="12" t="s">
        <v>3972</v>
      </c>
      <c r="D1426" s="12"/>
      <c r="G1426" s="9"/>
      <c r="H1426" s="12"/>
      <c r="I1426" s="9" t="s">
        <v>7015</v>
      </c>
      <c r="J1426" s="25" t="e">
        <f>IF(shinsei_strtower10_prgo03_NAME="","",shinsei_strtower10_prgo03_NAME&amp;" ")&amp;IF(shinsei_strtower10_prgo03_VER="","","Ver."&amp;shinsei_strtower10_prgo03_VER&amp;"  ")</f>
        <v>#NAME?</v>
      </c>
    </row>
    <row r="1427" spans="2:12" s="10" customFormat="1" ht="18" customHeight="1">
      <c r="C1427" s="12" t="s">
        <v>3974</v>
      </c>
      <c r="D1427" s="12"/>
      <c r="G1427" s="9"/>
      <c r="H1427" s="12"/>
    </row>
    <row r="1428" spans="2:12" s="10" customFormat="1" ht="18" customHeight="1">
      <c r="D1428" s="12" t="s">
        <v>3975</v>
      </c>
      <c r="G1428" s="9"/>
      <c r="H1428" s="12"/>
      <c r="I1428" s="9" t="s">
        <v>7016</v>
      </c>
      <c r="J1428" s="173" t="e">
        <f>IF(cst_shinsei_strtower10_prgo03_NINTEI__umu="有",IF(shinsei_strtower10_prgo03_MAKER_NAME="","",shinsei_strtower10_prgo03_MAKER_NAME&amp;"  "),"")</f>
        <v>#NAME?</v>
      </c>
    </row>
    <row r="1429" spans="2:12" s="10" customFormat="1" ht="18" customHeight="1">
      <c r="D1429" s="12" t="s">
        <v>3972</v>
      </c>
      <c r="G1429" s="9"/>
      <c r="H1429" s="12"/>
      <c r="I1429" s="9" t="s">
        <v>7017</v>
      </c>
      <c r="J1429" s="25" t="e">
        <f>IF(cst_shinsei_strtower10_prgo03_NINTEI__umu="有",IF(shinsei_strtower10_prgo03_NAME="","",shinsei_strtower10_prgo03_NAME&amp;" ")&amp;IF(shinsei_strtower10_prgo03_VER="","","Ver."&amp;shinsei_strtower10_prgo03_VER&amp;"  "),"")</f>
        <v>#NAME?</v>
      </c>
    </row>
    <row r="1430" spans="2:12" s="10" customFormat="1" ht="18" customHeight="1">
      <c r="C1430" s="12" t="s">
        <v>3981</v>
      </c>
      <c r="D1430" s="12"/>
      <c r="G1430" s="9"/>
      <c r="H1430" s="12"/>
    </row>
    <row r="1431" spans="2:12" s="10" customFormat="1" ht="18" customHeight="1">
      <c r="D1431" s="12" t="s">
        <v>6392</v>
      </c>
      <c r="G1431" s="9"/>
      <c r="H1431" s="12"/>
      <c r="I1431" s="9" t="s">
        <v>7018</v>
      </c>
      <c r="J1431" s="173" t="e">
        <f>IF(cst_shinsei_strtower10_prgo03_NINTEI__umu="無",IF(shinsei_strtower10_prgo03_MAKER_NAME="","",shinsei_strtower10_prgo03_MAKER_NAME&amp;"  "),"")</f>
        <v>#NAME?</v>
      </c>
    </row>
    <row r="1432" spans="2:12" s="10" customFormat="1" ht="18" customHeight="1">
      <c r="D1432" s="12" t="s">
        <v>3972</v>
      </c>
      <c r="G1432" s="9"/>
      <c r="H1432" s="12"/>
      <c r="I1432" s="9" t="s">
        <v>7019</v>
      </c>
      <c r="J1432" s="25" t="e">
        <f>IF(cst_shinsei_strtower10_prgo03_NINTEI__umu="無",IF(shinsei_strtower10_prgo03_NAME="","",shinsei_strtower10_prgo03_NAME&amp;" ")&amp;IF(shinsei_strtower10_prgo03_VER="","","Ver."&amp;shinsei_strtower10_prgo03_VER&amp;"  "),"")</f>
        <v>#NAME?</v>
      </c>
    </row>
    <row r="1433" spans="2:12" s="10" customFormat="1" ht="18" customHeight="1">
      <c r="B1433" s="105" t="s">
        <v>7020</v>
      </c>
      <c r="C1433" s="105"/>
      <c r="D1433" s="105"/>
      <c r="E1433" s="24"/>
      <c r="F1433" s="24"/>
      <c r="G1433" s="9"/>
      <c r="H1433" s="12"/>
    </row>
    <row r="1434" spans="2:12" s="10" customFormat="1" ht="18" customHeight="1">
      <c r="C1434" s="10" t="s">
        <v>3951</v>
      </c>
      <c r="D1434" s="12"/>
      <c r="G1434" s="9" t="s">
        <v>7021</v>
      </c>
      <c r="H1434" s="13"/>
      <c r="K1434" s="10" t="s">
        <v>4762</v>
      </c>
      <c r="L1434" s="10" t="s">
        <v>3879</v>
      </c>
    </row>
    <row r="1435" spans="2:12" s="10" customFormat="1" ht="18" customHeight="1">
      <c r="C1435" s="12" t="s">
        <v>6397</v>
      </c>
      <c r="D1435" s="12"/>
      <c r="G1435" s="9" t="s">
        <v>7022</v>
      </c>
      <c r="H1435" s="13"/>
    </row>
    <row r="1436" spans="2:12" s="10" customFormat="1" ht="18" customHeight="1">
      <c r="C1436" s="12" t="s">
        <v>3957</v>
      </c>
      <c r="D1436" s="12"/>
      <c r="G1436" s="9"/>
      <c r="H1436" s="9"/>
      <c r="I1436" s="10" t="s">
        <v>7023</v>
      </c>
      <c r="J1436" s="25" t="e">
        <f>IF(shinsei_strtower10_prgo04_NAME="","",IF(shinsei_strtower10_prgo04_NINTEI_NO="","無","有"))</f>
        <v>#NAME?</v>
      </c>
      <c r="K1436" s="10" t="s">
        <v>2941</v>
      </c>
      <c r="L1436" s="10" t="s">
        <v>3879</v>
      </c>
    </row>
    <row r="1437" spans="2:12" s="10" customFormat="1" ht="18" customHeight="1">
      <c r="C1437" s="12" t="s">
        <v>3960</v>
      </c>
      <c r="D1437" s="12"/>
      <c r="G1437" s="9" t="s">
        <v>7024</v>
      </c>
      <c r="H1437" s="13"/>
      <c r="K1437" s="10" t="s">
        <v>3862</v>
      </c>
      <c r="L1437" s="10" t="s">
        <v>3879</v>
      </c>
    </row>
    <row r="1438" spans="2:12" s="10" customFormat="1" ht="18" customHeight="1">
      <c r="C1438" s="12" t="s">
        <v>3964</v>
      </c>
      <c r="D1438" s="12"/>
      <c r="G1438" s="9" t="s">
        <v>7025</v>
      </c>
      <c r="H1438" s="74"/>
      <c r="I1438" s="10" t="s">
        <v>7026</v>
      </c>
      <c r="J1438" s="25" t="e">
        <f>IF(shinsei_strtower10_prgo04_NINTEI_DATE="","",TEXT(shinsei_strtower10_prgo04_NINTEI_DATE,"ggge年m月d日")&amp;"  ")</f>
        <v>#NAME?</v>
      </c>
    </row>
    <row r="1439" spans="2:12" s="10" customFormat="1" ht="18" customHeight="1">
      <c r="C1439" s="12" t="s">
        <v>3967</v>
      </c>
      <c r="D1439" s="12"/>
      <c r="G1439" s="9" t="s">
        <v>7027</v>
      </c>
      <c r="H1439" s="13"/>
      <c r="I1439" s="9"/>
      <c r="J1439" s="9"/>
    </row>
    <row r="1440" spans="2:12" s="10" customFormat="1" ht="18" customHeight="1">
      <c r="C1440" s="12" t="s">
        <v>3970</v>
      </c>
      <c r="D1440" s="12"/>
      <c r="G1440" s="9"/>
      <c r="H1440" s="12"/>
      <c r="I1440" s="9" t="s">
        <v>7028</v>
      </c>
      <c r="J1440" s="25" t="e">
        <f>IF(shinsei_strtower10_prgo04_NAME="","",shinsei_strtower10_prgo04_NAME)&amp;CHAR(10)&amp;IF(shinsei_strtower10_prgo04_VER="","","Ver."&amp;shinsei_strtower10_prgo04_VER&amp;CHAR(10))</f>
        <v>#NAME?</v>
      </c>
    </row>
    <row r="1441" spans="2:12" s="10" customFormat="1" ht="18" customHeight="1">
      <c r="C1441" s="12" t="s">
        <v>3972</v>
      </c>
      <c r="D1441" s="12"/>
      <c r="G1441" s="9"/>
      <c r="H1441" s="12"/>
      <c r="I1441" s="9" t="s">
        <v>7029</v>
      </c>
      <c r="J1441" s="25" t="e">
        <f>IF(shinsei_strtower10_prgo04_NAME="","",shinsei_strtower10_prgo04_NAME&amp;" ")&amp;IF(shinsei_strtower10_prgo04_VER="","","Ver."&amp;shinsei_strtower10_prgo04_VER&amp;"  ")</f>
        <v>#NAME?</v>
      </c>
    </row>
    <row r="1442" spans="2:12" s="10" customFormat="1" ht="18" customHeight="1">
      <c r="C1442" s="12" t="s">
        <v>3974</v>
      </c>
      <c r="D1442" s="12"/>
      <c r="G1442" s="9"/>
      <c r="H1442" s="12"/>
    </row>
    <row r="1443" spans="2:12" s="10" customFormat="1" ht="18" customHeight="1">
      <c r="D1443" s="12" t="s">
        <v>3975</v>
      </c>
      <c r="G1443" s="9"/>
      <c r="H1443" s="12"/>
      <c r="I1443" s="9" t="s">
        <v>7030</v>
      </c>
      <c r="J1443" s="173" t="e">
        <f>IF(cst_shinsei_strtower10_prgo04_NINTEI__umu="有",IF(shinsei_strtower10_prgo04_MAKER_NAME="","",shinsei_strtower10_prgo04_MAKER_NAME&amp;"  "),"")</f>
        <v>#NAME?</v>
      </c>
    </row>
    <row r="1444" spans="2:12" s="10" customFormat="1" ht="18" customHeight="1">
      <c r="D1444" s="12" t="s">
        <v>3972</v>
      </c>
      <c r="G1444" s="9"/>
      <c r="H1444" s="12"/>
      <c r="I1444" s="9" t="s">
        <v>7031</v>
      </c>
      <c r="J1444" s="25" t="e">
        <f>IF(cst_shinsei_strtower10_prgo04_NINTEI__umu="有",IF(shinsei_strtower10_prgo04_NAME="","",shinsei_strtower10_prgo04_NAME&amp;" ")&amp;IF(shinsei_strtower10_prgo04_VER="","","Ver."&amp;shinsei_strtower10_prgo04_VER&amp;"  "),"")</f>
        <v>#NAME?</v>
      </c>
    </row>
    <row r="1445" spans="2:12" s="10" customFormat="1" ht="18" customHeight="1">
      <c r="C1445" s="12" t="s">
        <v>3981</v>
      </c>
      <c r="D1445" s="12"/>
      <c r="G1445" s="9"/>
      <c r="H1445" s="12"/>
    </row>
    <row r="1446" spans="2:12" s="10" customFormat="1" ht="18" customHeight="1">
      <c r="D1446" s="12" t="s">
        <v>3975</v>
      </c>
      <c r="G1446" s="9"/>
      <c r="H1446" s="12"/>
      <c r="I1446" s="9" t="s">
        <v>7032</v>
      </c>
      <c r="J1446" s="173" t="e">
        <f>IF(cst_shinsei_strtower10_prgo04_NINTEI__umu="無",IF(shinsei_strtower10_prgo04_MAKER_NAME="","",shinsei_strtower10_prgo04_MAKER_NAME&amp;"  "),"")</f>
        <v>#NAME?</v>
      </c>
    </row>
    <row r="1447" spans="2:12" s="10" customFormat="1" ht="18" customHeight="1">
      <c r="D1447" s="12" t="s">
        <v>3972</v>
      </c>
      <c r="G1447" s="9"/>
      <c r="H1447" s="12"/>
      <c r="I1447" s="9" t="s">
        <v>7033</v>
      </c>
      <c r="J1447" s="25" t="e">
        <f>IF(cst_shinsei_strtower10_prgo04_NINTEI__umu="無",IF(shinsei_strtower10_prgo04_NAME="","",shinsei_strtower10_prgo04_NAME&amp;" ")&amp;IF(shinsei_strtower10_prgo04_VER="","","Ver."&amp;shinsei_strtower10_prgo04_VER&amp;"  "),"")</f>
        <v>#NAME?</v>
      </c>
    </row>
    <row r="1448" spans="2:12" s="10" customFormat="1" ht="18" customHeight="1">
      <c r="B1448" s="105" t="s">
        <v>4049</v>
      </c>
      <c r="C1448" s="105"/>
      <c r="D1448" s="105"/>
      <c r="E1448" s="24"/>
      <c r="F1448" s="24"/>
      <c r="G1448" s="9"/>
      <c r="H1448" s="12"/>
    </row>
    <row r="1449" spans="2:12" s="10" customFormat="1" ht="18" customHeight="1">
      <c r="C1449" s="10" t="s">
        <v>3951</v>
      </c>
      <c r="D1449" s="12"/>
      <c r="G1449" s="9" t="s">
        <v>7034</v>
      </c>
      <c r="H1449" s="13"/>
      <c r="K1449" s="10" t="s">
        <v>3862</v>
      </c>
      <c r="L1449" s="10" t="s">
        <v>3879</v>
      </c>
    </row>
    <row r="1450" spans="2:12" s="10" customFormat="1" ht="18" customHeight="1">
      <c r="C1450" s="12" t="s">
        <v>3954</v>
      </c>
      <c r="D1450" s="12"/>
      <c r="G1450" s="9" t="s">
        <v>7035</v>
      </c>
      <c r="H1450" s="13"/>
    </row>
    <row r="1451" spans="2:12" s="10" customFormat="1" ht="18" customHeight="1">
      <c r="C1451" s="12" t="s">
        <v>3957</v>
      </c>
      <c r="D1451" s="12"/>
      <c r="G1451" s="9"/>
      <c r="H1451" s="9"/>
      <c r="I1451" s="10" t="s">
        <v>7036</v>
      </c>
      <c r="J1451" s="25" t="e">
        <f>IF(shinsei_strtower10_prgo05_NAME="","",IF(shinsei_strtower10_prgo05_NINTEI_NO="","無","有"))</f>
        <v>#NAME?</v>
      </c>
      <c r="K1451" s="10" t="s">
        <v>2941</v>
      </c>
      <c r="L1451" s="10" t="s">
        <v>3879</v>
      </c>
    </row>
    <row r="1452" spans="2:12" s="10" customFormat="1" ht="18" customHeight="1">
      <c r="C1452" s="12" t="s">
        <v>3960</v>
      </c>
      <c r="D1452" s="12"/>
      <c r="G1452" s="9" t="s">
        <v>7037</v>
      </c>
      <c r="H1452" s="13"/>
      <c r="K1452" s="10" t="s">
        <v>3863</v>
      </c>
      <c r="L1452" s="10" t="s">
        <v>3879</v>
      </c>
    </row>
    <row r="1453" spans="2:12" s="10" customFormat="1" ht="18" customHeight="1">
      <c r="C1453" s="12" t="s">
        <v>3964</v>
      </c>
      <c r="D1453" s="12"/>
      <c r="G1453" s="9" t="s">
        <v>7038</v>
      </c>
      <c r="H1453" s="74"/>
      <c r="I1453" s="10" t="s">
        <v>7039</v>
      </c>
      <c r="J1453" s="25" t="e">
        <f>IF(shinsei_strtower10_prgo05_NINTEI_DATE="","",TEXT(shinsei_strtower10_prgo05_NINTEI_DATE,"ggge年m月d日")&amp;"  ")</f>
        <v>#NAME?</v>
      </c>
    </row>
    <row r="1454" spans="2:12" s="10" customFormat="1" ht="18" customHeight="1">
      <c r="C1454" s="12" t="s">
        <v>6416</v>
      </c>
      <c r="D1454" s="12"/>
      <c r="G1454" s="9" t="s">
        <v>7040</v>
      </c>
      <c r="H1454" s="13"/>
    </row>
    <row r="1455" spans="2:12" s="10" customFormat="1" ht="18" customHeight="1">
      <c r="C1455" s="12" t="s">
        <v>3970</v>
      </c>
      <c r="D1455" s="12"/>
      <c r="G1455" s="9"/>
      <c r="H1455" s="12"/>
      <c r="I1455" s="9" t="s">
        <v>7041</v>
      </c>
      <c r="J1455" s="25" t="e">
        <f>IF(shinsei_strtower10_prgo05_NAME="","",shinsei_strtower10_prgo05_NAME)&amp;CHAR(10)&amp;IF(shinsei_strtower10_prgo05_VER="","","Ver."&amp;shinsei_strtower10_prgo05_VER&amp;CHAR(10))</f>
        <v>#NAME?</v>
      </c>
    </row>
    <row r="1456" spans="2:12" s="10" customFormat="1" ht="18" customHeight="1">
      <c r="C1456" s="12" t="s">
        <v>3972</v>
      </c>
      <c r="D1456" s="12"/>
      <c r="G1456" s="9"/>
      <c r="H1456" s="12"/>
      <c r="I1456" s="9" t="s">
        <v>7042</v>
      </c>
      <c r="J1456" s="25" t="e">
        <f>IF(shinsei_strtower10_prgo05_NAME="","",shinsei_strtower10_prgo05_NAME&amp;" ")&amp;IF(shinsei_strtower10_prgo05_VER="","","Ver."&amp;shinsei_strtower10_prgo05_VER&amp;"  ")</f>
        <v>#NAME?</v>
      </c>
    </row>
    <row r="1457" spans="2:10" s="10" customFormat="1" ht="18" customHeight="1">
      <c r="C1457" s="12" t="s">
        <v>3974</v>
      </c>
      <c r="D1457" s="12"/>
      <c r="G1457" s="9"/>
      <c r="H1457" s="12"/>
    </row>
    <row r="1458" spans="2:10" s="10" customFormat="1" ht="18" customHeight="1">
      <c r="D1458" s="12" t="s">
        <v>3975</v>
      </c>
      <c r="G1458" s="9"/>
      <c r="H1458" s="12"/>
      <c r="I1458" s="9" t="s">
        <v>7043</v>
      </c>
      <c r="J1458" s="173" t="e">
        <f>IF(cst_shinsei_strtower10_prgo05_NINTEI__umu="有",IF(shinsei_strtower10_prgo05_MAKER_NAME="","",shinsei_strtower10_prgo05_MAKER_NAME&amp;"  "),"")</f>
        <v>#NAME?</v>
      </c>
    </row>
    <row r="1459" spans="2:10" s="10" customFormat="1" ht="18" customHeight="1">
      <c r="D1459" s="12" t="s">
        <v>3972</v>
      </c>
      <c r="G1459" s="9"/>
      <c r="H1459" s="12"/>
      <c r="I1459" s="9" t="s">
        <v>7044</v>
      </c>
      <c r="J1459" s="25" t="e">
        <f>IF(cst_shinsei_strtower10_prgo05_NINTEI__umu="有",IF(shinsei_strtower10_prgo05_NAME="","",shinsei_strtower10_prgo05_NAME&amp;" ")&amp;IF(shinsei_strtower10_prgo05_VER="","","Ver."&amp;shinsei_strtower10_prgo05_VER&amp;"  "),"")</f>
        <v>#NAME?</v>
      </c>
    </row>
    <row r="1460" spans="2:10" s="10" customFormat="1" ht="18" customHeight="1">
      <c r="C1460" s="12" t="s">
        <v>3981</v>
      </c>
      <c r="D1460" s="12"/>
      <c r="G1460" s="9"/>
      <c r="H1460" s="12"/>
    </row>
    <row r="1461" spans="2:10" s="10" customFormat="1" ht="18" customHeight="1">
      <c r="D1461" s="12" t="s">
        <v>6376</v>
      </c>
      <c r="G1461" s="9"/>
      <c r="H1461" s="12"/>
      <c r="I1461" s="9" t="s">
        <v>7045</v>
      </c>
      <c r="J1461" s="173" t="e">
        <f>IF(cst_shinsei_strtower10_prgo05_NINTEI__umu="無",IF(shinsei_strtower10_prgo05_MAKER_NAME="","",shinsei_strtower10_prgo05_MAKER_NAME&amp;"  "),"")</f>
        <v>#NAME?</v>
      </c>
    </row>
    <row r="1462" spans="2:10" s="10" customFormat="1" ht="18" customHeight="1">
      <c r="D1462" s="12" t="s">
        <v>3972</v>
      </c>
      <c r="G1462" s="9"/>
      <c r="H1462" s="12"/>
      <c r="I1462" s="9" t="s">
        <v>7046</v>
      </c>
      <c r="J1462" s="25" t="e">
        <f>IF(cst_shinsei_strtower10_prgo05_NINTEI__umu="無",IF(shinsei_strtower10_prgo05_NAME="","",shinsei_strtower10_prgo05_NAME&amp;" ")&amp;IF(shinsei_strtower10_prgo05_VER="","","Ver."&amp;shinsei_strtower10_prgo05_VER&amp;"  "),"")</f>
        <v>#NAME?</v>
      </c>
    </row>
    <row r="1463" spans="2:10" s="10" customFormat="1" ht="18" customHeight="1">
      <c r="B1463" s="13" t="s">
        <v>7047</v>
      </c>
      <c r="C1463" s="13"/>
      <c r="D1463" s="13"/>
      <c r="E1463" s="25"/>
      <c r="F1463" s="25"/>
      <c r="G1463" s="9"/>
      <c r="H1463" s="80"/>
      <c r="I1463" s="9"/>
      <c r="J1463" s="80"/>
    </row>
    <row r="1464" spans="2:10" s="10" customFormat="1" ht="18" customHeight="1">
      <c r="C1464" s="12" t="s">
        <v>3970</v>
      </c>
      <c r="D1464" s="12"/>
      <c r="G1464" s="9"/>
      <c r="H1464" s="80"/>
      <c r="I1464" s="166" t="s">
        <v>7048</v>
      </c>
      <c r="J1464" s="74" t="e">
        <f>cst_shinsei_strtower10_prgo01_NAME_VER&amp;cst_shinsei_strtower10_prgo02_NAME_VER&amp;cst_shinsei_strtower10_prgo03_NAME_VER&amp;cst_shinsei_strtower10_prgo04_NAME_VER&amp;cst_shinsei_strtower10_prgo05_NAME_VER</f>
        <v>#NAME?</v>
      </c>
    </row>
    <row r="1465" spans="2:10" s="10" customFormat="1" ht="18" customHeight="1">
      <c r="C1465" s="12" t="s">
        <v>3972</v>
      </c>
      <c r="D1465" s="12"/>
      <c r="G1465" s="9"/>
      <c r="H1465" s="80"/>
      <c r="I1465" s="166" t="s">
        <v>7049</v>
      </c>
      <c r="J1465" s="74" t="e">
        <f>cst_shinsei_strtower10_prgo01_NAME_VER__SP&amp;cst_shinsei_strtower10_prgo02_NAME_VER__SP&amp;cst_shinsei_strtower10_prgo03_NAME_VER__SP&amp;cst_shinsei_strtower10_prgo04_NAME_VER__SP&amp;cst_shinsei_strtower10_prgo05_NAME_VER__SP</f>
        <v>#NAME?</v>
      </c>
    </row>
    <row r="1466" spans="2:10" s="10" customFormat="1" ht="18" customHeight="1">
      <c r="B1466" s="13" t="s">
        <v>4068</v>
      </c>
      <c r="C1466" s="13"/>
      <c r="D1466" s="13"/>
      <c r="E1466" s="25"/>
      <c r="F1466" s="25"/>
      <c r="G1466" s="9"/>
      <c r="H1466" s="80"/>
      <c r="I1466" s="9"/>
      <c r="J1466" s="80"/>
    </row>
    <row r="1467" spans="2:10" s="10" customFormat="1" ht="18" customHeight="1">
      <c r="C1467" s="12" t="s">
        <v>4749</v>
      </c>
      <c r="D1467" s="12"/>
      <c r="G1467" s="9"/>
      <c r="H1467" s="80"/>
      <c r="I1467" s="166" t="s">
        <v>7050</v>
      </c>
      <c r="J1467" s="74" t="e">
        <f>cst_shinsei_strtower10_prgo01_MAKER__NINTEI_ari&amp;cst_shinsei_strtower10_prgo02_MAKER__NINTEI_ari&amp;cst_shinsei_strtower10_prgo03_MAKER__NINTEI_ari&amp;cst_shinsei_strtower10_prgo04_MAKER__NINTEI_ari&amp;cst_shinsei_strtower10_prgo05_MAKER__NINTEI_ari</f>
        <v>#NAME?</v>
      </c>
    </row>
    <row r="1468" spans="2:10" s="10" customFormat="1" ht="18" customHeight="1">
      <c r="C1468" s="12" t="s">
        <v>3972</v>
      </c>
      <c r="D1468" s="12"/>
      <c r="G1468" s="9"/>
      <c r="H1468" s="80"/>
      <c r="I1468" s="166" t="s">
        <v>7051</v>
      </c>
      <c r="J1468" s="173" t="e">
        <f>cst_shinsei_strtower10_prgo01_NAME_VER__NINTEI_ari&amp;cst_shinsei_strtower10_prgo02_NAME_VER__NINTEI_ari&amp;cst_shinsei_strtower10_prgo03_NAME_VER__NINTEI_ari&amp;cst_shinsei_strtower10_prgo04_NAME_VER__NINTEI_ari&amp;cst_shinsei_strtower10_prgo05_NAME_VER__NINTEI_ari</f>
        <v>#NAME?</v>
      </c>
    </row>
    <row r="1469" spans="2:10" s="10" customFormat="1" ht="18" customHeight="1">
      <c r="C1469" s="12" t="s">
        <v>3964</v>
      </c>
      <c r="D1469" s="12"/>
      <c r="G1469" s="9"/>
      <c r="H1469" s="80"/>
      <c r="I1469" s="166" t="s">
        <v>7052</v>
      </c>
      <c r="J1469" s="74" t="e">
        <f>cst_shinsei_strtower10_prgo01_NINTEI_DATE_dsp&amp;cst_shinsei_strtower10_prgo02_NINTEI_DATE_dsp&amp;cst_shinsei_strtower10_prgo03_NINTEI_DATE_dsp&amp;cst_shinsei_strtower10_prgo04_NINTEI_DATE_dsp&amp;cst_shinsei_strtower10_prgo05_NINTEI_DATE_dsp</f>
        <v>#NAME?</v>
      </c>
    </row>
    <row r="1470" spans="2:10" s="10" customFormat="1" ht="18" customHeight="1">
      <c r="B1470" s="13" t="s">
        <v>4072</v>
      </c>
      <c r="C1470" s="13"/>
      <c r="D1470" s="13"/>
      <c r="E1470" s="25"/>
      <c r="F1470" s="25"/>
      <c r="G1470" s="9"/>
      <c r="H1470" s="80"/>
      <c r="I1470" s="9"/>
      <c r="J1470" s="80"/>
    </row>
    <row r="1471" spans="2:10" s="10" customFormat="1" ht="18" customHeight="1">
      <c r="C1471" s="12" t="s">
        <v>3975</v>
      </c>
      <c r="D1471" s="12"/>
      <c r="G1471" s="9"/>
      <c r="H1471" s="80"/>
      <c r="I1471" s="166" t="s">
        <v>7053</v>
      </c>
      <c r="J1471" s="74" t="e">
        <f>cst_shinsei_strtower10_prgo01_MAKER__NINTEI_non&amp;cst_shinsei_strtower10_prgo02_MAKER__NINTEI_non&amp;cst_shinsei_strtower10_prgo03_MAKER__NINTEI_non&amp;cst_shinsei_strtower10_prgo04_MAKER__NINTEI_non&amp;cst_shinsei_strtower10_prgo05_MAKER__NINTEI_non</f>
        <v>#NAME?</v>
      </c>
    </row>
    <row r="1472" spans="2:10" s="10" customFormat="1" ht="18" customHeight="1">
      <c r="C1472" s="12" t="s">
        <v>3972</v>
      </c>
      <c r="D1472" s="12"/>
      <c r="G1472" s="9"/>
      <c r="H1472" s="80"/>
      <c r="I1472" s="166" t="s">
        <v>7054</v>
      </c>
      <c r="J1472" s="173" t="e">
        <f>cst_shinsei_strtower10_prgo01_NAME_VER__NINTEI_non&amp;cst_shinsei_strtower10_prgo02_NAME_VER__NINTEI_non&amp;cst_shinsei_strtower10_prgo03_NAME_VER__NINTEI_non&amp;cst_shinsei_strtower10_prgo04_NAME_VER__NINTEI_non&amp;cst_shinsei_strtower10_prgo05_NAME_VER__NINTEI_non</f>
        <v>#NAME?</v>
      </c>
    </row>
    <row r="1473" spans="1:12" s="10" customFormat="1" ht="18" customHeight="1">
      <c r="B1473" s="12" t="s">
        <v>4075</v>
      </c>
      <c r="G1473" s="9" t="s">
        <v>7055</v>
      </c>
      <c r="H1473" s="20"/>
      <c r="I1473" s="9" t="s">
        <v>7056</v>
      </c>
      <c r="J1473" s="20" t="e">
        <f>IF(shinsei_strtower10_DISK_FLAG="","",IF(shinsei_strtower10_DISK_FLAG=1,"有","無"))</f>
        <v>#NAME?</v>
      </c>
    </row>
    <row r="1474" spans="1:12" s="10" customFormat="1" ht="18" customHeight="1">
      <c r="A1474" s="9"/>
      <c r="B1474" s="9" t="s">
        <v>2955</v>
      </c>
      <c r="C1474" s="9"/>
      <c r="D1474" s="9"/>
      <c r="E1474" s="9"/>
      <c r="F1474" s="9"/>
      <c r="G1474" s="9" t="s">
        <v>7057</v>
      </c>
      <c r="H1474" s="136"/>
      <c r="I1474" s="19" t="s">
        <v>7058</v>
      </c>
      <c r="J1474" s="171" t="e">
        <f>IF(shinsei_strtower10_CHARGE="","",shinsei_strtower10_CHARGE)</f>
        <v>#NAME?</v>
      </c>
      <c r="K1474" s="9" t="s">
        <v>2528</v>
      </c>
      <c r="L1474" s="9" t="s">
        <v>2528</v>
      </c>
    </row>
    <row r="1475" spans="1:12" ht="18" customHeight="1">
      <c r="A1475" s="149"/>
      <c r="B1475" s="149"/>
      <c r="C1475" s="149"/>
      <c r="D1475" s="149"/>
      <c r="E1475" s="12" t="s">
        <v>3907</v>
      </c>
      <c r="F1475" s="12"/>
      <c r="G1475" s="149"/>
      <c r="I1475" s="100" t="s">
        <v>7059</v>
      </c>
      <c r="J1475" s="171" t="e">
        <f>IF(shinsei_strtower10_CHARGE="","",TEXT(shinsei_strtower10_CHARGE,"#,##0_ ")&amp;"円")</f>
        <v>#NAME?</v>
      </c>
      <c r="K1475" s="9"/>
      <c r="L1475" s="9"/>
    </row>
    <row r="1476" spans="1:12" ht="18" customHeight="1">
      <c r="A1476" s="149"/>
      <c r="B1476" s="149" t="s">
        <v>3041</v>
      </c>
      <c r="C1476" s="149"/>
      <c r="D1476" s="149"/>
      <c r="E1476" s="149"/>
      <c r="F1476" s="149"/>
      <c r="G1476" s="149" t="s">
        <v>7060</v>
      </c>
      <c r="H1476" s="136"/>
      <c r="I1476" s="100" t="s">
        <v>7061</v>
      </c>
      <c r="J1476" s="136" t="e">
        <f>IF(shinsei_strtower10_CHARGE_WARIMASHI="","",shinsei_strtower10_CHARGE_WARIMASHI)</f>
        <v>#NAME?</v>
      </c>
      <c r="K1476" s="9" t="s">
        <v>2528</v>
      </c>
      <c r="L1476" s="9" t="s">
        <v>2528</v>
      </c>
    </row>
    <row r="1477" spans="1:12" ht="18" customHeight="1">
      <c r="A1477" s="149"/>
      <c r="B1477" s="149" t="s">
        <v>3043</v>
      </c>
      <c r="C1477" s="149"/>
      <c r="D1477" s="149"/>
      <c r="E1477" s="149"/>
      <c r="F1477" s="149"/>
      <c r="G1477" s="149" t="s">
        <v>7062</v>
      </c>
      <c r="H1477" s="136"/>
      <c r="I1477" s="100" t="s">
        <v>7063</v>
      </c>
      <c r="J1477" s="136" t="e">
        <f>IF(shinsei_strtower10_CHARGE_TOTAL="","",shinsei_strtower10_CHARGE_TOTAL)</f>
        <v>#NAME?</v>
      </c>
      <c r="K1477" s="9" t="s">
        <v>2528</v>
      </c>
      <c r="L1477" s="9" t="s">
        <v>2528</v>
      </c>
    </row>
    <row r="1478" spans="1:12" ht="18" customHeight="1">
      <c r="A1478" s="149"/>
      <c r="B1478" s="149" t="s">
        <v>5637</v>
      </c>
      <c r="C1478" s="149"/>
      <c r="D1478" s="149"/>
      <c r="E1478" s="149"/>
      <c r="F1478" s="149"/>
      <c r="G1478" s="149" t="s">
        <v>7064</v>
      </c>
      <c r="H1478" s="13"/>
      <c r="I1478" s="176" t="s">
        <v>7065</v>
      </c>
      <c r="J1478" s="20" t="e">
        <f>IF(shinsei_strtower10_CHARGE_KEISAN_NOTE="","",shinsei_strtower10_CHARGE_KEISAN_NOTE)</f>
        <v>#NAME?</v>
      </c>
      <c r="K1478" s="10" t="s">
        <v>3862</v>
      </c>
      <c r="L1478" s="10" t="s">
        <v>3879</v>
      </c>
    </row>
    <row r="1479" spans="1:12" ht="18" customHeight="1">
      <c r="A1479" s="149"/>
      <c r="B1479" s="149"/>
      <c r="C1479" s="149"/>
      <c r="D1479" s="149"/>
      <c r="E1479" s="149" t="s">
        <v>5640</v>
      </c>
      <c r="F1479" s="149"/>
      <c r="G1479" s="149"/>
      <c r="I1479" s="100" t="s">
        <v>7066</v>
      </c>
      <c r="J1479" s="20" t="e">
        <f>IF(shinsei_INSPECTION_TYPE="計画変更",IF(shinsei_strtower10_CHARGE="","","延べ面積×1/2により算出"),IF(shinsei_strtower10_CHARGE_KEISAN_NOTE="","",shinsei_strtower10_CHARGE_KEISAN_NOTE))</f>
        <v>#NAME?</v>
      </c>
    </row>
    <row r="1480" spans="1:12" ht="18" customHeight="1">
      <c r="A1480" s="149"/>
      <c r="B1480" s="149" t="s">
        <v>5642</v>
      </c>
      <c r="C1480" s="149"/>
      <c r="D1480" s="149"/>
      <c r="E1480" s="149"/>
      <c r="F1480" s="149"/>
      <c r="G1480" s="149" t="s">
        <v>7067</v>
      </c>
      <c r="H1480" s="13"/>
      <c r="I1480" s="149" t="s">
        <v>7068</v>
      </c>
      <c r="J1480" s="20" t="e">
        <f>IF(shinsei_strtower10_KEISAN_X_ROUTE="","",shinsei_strtower10_KEISAN_X_ROUTE)</f>
        <v>#NAME?</v>
      </c>
    </row>
    <row r="1481" spans="1:12" ht="18" customHeight="1">
      <c r="A1481" s="149"/>
      <c r="B1481" s="149" t="s">
        <v>5645</v>
      </c>
      <c r="C1481" s="149"/>
      <c r="D1481" s="149"/>
      <c r="E1481" s="149"/>
      <c r="F1481" s="149"/>
      <c r="G1481" s="149" t="s">
        <v>7069</v>
      </c>
      <c r="H1481" s="13"/>
      <c r="I1481" s="149" t="s">
        <v>7070</v>
      </c>
      <c r="J1481" s="20" t="e">
        <f>IF(shinsei_strtower10_KEISAN_Y_ROUTE="","",shinsei_strtower10_KEISAN_Y_ROUTE)</f>
        <v>#NAME?</v>
      </c>
    </row>
    <row r="1482" spans="1:12" ht="18" customHeight="1">
      <c r="A1482" s="149"/>
      <c r="B1482" s="149"/>
      <c r="C1482" s="149" t="s">
        <v>3805</v>
      </c>
      <c r="D1482" s="149"/>
      <c r="E1482" s="149"/>
      <c r="F1482" s="149"/>
      <c r="G1482" s="149"/>
      <c r="H1482" s="12"/>
      <c r="I1482" s="149" t="s">
        <v>7071</v>
      </c>
      <c r="J1482" s="20" t="e">
        <f>IF(AND(cst_shinsei_strtower10_KEISAN_X_ROUTE="3",cst_shinsei_strtower10_KEISAN_Y_ROUTE="3"),"■","□")</f>
        <v>#NAME?</v>
      </c>
    </row>
    <row r="1483" spans="1:12" ht="18" customHeight="1">
      <c r="A1483" s="149"/>
      <c r="B1483" s="149" t="s">
        <v>5650</v>
      </c>
      <c r="C1483" s="149"/>
      <c r="D1483" s="149"/>
      <c r="E1483" s="149"/>
      <c r="F1483" s="149"/>
      <c r="G1483" s="149" t="s">
        <v>7072</v>
      </c>
      <c r="H1483" s="13"/>
      <c r="I1483" s="149" t="s">
        <v>7073</v>
      </c>
      <c r="J1483" s="20" t="e">
        <f>IF(shinsei_strtower10_PROGRAM_KIND_SONOTA="","",shinsei_strtower10_PROGRAM_KIND_SONOTA)</f>
        <v>#NAME?</v>
      </c>
    </row>
    <row r="1484" spans="1:12" ht="18" customHeight="1">
      <c r="A1484" s="149"/>
      <c r="B1484" s="149"/>
      <c r="C1484" s="149"/>
      <c r="D1484" s="149"/>
      <c r="E1484" s="149"/>
      <c r="F1484" s="149"/>
      <c r="G1484" s="149"/>
      <c r="I1484" s="149"/>
    </row>
    <row r="1485" spans="1:12" s="10" customFormat="1" ht="18" customHeight="1">
      <c r="A1485" s="162" t="s">
        <v>3092</v>
      </c>
      <c r="B1485" s="162"/>
      <c r="C1485" s="162"/>
      <c r="D1485" s="162"/>
      <c r="E1485" s="163"/>
      <c r="F1485" s="163"/>
      <c r="G1485" s="164"/>
      <c r="H1485" s="165"/>
      <c r="I1485" s="9"/>
    </row>
    <row r="1486" spans="1:12" s="10" customFormat="1" ht="18" customHeight="1">
      <c r="A1486" s="12"/>
      <c r="B1486" s="12" t="s">
        <v>3859</v>
      </c>
      <c r="C1486" s="12"/>
      <c r="D1486" s="12"/>
      <c r="E1486" s="11"/>
      <c r="F1486" s="11"/>
      <c r="G1486" s="10" t="s">
        <v>7074</v>
      </c>
      <c r="H1486" s="13"/>
      <c r="I1486" s="19" t="s">
        <v>7075</v>
      </c>
      <c r="J1486" s="25" t="e">
        <f>IF(shinsei_strtower11_TOWER_NO="","",shinsei_strtower11_TOWER_NO)</f>
        <v>#NAME?</v>
      </c>
      <c r="K1486" s="10" t="s">
        <v>4860</v>
      </c>
    </row>
    <row r="1487" spans="1:12" s="10" customFormat="1" ht="18" customHeight="1">
      <c r="A1487" s="12"/>
      <c r="B1487" s="12" t="s">
        <v>3864</v>
      </c>
      <c r="C1487" s="12"/>
      <c r="D1487" s="12"/>
      <c r="E1487" s="11"/>
      <c r="F1487" s="11"/>
      <c r="G1487" s="9" t="s">
        <v>7076</v>
      </c>
      <c r="H1487" s="13"/>
      <c r="I1487" s="19" t="s">
        <v>7077</v>
      </c>
      <c r="J1487" s="25" t="e">
        <f>IF(shinsei_strtower11_STR_TOWER_NO="","",shinsei_strtower11_STR_TOWER_NO)</f>
        <v>#NAME?</v>
      </c>
      <c r="K1487" s="10" t="s">
        <v>3862</v>
      </c>
      <c r="L1487" s="10" t="s">
        <v>3879</v>
      </c>
    </row>
    <row r="1488" spans="1:12" s="166" customFormat="1" ht="18" customHeight="1">
      <c r="B1488" s="12" t="s">
        <v>3868</v>
      </c>
      <c r="I1488" s="9" t="s">
        <v>7078</v>
      </c>
      <c r="J1488" s="167" t="e">
        <f>CONCATENATE(cst_shinsei_strtower11_TOWER_NO," - ",cst_shinsei_strtower11_STR_TOWER_NO)</f>
        <v>#NAME?</v>
      </c>
    </row>
    <row r="1489" spans="1:12" s="166" customFormat="1" ht="18" customHeight="1">
      <c r="B1489" s="12" t="s">
        <v>3870</v>
      </c>
      <c r="I1489" s="9" t="s">
        <v>7079</v>
      </c>
      <c r="J1489" s="167" t="e">
        <f>CONCATENATE(cst_shinsei_strtower11_STR_TOWER_NO," ／ ",cst_shinsei_STR_SHINSEI_TOWERS)</f>
        <v>#NAME?</v>
      </c>
    </row>
    <row r="1490" spans="1:12" s="10" customFormat="1" ht="18" customHeight="1">
      <c r="A1490" s="12"/>
      <c r="B1490" s="12" t="s">
        <v>3872</v>
      </c>
      <c r="C1490" s="11"/>
      <c r="D1490" s="11"/>
      <c r="E1490" s="11"/>
      <c r="F1490" s="11"/>
      <c r="G1490" s="9" t="s">
        <v>7080</v>
      </c>
      <c r="H1490" s="13"/>
      <c r="I1490" s="9" t="s">
        <v>7081</v>
      </c>
      <c r="J1490" s="25" t="e">
        <f>IF(shinsei_strtower11_STR_TOWER_NAME="","",shinsei_strtower11_STR_TOWER_NAME)</f>
        <v>#NAME?</v>
      </c>
    </row>
    <row r="1491" spans="1:12" s="10" customFormat="1" ht="18" customHeight="1">
      <c r="A1491" s="12"/>
      <c r="B1491" s="12" t="s">
        <v>7082</v>
      </c>
      <c r="C1491" s="12"/>
      <c r="D1491" s="12"/>
      <c r="E1491" s="11"/>
      <c r="F1491" s="11"/>
      <c r="G1491" s="9" t="s">
        <v>7083</v>
      </c>
      <c r="H1491" s="20"/>
      <c r="I1491" s="20" t="s">
        <v>7084</v>
      </c>
      <c r="J1491" s="25" t="e">
        <f>IF(shinsei_strtower11_JUDGE="","",shinsei_strtower11_JUDGE)</f>
        <v>#NAME?</v>
      </c>
      <c r="K1491" s="10" t="s">
        <v>3878</v>
      </c>
      <c r="L1491" s="10" t="s">
        <v>3879</v>
      </c>
    </row>
    <row r="1492" spans="1:12" s="10" customFormat="1" ht="18" customHeight="1">
      <c r="A1492" s="12"/>
      <c r="B1492" s="12" t="s">
        <v>4441</v>
      </c>
      <c r="C1492" s="12"/>
      <c r="D1492" s="12"/>
      <c r="E1492" s="11"/>
      <c r="F1492" s="11"/>
      <c r="G1492" s="9" t="s">
        <v>7085</v>
      </c>
      <c r="H1492" s="13"/>
      <c r="I1492" s="9" t="s">
        <v>7086</v>
      </c>
      <c r="J1492" s="25" t="e">
        <f>IF(shinsei_strtower11_STR_TOWER_YOUTO_TEXT="","",shinsei_strtower11_STR_TOWER_YOUTO_TEXT)</f>
        <v>#NAME?</v>
      </c>
      <c r="K1492" s="10" t="s">
        <v>3862</v>
      </c>
      <c r="L1492" s="10" t="s">
        <v>3879</v>
      </c>
    </row>
    <row r="1493" spans="1:12" s="10" customFormat="1" ht="18" customHeight="1">
      <c r="A1493" s="12"/>
      <c r="B1493" s="12" t="s">
        <v>3790</v>
      </c>
      <c r="C1493" s="12"/>
      <c r="D1493" s="12"/>
      <c r="E1493" s="11"/>
      <c r="F1493" s="11"/>
      <c r="G1493" s="9" t="s">
        <v>7087</v>
      </c>
      <c r="H1493" s="13"/>
      <c r="I1493" s="9" t="s">
        <v>7088</v>
      </c>
      <c r="J1493" s="25" t="e">
        <f>IF(shinsei_strtower11_KOUJI_TEXT="","",shinsei_strtower11_KOUJI_TEXT)</f>
        <v>#NAME?</v>
      </c>
      <c r="K1493" s="10" t="s">
        <v>4791</v>
      </c>
      <c r="L1493" s="10" t="s">
        <v>3879</v>
      </c>
    </row>
    <row r="1494" spans="1:12" s="10" customFormat="1" ht="18" customHeight="1">
      <c r="A1494" s="12"/>
      <c r="B1494" s="12" t="s">
        <v>7089</v>
      </c>
      <c r="C1494" s="11"/>
      <c r="D1494" s="11"/>
      <c r="E1494" s="11"/>
      <c r="F1494" s="11"/>
      <c r="G1494" s="9" t="s">
        <v>7090</v>
      </c>
      <c r="H1494" s="13"/>
      <c r="I1494" s="9" t="s">
        <v>7091</v>
      </c>
      <c r="J1494" s="25" t="e">
        <f>IF(shinsei_strtower11_KOUZOU_TEXT="","",shinsei_strtower11_KOUZOU_TEXT)</f>
        <v>#NAME?</v>
      </c>
    </row>
    <row r="1495" spans="1:12" s="10" customFormat="1" ht="18" customHeight="1">
      <c r="A1495" s="12"/>
      <c r="B1495" s="12" t="s">
        <v>5419</v>
      </c>
      <c r="C1495" s="12"/>
      <c r="D1495" s="12"/>
      <c r="E1495" s="11"/>
      <c r="F1495" s="11"/>
      <c r="G1495" s="9" t="s">
        <v>7092</v>
      </c>
      <c r="H1495" s="13"/>
      <c r="I1495" s="9" t="s">
        <v>7093</v>
      </c>
      <c r="J1495" s="25" t="e">
        <f>IF(shinsei_strtower11_KOUZOU_TEXT="","",shinsei_strtower11_KOUZOU_TEXT)</f>
        <v>#NAME?</v>
      </c>
    </row>
    <row r="1496" spans="1:12" s="10" customFormat="1" ht="18" customHeight="1">
      <c r="A1496" s="12"/>
      <c r="B1496" s="12" t="s">
        <v>3893</v>
      </c>
      <c r="C1496" s="11"/>
      <c r="D1496" s="11"/>
      <c r="E1496" s="11"/>
      <c r="F1496" s="11"/>
      <c r="G1496" s="9" t="s">
        <v>7094</v>
      </c>
      <c r="H1496" s="13"/>
      <c r="I1496" s="9" t="s">
        <v>7095</v>
      </c>
      <c r="J1496" s="25" t="e">
        <f>IF(shinsei_strtower11_KOUZOU_KEISAN="","",shinsei_strtower11_KOUZOU_KEISAN)</f>
        <v>#NAME?</v>
      </c>
    </row>
    <row r="1497" spans="1:12" s="10" customFormat="1" ht="18" customHeight="1">
      <c r="A1497" s="12"/>
      <c r="B1497" s="12" t="s">
        <v>3893</v>
      </c>
      <c r="C1497" s="12"/>
      <c r="D1497" s="12"/>
      <c r="E1497" s="11"/>
      <c r="F1497" s="11"/>
      <c r="G1497" s="9" t="s">
        <v>7096</v>
      </c>
      <c r="H1497" s="13"/>
      <c r="I1497" s="10" t="s">
        <v>7097</v>
      </c>
      <c r="J1497" s="25" t="e">
        <f>IF(shinsei_strtower11_KOUZOU_KEISAN_TEXT="","",shinsei_strtower11_KOUZOU_KEISAN_TEXT)</f>
        <v>#NAME?</v>
      </c>
    </row>
    <row r="1498" spans="1:12" s="10" customFormat="1" ht="18" customHeight="1">
      <c r="A1498" s="12"/>
      <c r="B1498" s="12" t="s">
        <v>3902</v>
      </c>
      <c r="C1498" s="12"/>
      <c r="D1498" s="12"/>
      <c r="E1498" s="11"/>
      <c r="F1498" s="11"/>
      <c r="G1498" s="9" t="s">
        <v>7098</v>
      </c>
      <c r="H1498" s="65"/>
      <c r="I1498" s="19" t="s">
        <v>7099</v>
      </c>
      <c r="J1498" s="168" t="e">
        <f>IF(shinsei_strtower11_MENSEKI="","",shinsei_strtower11_MENSEKI)</f>
        <v>#NAME?</v>
      </c>
      <c r="K1498" s="10" t="s">
        <v>3906</v>
      </c>
      <c r="L1498" s="10" t="s">
        <v>3906</v>
      </c>
    </row>
    <row r="1499" spans="1:12" ht="18" customHeight="1">
      <c r="A1499" s="12"/>
      <c r="B1499" s="12"/>
      <c r="C1499" s="12"/>
      <c r="D1499" s="12"/>
      <c r="E1499" s="12" t="s">
        <v>3907</v>
      </c>
      <c r="F1499" s="12"/>
      <c r="G1499" s="9"/>
      <c r="H1499" s="9"/>
      <c r="I1499" s="9" t="s">
        <v>7100</v>
      </c>
      <c r="J1499" s="168" t="e">
        <f>IF(shinsei_strtower11_MENSEKI="","",TEXT(shinsei_strtower11_MENSEKI,"#,##0.00_ ")&amp;"㎡")</f>
        <v>#NAME?</v>
      </c>
    </row>
    <row r="1500" spans="1:12" s="10" customFormat="1" ht="18" customHeight="1">
      <c r="A1500" s="12"/>
      <c r="B1500" s="12" t="s">
        <v>4390</v>
      </c>
      <c r="C1500" s="12"/>
      <c r="D1500" s="12"/>
      <c r="E1500" s="11"/>
      <c r="F1500" s="11"/>
      <c r="G1500" s="9" t="s">
        <v>7101</v>
      </c>
      <c r="H1500" s="93"/>
      <c r="I1500" s="9" t="s">
        <v>7102</v>
      </c>
      <c r="J1500" s="170" t="e">
        <f>IF(shinsei_strtower11_MAX_TAKASA="","",shinsei_strtower11_MAX_TAKASA)</f>
        <v>#NAME?</v>
      </c>
      <c r="K1500" s="10" t="s">
        <v>3911</v>
      </c>
      <c r="L1500" s="10" t="s">
        <v>3911</v>
      </c>
    </row>
    <row r="1501" spans="1:12" s="10" customFormat="1" ht="18" customHeight="1">
      <c r="A1501" s="12"/>
      <c r="B1501" s="12" t="s">
        <v>4388</v>
      </c>
      <c r="C1501" s="11"/>
      <c r="D1501" s="11"/>
      <c r="E1501" s="11"/>
      <c r="F1501" s="11"/>
      <c r="G1501" s="9" t="s">
        <v>7103</v>
      </c>
      <c r="H1501" s="93"/>
      <c r="I1501" s="9" t="s">
        <v>7104</v>
      </c>
      <c r="J1501" s="170" t="e">
        <f>IF(shinsei_strtower11_MAX_NOKI_TAKASA="","",shinsei_strtower11_MAX_NOKI_TAKASA)</f>
        <v>#NAME?</v>
      </c>
    </row>
    <row r="1502" spans="1:12" s="10" customFormat="1" ht="18" customHeight="1">
      <c r="A1502" s="12"/>
      <c r="B1502" s="12" t="s">
        <v>3782</v>
      </c>
      <c r="C1502" s="12"/>
      <c r="D1502" s="12"/>
      <c r="E1502" s="11"/>
      <c r="F1502" s="11"/>
      <c r="G1502" s="9"/>
      <c r="H1502" s="9"/>
      <c r="I1502" s="9"/>
    </row>
    <row r="1503" spans="1:12" s="10" customFormat="1" ht="18" customHeight="1">
      <c r="A1503" s="12"/>
      <c r="B1503" s="12"/>
      <c r="C1503" s="11" t="s">
        <v>3783</v>
      </c>
      <c r="D1503" s="12"/>
      <c r="G1503" s="9" t="s">
        <v>7105</v>
      </c>
      <c r="H1503" s="136"/>
      <c r="I1503" s="9" t="s">
        <v>7106</v>
      </c>
      <c r="J1503" s="171" t="e">
        <f>IF(shinsei_strtower11_KAISU_TIJYOU="","",shinsei_strtower11_KAISU_TIJYOU)</f>
        <v>#NAME?</v>
      </c>
      <c r="K1503" s="10" t="s">
        <v>3916</v>
      </c>
      <c r="L1503" s="10" t="s">
        <v>3916</v>
      </c>
    </row>
    <row r="1504" spans="1:12" s="10" customFormat="1" ht="18" customHeight="1">
      <c r="A1504" s="12"/>
      <c r="B1504" s="12"/>
      <c r="C1504" s="11" t="s">
        <v>3785</v>
      </c>
      <c r="D1504" s="12"/>
      <c r="G1504" s="9" t="s">
        <v>7107</v>
      </c>
      <c r="H1504" s="136"/>
      <c r="I1504" s="9" t="s">
        <v>7108</v>
      </c>
      <c r="J1504" s="171" t="e">
        <f>IF(shinsei_strtower11_KAISU_TIKA="","",shinsei_strtower11_KAISU_TIKA)</f>
        <v>#NAME?</v>
      </c>
      <c r="K1504" s="10" t="s">
        <v>3916</v>
      </c>
      <c r="L1504" s="10" t="s">
        <v>3916</v>
      </c>
    </row>
    <row r="1505" spans="1:12" s="10" customFormat="1" ht="18" customHeight="1">
      <c r="A1505" s="12"/>
      <c r="B1505" s="12"/>
      <c r="C1505" s="11" t="s">
        <v>3787</v>
      </c>
      <c r="D1505" s="12"/>
      <c r="G1505" s="9" t="s">
        <v>7109</v>
      </c>
      <c r="H1505" s="136"/>
      <c r="I1505" s="9" t="s">
        <v>7110</v>
      </c>
      <c r="J1505" s="171" t="e">
        <f>IF(shinsei_strtower11_KAISU_TOUYA="","",shinsei_strtower11_KAISU_TOUYA)</f>
        <v>#NAME?</v>
      </c>
      <c r="K1505" s="10" t="s">
        <v>3916</v>
      </c>
      <c r="L1505" s="10" t="s">
        <v>3916</v>
      </c>
    </row>
    <row r="1506" spans="1:12" s="10" customFormat="1" ht="18" customHeight="1">
      <c r="B1506" s="12" t="s">
        <v>3923</v>
      </c>
      <c r="G1506" s="9" t="s">
        <v>7111</v>
      </c>
      <c r="H1506" s="13"/>
      <c r="I1506" s="10" t="s">
        <v>7112</v>
      </c>
      <c r="J1506" s="25" t="e">
        <f>IF(shinsei_strtower11_BUILD_KUBUN="","",shinsei_strtower11_BUILD_KUBUN)</f>
        <v>#NAME?</v>
      </c>
    </row>
    <row r="1507" spans="1:12" s="10" customFormat="1" ht="18" customHeight="1">
      <c r="B1507" s="12" t="s">
        <v>3923</v>
      </c>
      <c r="C1507" s="12"/>
      <c r="D1507" s="12"/>
      <c r="G1507" s="9" t="s">
        <v>7113</v>
      </c>
      <c r="H1507" s="13"/>
      <c r="I1507" s="10" t="s">
        <v>7114</v>
      </c>
      <c r="J1507" s="25" t="e">
        <f>IF(shinsei_strtower11_BUILD_KUBUN_TEXT="","",shinsei_strtower11_BUILD_KUBUN_TEXT)</f>
        <v>#NAME?</v>
      </c>
      <c r="K1507" s="10" t="s">
        <v>3862</v>
      </c>
    </row>
    <row r="1508" spans="1:12" s="10" customFormat="1" ht="18" customHeight="1">
      <c r="A1508" s="149"/>
      <c r="B1508" s="149"/>
      <c r="C1508" s="149" t="s">
        <v>3801</v>
      </c>
      <c r="D1508" s="149"/>
      <c r="E1508" s="149"/>
      <c r="F1508" s="149"/>
      <c r="G1508" s="149"/>
      <c r="H1508" s="12"/>
      <c r="I1508" s="149" t="s">
        <v>7115</v>
      </c>
      <c r="J1508" s="20" t="e">
        <f>IF(shinsei_strtower11_BUILD_KUBUN_TEXT="建築基準法第20条第２号に掲げる建築物","■","□")</f>
        <v>#NAME?</v>
      </c>
    </row>
    <row r="1509" spans="1:12" s="10" customFormat="1" ht="18" customHeight="1">
      <c r="A1509" s="149"/>
      <c r="B1509" s="149"/>
      <c r="C1509" s="149" t="s">
        <v>3801</v>
      </c>
      <c r="D1509" s="149"/>
      <c r="E1509" s="149"/>
      <c r="F1509" s="149"/>
      <c r="G1509" s="149"/>
      <c r="H1509" s="12"/>
      <c r="I1509" s="149" t="s">
        <v>7116</v>
      </c>
      <c r="J1509" s="20" t="e">
        <f>IF(shinsei_strtower11_BUILD_KUBUN_TEXT="建築基準法第20条第３号に掲げる建築物","■","□")</f>
        <v>#NAME?</v>
      </c>
    </row>
    <row r="1510" spans="1:12" s="10" customFormat="1" ht="18" customHeight="1">
      <c r="A1510" s="12"/>
      <c r="B1510" s="12" t="s">
        <v>3932</v>
      </c>
      <c r="C1510" s="12"/>
      <c r="D1510" s="12"/>
      <c r="E1510" s="11"/>
      <c r="F1510" s="11"/>
      <c r="G1510" s="9" t="s">
        <v>7117</v>
      </c>
      <c r="H1510" s="13"/>
      <c r="I1510" s="9" t="s">
        <v>7118</v>
      </c>
      <c r="J1510" s="25" t="e">
        <f>IF(shinsei_strtower11_MENJYO_TEXT="","",shinsei_strtower11_MENJYO_TEXT)</f>
        <v>#NAME?</v>
      </c>
      <c r="K1510" s="10" t="s">
        <v>3862</v>
      </c>
    </row>
    <row r="1511" spans="1:12" s="10" customFormat="1" ht="18" customHeight="1">
      <c r="A1511" s="12"/>
      <c r="B1511" s="12" t="s">
        <v>3935</v>
      </c>
      <c r="C1511" s="12"/>
      <c r="D1511" s="12"/>
      <c r="E1511" s="11"/>
      <c r="F1511" s="11"/>
      <c r="G1511" s="9" t="s">
        <v>7119</v>
      </c>
      <c r="H1511" s="20"/>
      <c r="I1511" s="9" t="s">
        <v>7120</v>
      </c>
      <c r="J1511" s="25" t="e">
        <f>IF(shinsei_strtower11_PROGRAM_KIND="","",shinsei_strtower11_PROGRAM_KIND)</f>
        <v>#NAME?</v>
      </c>
      <c r="K1511" s="10" t="s">
        <v>5704</v>
      </c>
    </row>
    <row r="1512" spans="1:12" s="10" customFormat="1" ht="18" customHeight="1">
      <c r="B1512" s="12" t="s">
        <v>3939</v>
      </c>
      <c r="C1512" s="12"/>
      <c r="D1512" s="12"/>
      <c r="G1512" s="9" t="s">
        <v>7121</v>
      </c>
      <c r="H1512" s="13"/>
      <c r="I1512" s="10" t="s">
        <v>7122</v>
      </c>
      <c r="J1512" s="25" t="e">
        <f>IF(shinsei_strtower11_REI80_2_KOKUJI_TEXT="","",shinsei_strtower11_REI80_2_KOKUJI_TEXT)</f>
        <v>#NAME?</v>
      </c>
    </row>
    <row r="1513" spans="1:12" s="10" customFormat="1" ht="18" customHeight="1">
      <c r="B1513" s="12" t="s">
        <v>3943</v>
      </c>
      <c r="C1513" s="12"/>
      <c r="D1513" s="12"/>
      <c r="G1513" s="9" t="s">
        <v>7123</v>
      </c>
      <c r="H1513" s="13"/>
      <c r="I1513" s="10" t="s">
        <v>7124</v>
      </c>
      <c r="J1513" s="25" t="e">
        <f>IF(shinsei_strtower11_PROGRAM_KIND__nintei__box="■",2,IF(OR(shinsei_strtower11_PROGRAM_KIND__hyouka__box="■",shinsei_strtower11_PROGRAM_KIND__sonota__box="■"),1,0))</f>
        <v>#NAME?</v>
      </c>
      <c r="K1513" s="10" t="s">
        <v>3946</v>
      </c>
    </row>
    <row r="1514" spans="1:12" s="10" customFormat="1" ht="18" customHeight="1">
      <c r="B1514" s="12" t="s">
        <v>3947</v>
      </c>
      <c r="C1514" s="12"/>
      <c r="D1514" s="12"/>
      <c r="G1514" s="9" t="s">
        <v>7125</v>
      </c>
      <c r="H1514" s="13"/>
    </row>
    <row r="1515" spans="1:12" s="10" customFormat="1" ht="18" customHeight="1">
      <c r="B1515" s="12" t="s">
        <v>4305</v>
      </c>
      <c r="C1515" s="12"/>
      <c r="D1515" s="12"/>
      <c r="G1515" s="9" t="s">
        <v>7126</v>
      </c>
      <c r="H1515" s="13"/>
    </row>
    <row r="1516" spans="1:12" s="10" customFormat="1" ht="18" customHeight="1">
      <c r="B1516" s="105" t="s">
        <v>7127</v>
      </c>
      <c r="C1516" s="105"/>
      <c r="D1516" s="105"/>
      <c r="E1516" s="24"/>
      <c r="F1516" s="24"/>
      <c r="G1516" s="9"/>
      <c r="H1516" s="12"/>
    </row>
    <row r="1517" spans="1:12" s="10" customFormat="1" ht="18" customHeight="1">
      <c r="C1517" s="10" t="s">
        <v>3951</v>
      </c>
      <c r="D1517" s="12"/>
      <c r="G1517" s="9" t="s">
        <v>7128</v>
      </c>
      <c r="H1517" s="13"/>
      <c r="K1517" s="10" t="s">
        <v>4791</v>
      </c>
      <c r="L1517" s="10" t="s">
        <v>3879</v>
      </c>
    </row>
    <row r="1518" spans="1:12" s="10" customFormat="1" ht="18" customHeight="1">
      <c r="C1518" s="12" t="s">
        <v>6381</v>
      </c>
      <c r="D1518" s="12"/>
      <c r="E1518" s="12"/>
      <c r="F1518" s="12"/>
      <c r="G1518" s="9" t="s">
        <v>7129</v>
      </c>
      <c r="H1518" s="13"/>
    </row>
    <row r="1519" spans="1:12" s="10" customFormat="1" ht="18" customHeight="1">
      <c r="C1519" s="12" t="s">
        <v>3957</v>
      </c>
      <c r="D1519" s="12"/>
      <c r="G1519" s="9"/>
      <c r="H1519" s="9"/>
      <c r="I1519" s="10" t="s">
        <v>7130</v>
      </c>
      <c r="J1519" s="25" t="e">
        <f>IF(shinsei_strtower11_prgo01_NAME="","",IF(shinsei_strtower11_prgo01_NINTEI_NO="","無","有"))</f>
        <v>#NAME?</v>
      </c>
      <c r="K1519" s="10" t="s">
        <v>3959</v>
      </c>
      <c r="L1519" s="10" t="s">
        <v>3879</v>
      </c>
    </row>
    <row r="1520" spans="1:12" s="10" customFormat="1" ht="18" customHeight="1">
      <c r="C1520" s="12" t="s">
        <v>3960</v>
      </c>
      <c r="D1520" s="12"/>
      <c r="G1520" s="9" t="s">
        <v>7131</v>
      </c>
      <c r="H1520" s="13"/>
      <c r="I1520" s="10" t="s">
        <v>7132</v>
      </c>
      <c r="J1520" s="25" t="e">
        <f>IF(shinsei_strtower11_prgo01_NINTEI_NO="","",shinsei_strtower11_prgo01_NINTEI_NO)</f>
        <v>#NAME?</v>
      </c>
      <c r="K1520" s="10" t="s">
        <v>4860</v>
      </c>
      <c r="L1520" s="10" t="s">
        <v>3879</v>
      </c>
    </row>
    <row r="1521" spans="2:12" s="10" customFormat="1" ht="18" customHeight="1">
      <c r="C1521" s="12" t="s">
        <v>3964</v>
      </c>
      <c r="D1521" s="12"/>
      <c r="G1521" s="9" t="s">
        <v>7133</v>
      </c>
      <c r="H1521" s="74"/>
      <c r="I1521" s="10" t="s">
        <v>7134</v>
      </c>
      <c r="J1521" s="25" t="e">
        <f>IF(shinsei_strtower11_prgo01_NINTEI_DATE="","",TEXT(shinsei_strtower11_prgo01_NINTEI_DATE,"ggge年m月d日")&amp;"  ")</f>
        <v>#NAME?</v>
      </c>
    </row>
    <row r="1522" spans="2:12" s="10" customFormat="1" ht="18" customHeight="1">
      <c r="C1522" s="12" t="s">
        <v>3967</v>
      </c>
      <c r="D1522" s="12"/>
      <c r="G1522" s="9" t="s">
        <v>7135</v>
      </c>
      <c r="H1522" s="13"/>
    </row>
    <row r="1523" spans="2:12" s="10" customFormat="1" ht="18" customHeight="1">
      <c r="C1523" s="12" t="s">
        <v>3970</v>
      </c>
      <c r="D1523" s="12"/>
      <c r="G1523" s="9"/>
      <c r="H1523" s="12"/>
      <c r="I1523" s="9" t="s">
        <v>7136</v>
      </c>
      <c r="J1523" s="25" t="e">
        <f>IF(shinsei_strtower11_prgo01_NAME="","",shinsei_strtower11_prgo01_NAME)&amp;CHAR(10)&amp;IF(shinsei_strtower11_prgo01_VER="","","Ver."&amp;shinsei_strtower11_prgo01_VER&amp;CHAR(10))</f>
        <v>#NAME?</v>
      </c>
    </row>
    <row r="1524" spans="2:12" s="10" customFormat="1" ht="18" customHeight="1">
      <c r="C1524" s="12" t="s">
        <v>3972</v>
      </c>
      <c r="D1524" s="12"/>
      <c r="G1524" s="9"/>
      <c r="H1524" s="12"/>
      <c r="I1524" s="9" t="s">
        <v>7137</v>
      </c>
      <c r="J1524" s="25" t="e">
        <f>IF(shinsei_strtower11_prgo01_NAME="","",shinsei_strtower11_prgo01_NAME&amp;" ")&amp;IF(shinsei_strtower11_prgo01_VER="","","Ver."&amp;shinsei_strtower11_prgo01_VER&amp;"  ")</f>
        <v>#NAME?</v>
      </c>
    </row>
    <row r="1525" spans="2:12" s="10" customFormat="1" ht="18" customHeight="1">
      <c r="C1525" s="12" t="s">
        <v>3974</v>
      </c>
      <c r="D1525" s="12"/>
      <c r="G1525" s="9"/>
      <c r="H1525" s="12"/>
    </row>
    <row r="1526" spans="2:12" s="10" customFormat="1" ht="18" customHeight="1">
      <c r="D1526" s="12" t="s">
        <v>3975</v>
      </c>
      <c r="G1526" s="9"/>
      <c r="H1526" s="12"/>
      <c r="I1526" s="9" t="s">
        <v>7138</v>
      </c>
      <c r="J1526" s="173" t="e">
        <f>IF(cst_shinsei_strtower11_prgo01_NINTEI__umu="有",IF(shinsei_strtower11_prgo01_MAKER_NAME="","",shinsei_strtower11_prgo01_MAKER_NAME&amp;"  "),"")</f>
        <v>#NAME?</v>
      </c>
    </row>
    <row r="1527" spans="2:12" s="10" customFormat="1" ht="18" customHeight="1">
      <c r="B1527" s="12"/>
      <c r="D1527" s="12" t="s">
        <v>3972</v>
      </c>
      <c r="G1527" s="9"/>
      <c r="H1527" s="12"/>
      <c r="I1527" s="9" t="s">
        <v>7139</v>
      </c>
      <c r="J1527" s="25" t="e">
        <f>IF(cst_shinsei_strtower11_prgo01_NINTEI__umu="有",IF(shinsei_strtower11_prgo01_NAME="","",shinsei_strtower11_prgo01_NAME&amp;" ")&amp;IF(shinsei_strtower11_prgo01_VER="","","Ver."&amp;shinsei_strtower11_prgo01_VER&amp;"  "),"")</f>
        <v>#NAME?</v>
      </c>
    </row>
    <row r="1528" spans="2:12" s="10" customFormat="1" ht="18" customHeight="1">
      <c r="C1528" s="12" t="s">
        <v>3981</v>
      </c>
      <c r="D1528" s="12"/>
      <c r="G1528" s="9"/>
      <c r="H1528" s="12"/>
    </row>
    <row r="1529" spans="2:12" s="10" customFormat="1" ht="18" customHeight="1">
      <c r="B1529" s="12"/>
      <c r="D1529" s="12" t="s">
        <v>6392</v>
      </c>
      <c r="G1529" s="9"/>
      <c r="H1529" s="12"/>
      <c r="I1529" s="9" t="s">
        <v>7140</v>
      </c>
      <c r="J1529" s="173" t="e">
        <f>IF(cst_shinsei_strtower11_prgo01_NINTEI__umu="無",IF(shinsei_strtower11_prgo01_MAKER_NAME="","",shinsei_strtower11_prgo01_MAKER_NAME&amp;"  "),"")</f>
        <v>#NAME?</v>
      </c>
    </row>
    <row r="1530" spans="2:12" s="10" customFormat="1" ht="18" customHeight="1">
      <c r="B1530" s="12"/>
      <c r="D1530" s="12" t="s">
        <v>3972</v>
      </c>
      <c r="G1530" s="9"/>
      <c r="H1530" s="12"/>
      <c r="I1530" s="9" t="s">
        <v>7141</v>
      </c>
      <c r="J1530" s="25" t="e">
        <f>IF(cst_shinsei_strtower11_prgo01_NINTEI__umu="無",IF(shinsei_strtower11_prgo01_NAME="","",shinsei_strtower11_prgo01_NAME&amp;" ")&amp;IF(shinsei_strtower11_prgo01_VER="","","Ver."&amp;shinsei_strtower11_prgo01_VER&amp;"  "),"")</f>
        <v>#NAME?</v>
      </c>
    </row>
    <row r="1531" spans="2:12" s="10" customFormat="1" ht="18" customHeight="1">
      <c r="B1531" s="105" t="s">
        <v>7142</v>
      </c>
      <c r="C1531" s="105"/>
      <c r="D1531" s="105"/>
      <c r="E1531" s="24"/>
      <c r="F1531" s="24"/>
      <c r="G1531" s="9"/>
      <c r="H1531" s="12"/>
    </row>
    <row r="1532" spans="2:12" s="10" customFormat="1" ht="18" customHeight="1">
      <c r="C1532" s="10" t="s">
        <v>3951</v>
      </c>
      <c r="D1532" s="12"/>
      <c r="G1532" s="9" t="s">
        <v>7143</v>
      </c>
      <c r="H1532" s="13"/>
      <c r="K1532" s="10" t="s">
        <v>4762</v>
      </c>
      <c r="L1532" s="10" t="s">
        <v>3879</v>
      </c>
    </row>
    <row r="1533" spans="2:12" s="10" customFormat="1" ht="18" customHeight="1">
      <c r="C1533" s="12" t="s">
        <v>6397</v>
      </c>
      <c r="D1533" s="12"/>
      <c r="G1533" s="9" t="s">
        <v>7144</v>
      </c>
      <c r="H1533" s="13"/>
    </row>
    <row r="1534" spans="2:12" s="10" customFormat="1" ht="18" customHeight="1">
      <c r="C1534" s="12" t="s">
        <v>3957</v>
      </c>
      <c r="D1534" s="12"/>
      <c r="G1534" s="9"/>
      <c r="H1534" s="9"/>
      <c r="I1534" s="10" t="s">
        <v>7145</v>
      </c>
      <c r="J1534" s="25" t="e">
        <f>IF(shinsei_strtower11_prgo02_NAME="","",IF(shinsei_strtower11_prgo02_NINTEI_NO="","無","有"))</f>
        <v>#NAME?</v>
      </c>
      <c r="K1534" s="10" t="s">
        <v>2941</v>
      </c>
      <c r="L1534" s="10" t="s">
        <v>3879</v>
      </c>
    </row>
    <row r="1535" spans="2:12" s="10" customFormat="1" ht="18" customHeight="1">
      <c r="C1535" s="12" t="s">
        <v>3960</v>
      </c>
      <c r="D1535" s="12"/>
      <c r="G1535" s="9" t="s">
        <v>7146</v>
      </c>
      <c r="H1535" s="13"/>
      <c r="K1535" s="10" t="s">
        <v>3867</v>
      </c>
      <c r="L1535" s="10" t="s">
        <v>3879</v>
      </c>
    </row>
    <row r="1536" spans="2:12" s="10" customFormat="1" ht="18" customHeight="1">
      <c r="C1536" s="12" t="s">
        <v>3964</v>
      </c>
      <c r="D1536" s="12"/>
      <c r="G1536" s="9" t="s">
        <v>7147</v>
      </c>
      <c r="H1536" s="74"/>
      <c r="I1536" s="10" t="s">
        <v>7148</v>
      </c>
      <c r="J1536" s="25" t="e">
        <f>IF(shinsei_strtower11_prgo02_NINTEI_DATE="","",shinsei_strtower11_prgo02_NINTEI_DATE)</f>
        <v>#NAME?</v>
      </c>
    </row>
    <row r="1537" spans="2:12" s="10" customFormat="1" ht="18" customHeight="1">
      <c r="C1537" s="12" t="s">
        <v>3967</v>
      </c>
      <c r="D1537" s="12"/>
      <c r="G1537" s="9" t="s">
        <v>7149</v>
      </c>
      <c r="H1537" s="13"/>
    </row>
    <row r="1538" spans="2:12" s="10" customFormat="1" ht="18" customHeight="1">
      <c r="C1538" s="12" t="s">
        <v>3970</v>
      </c>
      <c r="D1538" s="12"/>
      <c r="G1538" s="9"/>
      <c r="H1538" s="12"/>
      <c r="I1538" s="9" t="s">
        <v>7150</v>
      </c>
      <c r="J1538" s="25" t="e">
        <f>IF(shinsei_strtower11_prgo02_NAME="","",shinsei_strtower11_prgo02_NAME)&amp;CHAR(10)&amp;IF(shinsei_strtower11_prgo02_VER="","","Ver."&amp;shinsei_strtower11_prgo02_VER&amp;CHAR(10))</f>
        <v>#NAME?</v>
      </c>
    </row>
    <row r="1539" spans="2:12" s="10" customFormat="1" ht="18" customHeight="1">
      <c r="C1539" s="12" t="s">
        <v>3972</v>
      </c>
      <c r="D1539" s="12"/>
      <c r="G1539" s="9"/>
      <c r="H1539" s="12"/>
      <c r="I1539" s="9" t="s">
        <v>7151</v>
      </c>
      <c r="J1539" s="25" t="e">
        <f>IF(shinsei_strtower11_prgo02_NAME="","",shinsei_strtower11_prgo02_NAME&amp;" ")&amp;IF(shinsei_strtower11_prgo02_VER="","","Ver."&amp;shinsei_strtower11_prgo02_VER&amp;"  ")</f>
        <v>#NAME?</v>
      </c>
    </row>
    <row r="1540" spans="2:12" s="10" customFormat="1" ht="18" customHeight="1">
      <c r="C1540" s="12" t="s">
        <v>3974</v>
      </c>
      <c r="D1540" s="12"/>
      <c r="G1540" s="9"/>
      <c r="H1540" s="12"/>
    </row>
    <row r="1541" spans="2:12" s="10" customFormat="1" ht="18" customHeight="1">
      <c r="D1541" s="12" t="s">
        <v>3975</v>
      </c>
      <c r="G1541" s="9"/>
      <c r="H1541" s="12"/>
      <c r="I1541" s="9" t="s">
        <v>7152</v>
      </c>
      <c r="J1541" s="173" t="e">
        <f>IF(cst_shinsei_strtower11_prgo02_NINTEI__umu="有",IF(shinsei_strtower11_prgo02_MAKER_NAME="","",shinsei_strtower11_prgo02_MAKER_NAME&amp;"  "),"")</f>
        <v>#NAME?</v>
      </c>
    </row>
    <row r="1542" spans="2:12" s="10" customFormat="1" ht="18" customHeight="1">
      <c r="D1542" s="12" t="s">
        <v>3972</v>
      </c>
      <c r="G1542" s="9"/>
      <c r="H1542" s="12"/>
      <c r="I1542" s="9" t="s">
        <v>7153</v>
      </c>
      <c r="J1542" s="25" t="e">
        <f>IF(cst_shinsei_strtower11_prgo02_NINTEI__umu="有",IF(shinsei_strtower11_prgo02_NAME="","",shinsei_strtower11_prgo02_NAME&amp;" ")&amp;IF(shinsei_strtower11_prgo02_VER="","","Ver."&amp;shinsei_strtower11_prgo02_VER&amp;"  "),"")</f>
        <v>#NAME?</v>
      </c>
    </row>
    <row r="1543" spans="2:12" s="10" customFormat="1" ht="18" customHeight="1">
      <c r="C1543" s="12" t="s">
        <v>3981</v>
      </c>
      <c r="D1543" s="12"/>
      <c r="G1543" s="9"/>
      <c r="H1543" s="12"/>
    </row>
    <row r="1544" spans="2:12" s="10" customFormat="1" ht="18" customHeight="1">
      <c r="D1544" s="12" t="s">
        <v>3975</v>
      </c>
      <c r="G1544" s="9"/>
      <c r="H1544" s="12"/>
      <c r="I1544" s="9" t="s">
        <v>7154</v>
      </c>
      <c r="J1544" s="173" t="e">
        <f>IF(cst_shinsei_strtower11_prgo02_NINTEI__umu="無",IF(shinsei_strtower11_prgo02_MAKER_NAME="","",shinsei_strtower11_prgo02_MAKER_NAME&amp;"  "),"")</f>
        <v>#NAME?</v>
      </c>
    </row>
    <row r="1545" spans="2:12" s="10" customFormat="1" ht="18" customHeight="1">
      <c r="D1545" s="12" t="s">
        <v>3972</v>
      </c>
      <c r="G1545" s="9"/>
      <c r="H1545" s="12"/>
      <c r="I1545" s="9" t="s">
        <v>7155</v>
      </c>
      <c r="J1545" s="25" t="e">
        <f>IF(cst_shinsei_strtower11_prgo02_NINTEI__umu="無",IF(shinsei_strtower11_prgo02_NAME="","",shinsei_strtower11_prgo02_NAME&amp;" ")&amp;IF(shinsei_strtower11_prgo02_VER="","","Ver."&amp;shinsei_strtower11_prgo02_VER&amp;"  "),"")</f>
        <v>#NAME?</v>
      </c>
    </row>
    <row r="1546" spans="2:12" s="10" customFormat="1" ht="18" customHeight="1">
      <c r="B1546" s="105" t="s">
        <v>4016</v>
      </c>
      <c r="C1546" s="105"/>
      <c r="D1546" s="105"/>
      <c r="E1546" s="24"/>
      <c r="F1546" s="24"/>
      <c r="G1546" s="9"/>
      <c r="H1546" s="12"/>
    </row>
    <row r="1547" spans="2:12" s="10" customFormat="1" ht="18" customHeight="1">
      <c r="C1547" s="10" t="s">
        <v>3951</v>
      </c>
      <c r="D1547" s="12"/>
      <c r="G1547" s="9" t="s">
        <v>7156</v>
      </c>
      <c r="H1547" s="13"/>
    </row>
    <row r="1548" spans="2:12" s="10" customFormat="1" ht="18" customHeight="1">
      <c r="C1548" s="12" t="s">
        <v>3954</v>
      </c>
      <c r="D1548" s="12"/>
      <c r="G1548" s="9" t="s">
        <v>7157</v>
      </c>
      <c r="H1548" s="13"/>
    </row>
    <row r="1549" spans="2:12" s="10" customFormat="1" ht="18" customHeight="1">
      <c r="C1549" s="12" t="s">
        <v>3957</v>
      </c>
      <c r="D1549" s="12"/>
      <c r="G1549" s="9"/>
      <c r="H1549" s="9"/>
      <c r="I1549" s="10" t="s">
        <v>7158</v>
      </c>
      <c r="J1549" s="25" t="e">
        <f>IF(shinsei_strtower11_prgo03_NAME="","",IF(shinsei_strtower11_prgo03_NINTEI_NO="","無","有"))</f>
        <v>#NAME?</v>
      </c>
      <c r="K1549" s="10" t="s">
        <v>2941</v>
      </c>
      <c r="L1549" s="10" t="s">
        <v>3879</v>
      </c>
    </row>
    <row r="1550" spans="2:12" s="10" customFormat="1" ht="18" customHeight="1">
      <c r="C1550" s="12" t="s">
        <v>3960</v>
      </c>
      <c r="D1550" s="12"/>
      <c r="G1550" s="9" t="s">
        <v>7159</v>
      </c>
      <c r="H1550" s="13"/>
      <c r="K1550" s="10" t="s">
        <v>3862</v>
      </c>
      <c r="L1550" s="10" t="s">
        <v>3879</v>
      </c>
    </row>
    <row r="1551" spans="2:12" s="10" customFormat="1" ht="18" customHeight="1">
      <c r="C1551" s="12" t="s">
        <v>3964</v>
      </c>
      <c r="D1551" s="12"/>
      <c r="G1551" s="9" t="s">
        <v>7160</v>
      </c>
      <c r="H1551" s="74"/>
      <c r="I1551" s="10" t="s">
        <v>7161</v>
      </c>
      <c r="J1551" s="25" t="e">
        <f>IF(shinsei_strtower11_prgo03_NINTEI_DATE="","",TEXT(shinsei_strtower11_prgo03_NINTEI_DATE,"ggge年m月d日")&amp;"  ")</f>
        <v>#NAME?</v>
      </c>
    </row>
    <row r="1552" spans="2:12" s="10" customFormat="1" ht="18" customHeight="1">
      <c r="C1552" s="12" t="s">
        <v>6416</v>
      </c>
      <c r="D1552" s="12"/>
      <c r="G1552" s="9" t="s">
        <v>7162</v>
      </c>
      <c r="H1552" s="13"/>
      <c r="I1552" s="9"/>
      <c r="J1552" s="9"/>
    </row>
    <row r="1553" spans="2:12" s="10" customFormat="1" ht="18" customHeight="1">
      <c r="C1553" s="12" t="s">
        <v>3970</v>
      </c>
      <c r="D1553" s="12"/>
      <c r="G1553" s="9"/>
      <c r="H1553" s="12"/>
      <c r="I1553" s="9" t="s">
        <v>7163</v>
      </c>
      <c r="J1553" s="25" t="e">
        <f>IF(shinsei_strtower11_prgo03_NAME="","",shinsei_strtower11_prgo03_NAME)&amp;CHAR(10)&amp;IF(shinsei_strtower11_prgo03_VER="","","Ver."&amp;shinsei_strtower11_prgo03_VER&amp;CHAR(10))</f>
        <v>#NAME?</v>
      </c>
    </row>
    <row r="1554" spans="2:12" s="10" customFormat="1" ht="18" customHeight="1">
      <c r="C1554" s="12" t="s">
        <v>3972</v>
      </c>
      <c r="D1554" s="12"/>
      <c r="G1554" s="9"/>
      <c r="H1554" s="12"/>
      <c r="I1554" s="9" t="s">
        <v>7164</v>
      </c>
      <c r="J1554" s="25" t="e">
        <f>IF(shinsei_strtower11_prgo03_NAME="","",shinsei_strtower11_prgo03_NAME&amp;" ")&amp;IF(shinsei_strtower11_prgo03_VER="","","Ver."&amp;shinsei_strtower11_prgo03_VER&amp;"  ")</f>
        <v>#NAME?</v>
      </c>
    </row>
    <row r="1555" spans="2:12" s="10" customFormat="1" ht="18" customHeight="1">
      <c r="C1555" s="12" t="s">
        <v>3974</v>
      </c>
      <c r="D1555" s="12"/>
      <c r="G1555" s="9"/>
      <c r="H1555" s="12"/>
    </row>
    <row r="1556" spans="2:12" s="10" customFormat="1" ht="18" customHeight="1">
      <c r="D1556" s="12" t="s">
        <v>3975</v>
      </c>
      <c r="G1556" s="9"/>
      <c r="H1556" s="12"/>
      <c r="I1556" s="9" t="s">
        <v>7165</v>
      </c>
      <c r="J1556" s="173" t="e">
        <f>IF(cst_shinsei_strtower11_prgo03_NINTEI__umu="有",IF(shinsei_strtower11_prgo03_MAKER_NAME="","",shinsei_strtower11_prgo03_MAKER_NAME&amp;"  "),"")</f>
        <v>#NAME?</v>
      </c>
    </row>
    <row r="1557" spans="2:12" s="10" customFormat="1" ht="18" customHeight="1">
      <c r="D1557" s="12" t="s">
        <v>3972</v>
      </c>
      <c r="G1557" s="9"/>
      <c r="H1557" s="12"/>
      <c r="I1557" s="9" t="s">
        <v>7166</v>
      </c>
      <c r="J1557" s="25" t="e">
        <f>IF(cst_shinsei_strtower11_prgo03_NINTEI__umu="有",IF(shinsei_strtower11_prgo03_NAME="","",shinsei_strtower11_prgo03_NAME&amp;" ")&amp;IF(shinsei_strtower11_prgo03_VER="","","Ver."&amp;shinsei_strtower11_prgo03_VER&amp;"  "),"")</f>
        <v>#NAME?</v>
      </c>
    </row>
    <row r="1558" spans="2:12" s="10" customFormat="1" ht="18" customHeight="1">
      <c r="C1558" s="12" t="s">
        <v>3981</v>
      </c>
      <c r="D1558" s="12"/>
      <c r="G1558" s="9"/>
      <c r="H1558" s="12"/>
    </row>
    <row r="1559" spans="2:12" s="10" customFormat="1" ht="18" customHeight="1">
      <c r="D1559" s="12" t="s">
        <v>6376</v>
      </c>
      <c r="G1559" s="9"/>
      <c r="H1559" s="12"/>
      <c r="I1559" s="9" t="s">
        <v>7167</v>
      </c>
      <c r="J1559" s="173" t="e">
        <f>IF(cst_shinsei_strtower11_prgo03_NINTEI__umu="無",IF(shinsei_strtower11_prgo03_MAKER_NAME="","",shinsei_strtower11_prgo03_MAKER_NAME&amp;"  "),"")</f>
        <v>#NAME?</v>
      </c>
    </row>
    <row r="1560" spans="2:12" s="10" customFormat="1" ht="18" customHeight="1">
      <c r="D1560" s="12" t="s">
        <v>3972</v>
      </c>
      <c r="G1560" s="9"/>
      <c r="H1560" s="12"/>
      <c r="I1560" s="9" t="s">
        <v>7168</v>
      </c>
      <c r="J1560" s="25" t="e">
        <f>IF(cst_shinsei_strtower11_prgo03_NINTEI__umu="無",IF(shinsei_strtower11_prgo03_NAME="","",shinsei_strtower11_prgo03_NAME&amp;" ")&amp;IF(shinsei_strtower11_prgo03_VER="","","Ver."&amp;shinsei_strtower11_prgo03_VER&amp;"  "),"")</f>
        <v>#NAME?</v>
      </c>
    </row>
    <row r="1561" spans="2:12" s="10" customFormat="1" ht="18" customHeight="1">
      <c r="B1561" s="105" t="s">
        <v>7169</v>
      </c>
      <c r="C1561" s="105"/>
      <c r="D1561" s="105"/>
      <c r="E1561" s="24"/>
      <c r="F1561" s="24"/>
      <c r="G1561" s="9"/>
      <c r="H1561" s="12"/>
    </row>
    <row r="1562" spans="2:12" s="10" customFormat="1" ht="18" customHeight="1">
      <c r="C1562" s="10" t="s">
        <v>3951</v>
      </c>
      <c r="D1562" s="12"/>
      <c r="G1562" s="9" t="s">
        <v>7170</v>
      </c>
      <c r="H1562" s="13"/>
    </row>
    <row r="1563" spans="2:12" s="10" customFormat="1" ht="18" customHeight="1">
      <c r="C1563" s="12" t="s">
        <v>6381</v>
      </c>
      <c r="D1563" s="12"/>
      <c r="G1563" s="9" t="s">
        <v>7171</v>
      </c>
      <c r="H1563" s="13"/>
    </row>
    <row r="1564" spans="2:12" s="10" customFormat="1" ht="18" customHeight="1">
      <c r="C1564" s="12" t="s">
        <v>3957</v>
      </c>
      <c r="D1564" s="12"/>
      <c r="G1564" s="9"/>
      <c r="H1564" s="9"/>
      <c r="I1564" s="10" t="s">
        <v>7172</v>
      </c>
      <c r="J1564" s="25" t="e">
        <f>IF(shinsei_strtower11_prgo04_NAME="","",IF(shinsei_strtower11_prgo04_NINTEI_NO="","無","有"))</f>
        <v>#NAME?</v>
      </c>
      <c r="K1564" s="10" t="s">
        <v>2941</v>
      </c>
      <c r="L1564" s="10" t="s">
        <v>3879</v>
      </c>
    </row>
    <row r="1565" spans="2:12" s="10" customFormat="1" ht="18" customHeight="1">
      <c r="C1565" s="12" t="s">
        <v>3960</v>
      </c>
      <c r="D1565" s="12"/>
      <c r="G1565" s="9" t="s">
        <v>7173</v>
      </c>
      <c r="H1565" s="13"/>
      <c r="K1565" s="10" t="s">
        <v>3862</v>
      </c>
      <c r="L1565" s="10" t="s">
        <v>3879</v>
      </c>
    </row>
    <row r="1566" spans="2:12" s="10" customFormat="1" ht="18" customHeight="1">
      <c r="C1566" s="12" t="s">
        <v>3964</v>
      </c>
      <c r="D1566" s="12"/>
      <c r="G1566" s="9" t="s">
        <v>7174</v>
      </c>
      <c r="H1566" s="74"/>
      <c r="I1566" s="10" t="s">
        <v>7175</v>
      </c>
      <c r="J1566" s="25" t="e">
        <f>IF(shinsei_strtower11_prgo04_NINTEI_DATE="","",TEXT(shinsei_strtower11_prgo04_NINTEI_DATE,"ggge年m月d日")&amp;"  ")</f>
        <v>#NAME?</v>
      </c>
    </row>
    <row r="1567" spans="2:12" s="10" customFormat="1" ht="18" customHeight="1">
      <c r="C1567" s="12" t="s">
        <v>3967</v>
      </c>
      <c r="D1567" s="12"/>
      <c r="G1567" s="9" t="s">
        <v>7176</v>
      </c>
      <c r="H1567" s="13"/>
      <c r="I1567" s="9"/>
      <c r="J1567" s="9"/>
    </row>
    <row r="1568" spans="2:12" s="10" customFormat="1" ht="18" customHeight="1">
      <c r="C1568" s="12" t="s">
        <v>3970</v>
      </c>
      <c r="D1568" s="12"/>
      <c r="G1568" s="9"/>
      <c r="H1568" s="12"/>
      <c r="I1568" s="9" t="s">
        <v>7177</v>
      </c>
      <c r="J1568" s="25" t="e">
        <f>IF(shinsei_strtower11_prgo04_NAME="","",shinsei_strtower11_prgo04_NAME)&amp;CHAR(10)&amp;IF(shinsei_strtower11_prgo04_VER="","","Ver."&amp;shinsei_strtower11_prgo04_VER&amp;CHAR(10))</f>
        <v>#NAME?</v>
      </c>
    </row>
    <row r="1569" spans="2:12" s="10" customFormat="1" ht="18" customHeight="1">
      <c r="C1569" s="12" t="s">
        <v>3972</v>
      </c>
      <c r="D1569" s="12"/>
      <c r="G1569" s="9"/>
      <c r="H1569" s="12"/>
      <c r="I1569" s="9" t="s">
        <v>7178</v>
      </c>
      <c r="J1569" s="25" t="e">
        <f>IF(shinsei_strtower11_prgo04_NAME="","",shinsei_strtower11_prgo04_NAME&amp;" ")&amp;IF(shinsei_strtower11_prgo04_VER="","","Ver."&amp;shinsei_strtower11_prgo04_VER&amp;"  ")</f>
        <v>#NAME?</v>
      </c>
    </row>
    <row r="1570" spans="2:12" s="10" customFormat="1" ht="18" customHeight="1">
      <c r="C1570" s="12" t="s">
        <v>3974</v>
      </c>
      <c r="D1570" s="12"/>
      <c r="G1570" s="9"/>
      <c r="H1570" s="12"/>
    </row>
    <row r="1571" spans="2:12" s="10" customFormat="1" ht="18" customHeight="1">
      <c r="D1571" s="12" t="s">
        <v>3976</v>
      </c>
      <c r="G1571" s="9"/>
      <c r="H1571" s="12"/>
      <c r="I1571" s="9" t="s">
        <v>7179</v>
      </c>
      <c r="J1571" s="173" t="e">
        <f>IF(cst_shinsei_strtower11_prgo04_NINTEI__umu="有",IF(shinsei_strtower11_prgo04_MAKER_NAME="","",shinsei_strtower11_prgo04_MAKER_NAME&amp;"  "),"")</f>
        <v>#NAME?</v>
      </c>
    </row>
    <row r="1572" spans="2:12" s="10" customFormat="1" ht="18" customHeight="1">
      <c r="D1572" s="12" t="s">
        <v>3972</v>
      </c>
      <c r="G1572" s="9"/>
      <c r="H1572" s="12"/>
      <c r="I1572" s="9" t="s">
        <v>7180</v>
      </c>
      <c r="J1572" s="25" t="e">
        <f>IF(cst_shinsei_strtower11_prgo04_NINTEI__umu="有",IF(shinsei_strtower11_prgo04_NAME="","",shinsei_strtower11_prgo04_NAME&amp;" ")&amp;IF(shinsei_strtower11_prgo04_VER="","","Ver."&amp;shinsei_strtower11_prgo04_VER&amp;"  "),"")</f>
        <v>#NAME?</v>
      </c>
    </row>
    <row r="1573" spans="2:12" s="10" customFormat="1" ht="18" customHeight="1">
      <c r="C1573" s="12" t="s">
        <v>3981</v>
      </c>
      <c r="D1573" s="12"/>
      <c r="G1573" s="9"/>
      <c r="H1573" s="12"/>
    </row>
    <row r="1574" spans="2:12" s="10" customFormat="1" ht="18" customHeight="1">
      <c r="D1574" s="12" t="s">
        <v>7181</v>
      </c>
      <c r="G1574" s="9"/>
      <c r="H1574" s="12"/>
      <c r="I1574" s="9" t="s">
        <v>7182</v>
      </c>
      <c r="J1574" s="173" t="e">
        <f>IF(cst_shinsei_strtower11_prgo04_NINTEI__umu="無",IF(shinsei_strtower11_prgo04_MAKER_NAME="","",shinsei_strtower11_prgo04_MAKER_NAME&amp;"  "),"")</f>
        <v>#NAME?</v>
      </c>
    </row>
    <row r="1575" spans="2:12" s="10" customFormat="1" ht="18" customHeight="1">
      <c r="D1575" s="12" t="s">
        <v>3972</v>
      </c>
      <c r="G1575" s="9"/>
      <c r="H1575" s="12"/>
      <c r="I1575" s="9" t="s">
        <v>7183</v>
      </c>
      <c r="J1575" s="25" t="e">
        <f>IF(cst_shinsei_strtower11_prgo04_NINTEI__umu="無",IF(shinsei_strtower11_prgo04_NAME="","",shinsei_strtower11_prgo04_NAME&amp;" ")&amp;IF(shinsei_strtower11_prgo04_VER="","","Ver."&amp;shinsei_strtower11_prgo04_VER&amp;"  "),"")</f>
        <v>#NAME?</v>
      </c>
    </row>
    <row r="1576" spans="2:12" s="10" customFormat="1" ht="18" customHeight="1">
      <c r="B1576" s="105" t="s">
        <v>7184</v>
      </c>
      <c r="C1576" s="105"/>
      <c r="D1576" s="105"/>
      <c r="E1576" s="24"/>
      <c r="F1576" s="24"/>
      <c r="G1576" s="9"/>
      <c r="H1576" s="12"/>
    </row>
    <row r="1577" spans="2:12" s="10" customFormat="1" ht="18" customHeight="1">
      <c r="C1577" s="10" t="s">
        <v>3951</v>
      </c>
      <c r="D1577" s="12"/>
      <c r="G1577" s="9" t="s">
        <v>7185</v>
      </c>
      <c r="H1577" s="13"/>
    </row>
    <row r="1578" spans="2:12" s="10" customFormat="1" ht="18" customHeight="1">
      <c r="C1578" s="12" t="s">
        <v>7186</v>
      </c>
      <c r="D1578" s="12"/>
      <c r="G1578" s="9" t="s">
        <v>7187</v>
      </c>
      <c r="H1578" s="13"/>
    </row>
    <row r="1579" spans="2:12" s="10" customFormat="1" ht="18" customHeight="1">
      <c r="C1579" s="12" t="s">
        <v>3957</v>
      </c>
      <c r="D1579" s="12"/>
      <c r="G1579" s="9"/>
      <c r="H1579" s="9"/>
      <c r="I1579" s="10" t="s">
        <v>7188</v>
      </c>
      <c r="J1579" s="25" t="e">
        <f>IF(shinsei_strtower11_prgo05_NAME="","",IF(shinsei_strtower11_prgo05_NINTEI_NO="","無","有"))</f>
        <v>#NAME?</v>
      </c>
      <c r="K1579" s="10" t="s">
        <v>2941</v>
      </c>
      <c r="L1579" s="10" t="s">
        <v>3879</v>
      </c>
    </row>
    <row r="1580" spans="2:12" s="10" customFormat="1" ht="18" customHeight="1">
      <c r="C1580" s="12" t="s">
        <v>3960</v>
      </c>
      <c r="D1580" s="12"/>
      <c r="G1580" s="9" t="s">
        <v>7189</v>
      </c>
      <c r="H1580" s="13"/>
      <c r="K1580" s="10" t="s">
        <v>3862</v>
      </c>
      <c r="L1580" s="10" t="s">
        <v>3879</v>
      </c>
    </row>
    <row r="1581" spans="2:12" s="10" customFormat="1" ht="18" customHeight="1">
      <c r="C1581" s="12" t="s">
        <v>3964</v>
      </c>
      <c r="D1581" s="12"/>
      <c r="G1581" s="9" t="s">
        <v>7190</v>
      </c>
      <c r="H1581" s="74"/>
      <c r="I1581" s="10" t="s">
        <v>7191</v>
      </c>
      <c r="J1581" s="25" t="e">
        <f>IF(shinsei_strtower11_prgo05_NINTEI_DATE="","",TEXT(shinsei_strtower11_prgo05_NINTEI_DATE,"ggge年m月d日")&amp;"  ")</f>
        <v>#NAME?</v>
      </c>
    </row>
    <row r="1582" spans="2:12" s="10" customFormat="1" ht="18" customHeight="1">
      <c r="C1582" s="12" t="s">
        <v>3967</v>
      </c>
      <c r="D1582" s="12"/>
      <c r="G1582" s="9" t="s">
        <v>7192</v>
      </c>
      <c r="H1582" s="13"/>
    </row>
    <row r="1583" spans="2:12" s="10" customFormat="1" ht="18" customHeight="1">
      <c r="C1583" s="12" t="s">
        <v>3970</v>
      </c>
      <c r="D1583" s="12"/>
      <c r="G1583" s="9"/>
      <c r="H1583" s="12"/>
      <c r="I1583" s="9" t="s">
        <v>7193</v>
      </c>
      <c r="J1583" s="25" t="e">
        <f>IF(shinsei_strtower11_prgo05_NAME="","",shinsei_strtower11_prgo05_NAME)&amp;CHAR(10)&amp;IF(shinsei_strtower11_prgo05_VER="","","Ver."&amp;shinsei_strtower11_prgo05_VER&amp;CHAR(10))</f>
        <v>#NAME?</v>
      </c>
    </row>
    <row r="1584" spans="2:12" s="10" customFormat="1" ht="18" customHeight="1">
      <c r="C1584" s="12" t="s">
        <v>3972</v>
      </c>
      <c r="D1584" s="12"/>
      <c r="G1584" s="9"/>
      <c r="H1584" s="12"/>
      <c r="I1584" s="9" t="s">
        <v>7194</v>
      </c>
      <c r="J1584" s="25" t="e">
        <f>IF(shinsei_strtower11_prgo05_NAME="","",shinsei_strtower11_prgo05_NAME&amp;" ")&amp;IF(shinsei_strtower11_prgo05_VER="","","Ver."&amp;shinsei_strtower11_prgo05_VER&amp;"  ")</f>
        <v>#NAME?</v>
      </c>
    </row>
    <row r="1585" spans="2:10" s="10" customFormat="1" ht="18" customHeight="1">
      <c r="C1585" s="12" t="s">
        <v>3974</v>
      </c>
      <c r="D1585" s="12"/>
      <c r="G1585" s="9"/>
      <c r="H1585" s="12"/>
    </row>
    <row r="1586" spans="2:10" s="10" customFormat="1" ht="18" customHeight="1">
      <c r="D1586" s="12" t="s">
        <v>4815</v>
      </c>
      <c r="G1586" s="9"/>
      <c r="H1586" s="12"/>
      <c r="I1586" s="9" t="s">
        <v>7195</v>
      </c>
      <c r="J1586" s="173" t="e">
        <f>IF(cst_shinsei_strtower11_prgo05_NINTEI__umu="有",IF(shinsei_strtower11_prgo05_MAKER_NAME="","",shinsei_strtower11_prgo05_MAKER_NAME&amp;"  "),"")</f>
        <v>#NAME?</v>
      </c>
    </row>
    <row r="1587" spans="2:10" s="10" customFormat="1" ht="18" customHeight="1">
      <c r="D1587" s="12" t="s">
        <v>3972</v>
      </c>
      <c r="G1587" s="9"/>
      <c r="H1587" s="12"/>
      <c r="I1587" s="9" t="s">
        <v>7196</v>
      </c>
      <c r="J1587" s="25" t="e">
        <f>IF(cst_shinsei_strtower11_prgo05_NINTEI__umu="有",IF(shinsei_strtower11_prgo05_NAME="","",shinsei_strtower11_prgo05_NAME&amp;" ")&amp;IF(shinsei_strtower11_prgo05_VER="","","Ver."&amp;shinsei_strtower11_prgo05_VER&amp;"  "),"")</f>
        <v>#NAME?</v>
      </c>
    </row>
    <row r="1588" spans="2:10" s="10" customFormat="1" ht="18" customHeight="1">
      <c r="C1588" s="12" t="s">
        <v>3981</v>
      </c>
      <c r="D1588" s="12"/>
      <c r="G1588" s="9"/>
      <c r="H1588" s="12"/>
    </row>
    <row r="1589" spans="2:10" s="10" customFormat="1" ht="18" customHeight="1">
      <c r="D1589" s="12" t="s">
        <v>3975</v>
      </c>
      <c r="G1589" s="9"/>
      <c r="H1589" s="12"/>
      <c r="I1589" s="9" t="s">
        <v>7197</v>
      </c>
      <c r="J1589" s="173" t="e">
        <f>IF(cst_shinsei_strtower11_prgo05_NINTEI__umu="無",IF(shinsei_strtower11_prgo05_MAKER_NAME="","",shinsei_strtower11_prgo05_MAKER_NAME&amp;"  "),"")</f>
        <v>#NAME?</v>
      </c>
    </row>
    <row r="1590" spans="2:10" s="10" customFormat="1" ht="18" customHeight="1">
      <c r="D1590" s="12" t="s">
        <v>3972</v>
      </c>
      <c r="G1590" s="9"/>
      <c r="H1590" s="12"/>
      <c r="I1590" s="9" t="s">
        <v>7198</v>
      </c>
      <c r="J1590" s="25" t="e">
        <f>IF(cst_shinsei_strtower11_prgo05_NINTEI__umu="無",IF(shinsei_strtower11_prgo05_NAME="","",shinsei_strtower11_prgo05_NAME&amp;" ")&amp;IF(shinsei_strtower11_prgo05_VER="","","Ver."&amp;shinsei_strtower11_prgo05_VER&amp;"  "),"")</f>
        <v>#NAME?</v>
      </c>
    </row>
    <row r="1591" spans="2:10" s="10" customFormat="1" ht="18" customHeight="1">
      <c r="B1591" s="13" t="s">
        <v>3827</v>
      </c>
      <c r="C1591" s="13"/>
      <c r="D1591" s="13"/>
      <c r="E1591" s="25"/>
      <c r="F1591" s="25"/>
      <c r="G1591" s="9"/>
      <c r="H1591" s="80"/>
      <c r="I1591" s="9"/>
      <c r="J1591" s="80"/>
    </row>
    <row r="1592" spans="2:10" s="10" customFormat="1" ht="18" customHeight="1">
      <c r="C1592" s="12" t="s">
        <v>3970</v>
      </c>
      <c r="D1592" s="12"/>
      <c r="G1592" s="9"/>
      <c r="H1592" s="80"/>
      <c r="I1592" s="166" t="s">
        <v>7199</v>
      </c>
      <c r="J1592" s="74" t="e">
        <f>cst_shinsei_strtower11_prgo01_NAME_VER&amp;cst_shinsei_strtower11_prgo02_NAME_VER&amp;cst_shinsei_strtower11_prgo03_NAME_VER&amp;cst_shinsei_strtower11_prgo04_NAME_VER&amp;cst_shinsei_strtower11_prgo05_NAME_VER</f>
        <v>#NAME?</v>
      </c>
    </row>
    <row r="1593" spans="2:10" s="10" customFormat="1" ht="18" customHeight="1">
      <c r="C1593" s="12" t="s">
        <v>3972</v>
      </c>
      <c r="D1593" s="12"/>
      <c r="G1593" s="9"/>
      <c r="H1593" s="80"/>
      <c r="I1593" s="166" t="s">
        <v>7200</v>
      </c>
      <c r="J1593" s="74" t="e">
        <f>cst_shinsei_strtower11_prgo01_NAME_VER__SP&amp;cst_shinsei_strtower11_prgo02_NAME_VER__SP&amp;cst_shinsei_strtower11_prgo03_NAME_VER__SP&amp;cst_shinsei_strtower11_prgo04_NAME_VER__SP&amp;cst_shinsei_strtower11_prgo05_NAME_VER__SP</f>
        <v>#NAME?</v>
      </c>
    </row>
    <row r="1594" spans="2:10" s="10" customFormat="1" ht="18" customHeight="1">
      <c r="B1594" s="13" t="s">
        <v>4068</v>
      </c>
      <c r="C1594" s="13"/>
      <c r="D1594" s="13"/>
      <c r="E1594" s="25"/>
      <c r="F1594" s="25"/>
      <c r="G1594" s="9"/>
      <c r="H1594" s="80"/>
      <c r="I1594" s="9"/>
      <c r="J1594" s="80"/>
    </row>
    <row r="1595" spans="2:10" s="10" customFormat="1" ht="18" customHeight="1">
      <c r="C1595" s="12" t="s">
        <v>3975</v>
      </c>
      <c r="D1595" s="12"/>
      <c r="G1595" s="9"/>
      <c r="H1595" s="80"/>
      <c r="I1595" s="166" t="s">
        <v>7201</v>
      </c>
      <c r="J1595" s="74" t="e">
        <f>cst_shinsei_strtower11_prgo01_MAKER__NINTEI_ari&amp;cst_shinsei_strtower11_prgo02_MAKER__NINTEI_ari&amp;cst_shinsei_strtower11_prgo03_MAKER__NINTEI_ari&amp;cst_shinsei_strtower11_prgo04_MAKER__NINTEI_ari&amp;cst_shinsei_strtower11_prgo05_MAKER__NINTEI_ari</f>
        <v>#NAME?</v>
      </c>
    </row>
    <row r="1596" spans="2:10" s="10" customFormat="1" ht="18" customHeight="1">
      <c r="C1596" s="12" t="s">
        <v>3972</v>
      </c>
      <c r="D1596" s="12"/>
      <c r="G1596" s="9"/>
      <c r="H1596" s="80"/>
      <c r="I1596" s="166" t="s">
        <v>7202</v>
      </c>
      <c r="J1596" s="173" t="e">
        <f>cst_shinsei_strtower11_prgo01_NAME_VER__NINTEI_ari&amp;cst_shinsei_strtower11_prgo02_NAME_VER__NINTEI_ari&amp;cst_shinsei_strtower11_prgo03_NAME_VER__NINTEI_ari&amp;cst_shinsei_strtower11_prgo04_NAME_VER__NINTEI_ari&amp;cst_shinsei_strtower11_prgo05_NAME_VER__NINTEI_ari</f>
        <v>#NAME?</v>
      </c>
    </row>
    <row r="1597" spans="2:10" s="10" customFormat="1" ht="18" customHeight="1">
      <c r="C1597" s="12" t="s">
        <v>3964</v>
      </c>
      <c r="D1597" s="12"/>
      <c r="G1597" s="9"/>
      <c r="H1597" s="80"/>
      <c r="I1597" s="166" t="s">
        <v>7203</v>
      </c>
      <c r="J1597" s="74" t="e">
        <f>cst_shinsei_strtower11_prgo01_NINTEI_DATE_dsp&amp;cst_shinsei_strtower11_prgo02_NINTEI_DATE_dsp&amp;cst_shinsei_strtower11_prgo03_NINTEI_DATE_dsp&amp;cst_shinsei_strtower11_prgo04_NINTEI_DATE_dsp&amp;cst_shinsei_strtower11_prgo05_NINTEI_DATE_dsp</f>
        <v>#NAME?</v>
      </c>
    </row>
    <row r="1598" spans="2:10" s="10" customFormat="1" ht="18" customHeight="1">
      <c r="B1598" s="13" t="s">
        <v>4072</v>
      </c>
      <c r="C1598" s="13"/>
      <c r="D1598" s="13"/>
      <c r="E1598" s="25"/>
      <c r="F1598" s="25"/>
      <c r="G1598" s="9"/>
      <c r="H1598" s="80"/>
      <c r="I1598" s="9"/>
      <c r="J1598" s="80"/>
    </row>
    <row r="1599" spans="2:10" s="10" customFormat="1" ht="18" customHeight="1">
      <c r="C1599" s="12" t="s">
        <v>7204</v>
      </c>
      <c r="D1599" s="12"/>
      <c r="G1599" s="9"/>
      <c r="H1599" s="80"/>
      <c r="I1599" s="166" t="s">
        <v>7205</v>
      </c>
      <c r="J1599" s="74" t="e">
        <f>cst_shinsei_strtower11_prgo01_MAKER__NINTEI_non&amp;cst_shinsei_strtower11_prgo02_MAKER__NINTEI_non&amp;cst_shinsei_strtower11_prgo03_MAKER__NINTEI_non&amp;cst_shinsei_strtower11_prgo04_MAKER__NINTEI_non&amp;cst_shinsei_strtower11_prgo05_MAKER__NINTEI_non</f>
        <v>#NAME?</v>
      </c>
    </row>
    <row r="1600" spans="2:10" s="10" customFormat="1" ht="18" customHeight="1">
      <c r="C1600" s="12" t="s">
        <v>3972</v>
      </c>
      <c r="D1600" s="12"/>
      <c r="G1600" s="9"/>
      <c r="H1600" s="80"/>
      <c r="I1600" s="166" t="s">
        <v>7206</v>
      </c>
      <c r="J1600" s="173" t="e">
        <f>cst_shinsei_strtower11_prgo01_NAME_VER__NINTEI_non&amp;cst_shinsei_strtower11_prgo02_NAME_VER__NINTEI_non&amp;cst_shinsei_strtower11_prgo03_NAME_VER__NINTEI_non&amp;cst_shinsei_strtower11_prgo04_NAME_VER__NINTEI_non&amp;cst_shinsei_strtower11_prgo05_NAME_VER__NINTEI_non</f>
        <v>#NAME?</v>
      </c>
    </row>
    <row r="1601" spans="1:12" s="10" customFormat="1" ht="18" customHeight="1">
      <c r="B1601" s="12" t="s">
        <v>4075</v>
      </c>
      <c r="G1601" s="9" t="s">
        <v>7207</v>
      </c>
      <c r="H1601" s="20"/>
      <c r="I1601" s="9" t="s">
        <v>7208</v>
      </c>
      <c r="J1601" s="20" t="e">
        <f>IF(shinsei_strtower11_DISK_FLAG="","",IF(shinsei_strtower11_DISK_FLAG=1,"有","無"))</f>
        <v>#NAME?</v>
      </c>
    </row>
    <row r="1602" spans="1:12" s="10" customFormat="1" ht="18" customHeight="1">
      <c r="A1602" s="9"/>
      <c r="B1602" s="9" t="s">
        <v>2955</v>
      </c>
      <c r="C1602" s="9"/>
      <c r="D1602" s="9"/>
      <c r="E1602" s="9"/>
      <c r="F1602" s="9"/>
      <c r="G1602" s="9" t="s">
        <v>7209</v>
      </c>
      <c r="H1602" s="136"/>
      <c r="I1602" s="19" t="s">
        <v>7210</v>
      </c>
      <c r="J1602" s="171" t="e">
        <f>IF(shinsei_strtower11_CHARGE="","",shinsei_strtower11_CHARGE)</f>
        <v>#NAME?</v>
      </c>
      <c r="K1602" s="9" t="s">
        <v>2528</v>
      </c>
      <c r="L1602" s="9" t="s">
        <v>2528</v>
      </c>
    </row>
    <row r="1603" spans="1:12" ht="18" customHeight="1">
      <c r="A1603" s="149"/>
      <c r="B1603" s="149"/>
      <c r="C1603" s="149"/>
      <c r="D1603" s="149"/>
      <c r="E1603" s="12" t="s">
        <v>3907</v>
      </c>
      <c r="F1603" s="12"/>
      <c r="G1603" s="149"/>
      <c r="I1603" s="100" t="s">
        <v>7211</v>
      </c>
      <c r="J1603" s="171" t="e">
        <f>IF(shinsei_strtower11_CHARGE="","",TEXT(shinsei_strtower11_CHARGE,"#,##0_ ")&amp;"円")</f>
        <v>#NAME?</v>
      </c>
      <c r="K1603" s="9"/>
      <c r="L1603" s="9"/>
    </row>
    <row r="1604" spans="1:12" ht="18" customHeight="1">
      <c r="A1604" s="149"/>
      <c r="B1604" s="149" t="s">
        <v>3041</v>
      </c>
      <c r="C1604" s="149"/>
      <c r="D1604" s="149"/>
      <c r="E1604" s="149"/>
      <c r="F1604" s="149"/>
      <c r="G1604" s="149" t="s">
        <v>7212</v>
      </c>
      <c r="H1604" s="136"/>
      <c r="I1604" s="100" t="s">
        <v>7213</v>
      </c>
      <c r="J1604" s="136" t="e">
        <f>IF(shinsei_strtower11_CHARGE_WARIMASHI="","",shinsei_strtower11_CHARGE_WARIMASHI)</f>
        <v>#NAME?</v>
      </c>
      <c r="K1604" s="9" t="s">
        <v>2528</v>
      </c>
      <c r="L1604" s="9" t="s">
        <v>2528</v>
      </c>
    </row>
    <row r="1605" spans="1:12" ht="18" customHeight="1">
      <c r="A1605" s="149"/>
      <c r="B1605" s="149" t="s">
        <v>3043</v>
      </c>
      <c r="C1605" s="149"/>
      <c r="D1605" s="149"/>
      <c r="E1605" s="149"/>
      <c r="F1605" s="149"/>
      <c r="G1605" s="149" t="s">
        <v>7214</v>
      </c>
      <c r="H1605" s="136"/>
      <c r="I1605" s="100" t="s">
        <v>7215</v>
      </c>
      <c r="J1605" s="136" t="e">
        <f>IF(shinsei_strtower11_CHARGE_TOTAL="","",shinsei_strtower11_CHARGE_TOTAL)</f>
        <v>#NAME?</v>
      </c>
      <c r="K1605" s="9" t="s">
        <v>2528</v>
      </c>
      <c r="L1605" s="9" t="s">
        <v>2528</v>
      </c>
    </row>
    <row r="1606" spans="1:12" ht="18" customHeight="1">
      <c r="A1606" s="149"/>
      <c r="B1606" s="149" t="s">
        <v>5637</v>
      </c>
      <c r="C1606" s="149"/>
      <c r="D1606" s="149"/>
      <c r="E1606" s="149"/>
      <c r="F1606" s="149"/>
      <c r="G1606" s="149" t="s">
        <v>7216</v>
      </c>
      <c r="H1606" s="13"/>
      <c r="I1606" s="176" t="s">
        <v>7217</v>
      </c>
      <c r="J1606" s="20" t="e">
        <f>IF(shinsei_strtower11_CHARGE_KEISAN_NOTE="","",shinsei_strtower11_CHARGE_KEISAN_NOTE)</f>
        <v>#NAME?</v>
      </c>
      <c r="K1606" s="10" t="s">
        <v>3863</v>
      </c>
      <c r="L1606" s="10" t="s">
        <v>3879</v>
      </c>
    </row>
    <row r="1607" spans="1:12" ht="18" customHeight="1">
      <c r="A1607" s="149"/>
      <c r="B1607" s="149"/>
      <c r="C1607" s="149"/>
      <c r="D1607" s="149"/>
      <c r="E1607" s="149" t="s">
        <v>5640</v>
      </c>
      <c r="F1607" s="149"/>
      <c r="G1607" s="149"/>
      <c r="I1607" s="100" t="s">
        <v>7218</v>
      </c>
      <c r="J1607" s="20" t="e">
        <f>IF(shinsei_INSPECTION_TYPE="計画変更",IF(shinsei_strtower11_CHARGE="","","延べ面積×1/2により算出"),IF(shinsei_strtower11_CHARGE_KEISAN_NOTE="","",shinsei_strtower11_CHARGE_KEISAN_NOTE))</f>
        <v>#NAME?</v>
      </c>
    </row>
    <row r="1608" spans="1:12" ht="18" customHeight="1">
      <c r="A1608" s="149"/>
      <c r="B1608" s="149" t="s">
        <v>5642</v>
      </c>
      <c r="C1608" s="149"/>
      <c r="D1608" s="149"/>
      <c r="E1608" s="149"/>
      <c r="F1608" s="149"/>
      <c r="G1608" s="149" t="s">
        <v>7219</v>
      </c>
      <c r="H1608" s="13"/>
      <c r="I1608" s="149" t="s">
        <v>7220</v>
      </c>
      <c r="J1608" s="20" t="e">
        <f>IF(shinsei_strtower11_KEISAN_X_ROUTE="","",shinsei_strtower11_KEISAN_X_ROUTE)</f>
        <v>#NAME?</v>
      </c>
    </row>
    <row r="1609" spans="1:12" ht="18" customHeight="1">
      <c r="A1609" s="149"/>
      <c r="B1609" s="149" t="s">
        <v>5645</v>
      </c>
      <c r="C1609" s="149"/>
      <c r="D1609" s="149"/>
      <c r="E1609" s="149"/>
      <c r="F1609" s="149"/>
      <c r="G1609" s="149" t="s">
        <v>7221</v>
      </c>
      <c r="H1609" s="13"/>
      <c r="I1609" s="149" t="s">
        <v>7222</v>
      </c>
      <c r="J1609" s="20" t="e">
        <f>IF(shinsei_strtower11_KEISAN_Y_ROUTE="","",shinsei_strtower11_KEISAN_Y_ROUTE)</f>
        <v>#NAME?</v>
      </c>
    </row>
    <row r="1610" spans="1:12" ht="18" customHeight="1">
      <c r="A1610" s="149"/>
      <c r="B1610" s="149"/>
      <c r="C1610" s="149" t="s">
        <v>3805</v>
      </c>
      <c r="D1610" s="149"/>
      <c r="E1610" s="149"/>
      <c r="F1610" s="149"/>
      <c r="G1610" s="149"/>
      <c r="H1610" s="12"/>
      <c r="I1610" s="149" t="s">
        <v>7223</v>
      </c>
      <c r="J1610" s="20" t="e">
        <f>IF(AND(cst_shinsei_strtower11_KEISAN_X_ROUTE="3",cst_shinsei_strtower11_KEISAN_Y_ROUTE="3"),"■","□")</f>
        <v>#NAME?</v>
      </c>
    </row>
    <row r="1611" spans="1:12" ht="18" customHeight="1">
      <c r="A1611" s="149"/>
      <c r="B1611" s="149" t="s">
        <v>5650</v>
      </c>
      <c r="C1611" s="149"/>
      <c r="D1611" s="149"/>
      <c r="E1611" s="149"/>
      <c r="F1611" s="149"/>
      <c r="G1611" s="149" t="s">
        <v>7224</v>
      </c>
      <c r="H1611" s="13"/>
      <c r="I1611" s="149" t="s">
        <v>7225</v>
      </c>
      <c r="J1611" s="20" t="e">
        <f>IF(shinsei_strtower11_PROGRAM_KIND_SONOTA="","",shinsei_strtower11_PROGRAM_KIND_SONOTA)</f>
        <v>#NAME?</v>
      </c>
    </row>
    <row r="1612" spans="1:12" s="149" customFormat="1" ht="18" customHeight="1"/>
    <row r="1613" spans="1:12" s="10" customFormat="1" ht="18" customHeight="1">
      <c r="A1613" s="162" t="s">
        <v>3097</v>
      </c>
      <c r="B1613" s="162"/>
      <c r="C1613" s="162"/>
      <c r="D1613" s="162"/>
      <c r="E1613" s="163"/>
      <c r="F1613" s="163"/>
      <c r="G1613" s="164"/>
      <c r="H1613" s="165"/>
      <c r="I1613" s="9"/>
    </row>
    <row r="1614" spans="1:12" s="10" customFormat="1" ht="18" customHeight="1">
      <c r="A1614" s="12"/>
      <c r="B1614" s="12" t="s">
        <v>3859</v>
      </c>
      <c r="C1614" s="12"/>
      <c r="D1614" s="12"/>
      <c r="E1614" s="11"/>
      <c r="F1614" s="11"/>
      <c r="G1614" s="10" t="s">
        <v>7226</v>
      </c>
      <c r="H1614" s="13"/>
      <c r="I1614" s="19" t="s">
        <v>7227</v>
      </c>
      <c r="J1614" s="25" t="e">
        <f>IF(shinsei_strtower12_TOWER_NO="","",shinsei_strtower12_TOWER_NO)</f>
        <v>#NAME?</v>
      </c>
      <c r="K1614" s="10" t="s">
        <v>4524</v>
      </c>
    </row>
    <row r="1615" spans="1:12" s="10" customFormat="1" ht="18" customHeight="1">
      <c r="A1615" s="12"/>
      <c r="B1615" s="12" t="s">
        <v>3864</v>
      </c>
      <c r="C1615" s="12"/>
      <c r="D1615" s="12"/>
      <c r="E1615" s="11"/>
      <c r="F1615" s="11"/>
      <c r="G1615" s="9" t="s">
        <v>7228</v>
      </c>
      <c r="H1615" s="13"/>
      <c r="I1615" s="19" t="s">
        <v>7229</v>
      </c>
      <c r="J1615" s="25" t="e">
        <f>IF(shinsei_strtower12_STR_TOWER_NO="","",shinsei_strtower12_STR_TOWER_NO)</f>
        <v>#NAME?</v>
      </c>
      <c r="K1615" s="10" t="s">
        <v>3863</v>
      </c>
      <c r="L1615" s="10" t="s">
        <v>3879</v>
      </c>
    </row>
    <row r="1616" spans="1:12" s="166" customFormat="1" ht="18" customHeight="1">
      <c r="B1616" s="12" t="s">
        <v>3868</v>
      </c>
      <c r="I1616" s="9" t="s">
        <v>7230</v>
      </c>
      <c r="J1616" s="167" t="e">
        <f>CONCATENATE(cst_shinsei_strtower12_TOWER_NO," - ",cst_shinsei_strtower12_STR_TOWER_NO)</f>
        <v>#NAME?</v>
      </c>
    </row>
    <row r="1617" spans="1:12" s="166" customFormat="1" ht="18" customHeight="1">
      <c r="B1617" s="12" t="s">
        <v>3870</v>
      </c>
      <c r="I1617" s="9" t="s">
        <v>7231</v>
      </c>
      <c r="J1617" s="167" t="e">
        <f>CONCATENATE(cst_shinsei_strtower12_STR_TOWER_NO," ／ ",cst_shinsei_STR_SHINSEI_TOWERS)</f>
        <v>#NAME?</v>
      </c>
    </row>
    <row r="1618" spans="1:12" s="10" customFormat="1" ht="18" customHeight="1">
      <c r="A1618" s="12"/>
      <c r="B1618" s="12" t="s">
        <v>3872</v>
      </c>
      <c r="C1618" s="11"/>
      <c r="D1618" s="11"/>
      <c r="E1618" s="11"/>
      <c r="F1618" s="11"/>
      <c r="G1618" s="9" t="s">
        <v>7232</v>
      </c>
      <c r="H1618" s="13"/>
      <c r="I1618" s="9" t="s">
        <v>7233</v>
      </c>
      <c r="J1618" s="25" t="e">
        <f>IF(shinsei_strtower12_STR_TOWER_NAME="","",shinsei_strtower12_STR_TOWER_NAME)</f>
        <v>#NAME?</v>
      </c>
    </row>
    <row r="1619" spans="1:12" s="10" customFormat="1" ht="18" customHeight="1">
      <c r="A1619" s="12"/>
      <c r="B1619" s="12" t="s">
        <v>5663</v>
      </c>
      <c r="C1619" s="12"/>
      <c r="D1619" s="12"/>
      <c r="E1619" s="11"/>
      <c r="F1619" s="11"/>
      <c r="G1619" s="9" t="s">
        <v>7234</v>
      </c>
      <c r="H1619" s="20"/>
      <c r="I1619" s="20" t="s">
        <v>7235</v>
      </c>
      <c r="J1619" s="25" t="e">
        <f>IF(shinsei_strtower12_JUDGE="","",shinsei_strtower12_JUDGE)</f>
        <v>#NAME?</v>
      </c>
      <c r="K1619" s="10" t="s">
        <v>7236</v>
      </c>
      <c r="L1619" s="10" t="s">
        <v>3879</v>
      </c>
    </row>
    <row r="1620" spans="1:12" s="10" customFormat="1" ht="18" customHeight="1">
      <c r="A1620" s="12"/>
      <c r="B1620" s="12" t="s">
        <v>4441</v>
      </c>
      <c r="C1620" s="12"/>
      <c r="D1620" s="12"/>
      <c r="E1620" s="11"/>
      <c r="F1620" s="11"/>
      <c r="G1620" s="9" t="s">
        <v>7237</v>
      </c>
      <c r="H1620" s="13"/>
      <c r="I1620" s="9" t="s">
        <v>7238</v>
      </c>
      <c r="J1620" s="25" t="e">
        <f>IF(shinsei_strtower12_STR_TOWER_YOUTO_TEXT="","",shinsei_strtower12_STR_TOWER_YOUTO_TEXT)</f>
        <v>#NAME?</v>
      </c>
      <c r="K1620" s="10" t="s">
        <v>3863</v>
      </c>
      <c r="L1620" s="10" t="s">
        <v>3879</v>
      </c>
    </row>
    <row r="1621" spans="1:12" s="10" customFormat="1" ht="18" customHeight="1">
      <c r="A1621" s="12"/>
      <c r="B1621" s="12" t="s">
        <v>3790</v>
      </c>
      <c r="C1621" s="12"/>
      <c r="D1621" s="12"/>
      <c r="E1621" s="11"/>
      <c r="F1621" s="11"/>
      <c r="G1621" s="9" t="s">
        <v>7239</v>
      </c>
      <c r="H1621" s="13"/>
      <c r="I1621" s="9" t="s">
        <v>7240</v>
      </c>
      <c r="J1621" s="25" t="e">
        <f>IF(shinsei_strtower12_KOUJI_TEXT="","",shinsei_strtower12_KOUJI_TEXT)</f>
        <v>#NAME?</v>
      </c>
      <c r="K1621" s="10" t="s">
        <v>3863</v>
      </c>
      <c r="L1621" s="10" t="s">
        <v>3879</v>
      </c>
    </row>
    <row r="1622" spans="1:12" s="10" customFormat="1" ht="18" customHeight="1">
      <c r="A1622" s="12"/>
      <c r="B1622" s="12" t="s">
        <v>5671</v>
      </c>
      <c r="C1622" s="11"/>
      <c r="D1622" s="11"/>
      <c r="E1622" s="11"/>
      <c r="F1622" s="11"/>
      <c r="G1622" s="9" t="s">
        <v>7241</v>
      </c>
      <c r="H1622" s="13"/>
      <c r="I1622" s="9" t="s">
        <v>7242</v>
      </c>
      <c r="J1622" s="25" t="e">
        <f>IF(shinsei_strtower12_KOUZOU_TEXT="","",shinsei_strtower12_KOUZOU_TEXT)</f>
        <v>#NAME?</v>
      </c>
    </row>
    <row r="1623" spans="1:12" s="10" customFormat="1" ht="18" customHeight="1">
      <c r="A1623" s="12"/>
      <c r="B1623" s="12" t="s">
        <v>7089</v>
      </c>
      <c r="C1623" s="12"/>
      <c r="D1623" s="12"/>
      <c r="E1623" s="11"/>
      <c r="F1623" s="11"/>
      <c r="G1623" s="9" t="s">
        <v>7243</v>
      </c>
      <c r="H1623" s="13"/>
      <c r="I1623" s="9" t="s">
        <v>7244</v>
      </c>
      <c r="J1623" s="25" t="e">
        <f>IF(shinsei_strtower12_KOUZOU_TEXT="","",shinsei_strtower12_KOUZOU_TEXT)</f>
        <v>#NAME?</v>
      </c>
    </row>
    <row r="1624" spans="1:12" s="10" customFormat="1" ht="18" customHeight="1">
      <c r="A1624" s="12"/>
      <c r="B1624" s="12" t="s">
        <v>3893</v>
      </c>
      <c r="C1624" s="11"/>
      <c r="D1624" s="11"/>
      <c r="E1624" s="11"/>
      <c r="F1624" s="11"/>
      <c r="G1624" s="9" t="s">
        <v>7245</v>
      </c>
      <c r="H1624" s="13"/>
      <c r="I1624" s="9" t="s">
        <v>7246</v>
      </c>
      <c r="J1624" s="25" t="e">
        <f>IF(shinsei_strtower12_KOUZOU_KEISAN="","",shinsei_strtower12_KOUZOU_KEISAN)</f>
        <v>#NAME?</v>
      </c>
    </row>
    <row r="1625" spans="1:12" s="10" customFormat="1" ht="18" customHeight="1">
      <c r="A1625" s="12"/>
      <c r="B1625" s="12" t="s">
        <v>3893</v>
      </c>
      <c r="C1625" s="12"/>
      <c r="D1625" s="12"/>
      <c r="E1625" s="11"/>
      <c r="F1625" s="11"/>
      <c r="G1625" s="9" t="s">
        <v>7247</v>
      </c>
      <c r="H1625" s="13"/>
      <c r="I1625" s="10" t="s">
        <v>7248</v>
      </c>
      <c r="J1625" s="25" t="e">
        <f>IF(shinsei_strtower12_KOUZOU_KEISAN_TEXT="","",shinsei_strtower12_KOUZOU_KEISAN_TEXT)</f>
        <v>#NAME?</v>
      </c>
    </row>
    <row r="1626" spans="1:12" s="10" customFormat="1" ht="18" customHeight="1">
      <c r="A1626" s="12"/>
      <c r="B1626" s="12" t="s">
        <v>7249</v>
      </c>
      <c r="C1626" s="12"/>
      <c r="D1626" s="12"/>
      <c r="E1626" s="11"/>
      <c r="F1626" s="11"/>
      <c r="G1626" s="9" t="s">
        <v>7250</v>
      </c>
      <c r="H1626" s="65"/>
      <c r="I1626" s="19" t="s">
        <v>7251</v>
      </c>
      <c r="J1626" s="168" t="e">
        <f>IF(shinsei_strtower12_MENSEKI="","",shinsei_strtower12_MENSEKI)</f>
        <v>#NAME?</v>
      </c>
      <c r="K1626" s="10" t="s">
        <v>3906</v>
      </c>
      <c r="L1626" s="10" t="s">
        <v>3906</v>
      </c>
    </row>
    <row r="1627" spans="1:12" ht="18" customHeight="1">
      <c r="A1627" s="12"/>
      <c r="B1627" s="12"/>
      <c r="C1627" s="12"/>
      <c r="D1627" s="12"/>
      <c r="E1627" s="12" t="s">
        <v>3907</v>
      </c>
      <c r="F1627" s="12"/>
      <c r="G1627" s="9"/>
      <c r="H1627" s="9"/>
      <c r="I1627" s="9" t="s">
        <v>7252</v>
      </c>
      <c r="J1627" s="168" t="e">
        <f>IF(shinsei_strtower12_MENSEKI="","",TEXT(shinsei_strtower12_MENSEKI,"#,##0.00_ ")&amp;"㎡")</f>
        <v>#NAME?</v>
      </c>
    </row>
    <row r="1628" spans="1:12" s="10" customFormat="1" ht="18" customHeight="1">
      <c r="A1628" s="12"/>
      <c r="B1628" s="12" t="s">
        <v>4390</v>
      </c>
      <c r="C1628" s="12"/>
      <c r="D1628" s="12"/>
      <c r="E1628" s="11"/>
      <c r="F1628" s="11"/>
      <c r="G1628" s="9" t="s">
        <v>7253</v>
      </c>
      <c r="H1628" s="93"/>
      <c r="I1628" s="9" t="s">
        <v>7254</v>
      </c>
      <c r="J1628" s="170" t="e">
        <f>IF(shinsei_strtower12_MAX_TAKASA="","",shinsei_strtower12_MAX_TAKASA)</f>
        <v>#NAME?</v>
      </c>
      <c r="K1628" s="10" t="s">
        <v>3911</v>
      </c>
      <c r="L1628" s="10" t="s">
        <v>3911</v>
      </c>
    </row>
    <row r="1629" spans="1:12" s="10" customFormat="1" ht="18" customHeight="1">
      <c r="A1629" s="12"/>
      <c r="B1629" s="12" t="s">
        <v>4388</v>
      </c>
      <c r="C1629" s="11"/>
      <c r="D1629" s="11"/>
      <c r="E1629" s="11"/>
      <c r="F1629" s="11"/>
      <c r="G1629" s="9" t="s">
        <v>7255</v>
      </c>
      <c r="H1629" s="93"/>
      <c r="I1629" s="9" t="s">
        <v>7256</v>
      </c>
      <c r="J1629" s="170" t="e">
        <f>IF(shinsei_strtower12_MAX_NOKI_TAKASA="","",shinsei_strtower12_MAX_NOKI_TAKASA)</f>
        <v>#NAME?</v>
      </c>
    </row>
    <row r="1630" spans="1:12" s="10" customFormat="1" ht="18" customHeight="1">
      <c r="A1630" s="12"/>
      <c r="B1630" s="12" t="s">
        <v>3782</v>
      </c>
      <c r="C1630" s="12"/>
      <c r="D1630" s="12"/>
      <c r="E1630" s="11"/>
      <c r="F1630" s="11"/>
      <c r="G1630" s="9"/>
      <c r="H1630" s="9"/>
      <c r="I1630" s="9"/>
    </row>
    <row r="1631" spans="1:12" s="10" customFormat="1" ht="18" customHeight="1">
      <c r="A1631" s="12"/>
      <c r="B1631" s="12"/>
      <c r="C1631" s="11" t="s">
        <v>3783</v>
      </c>
      <c r="D1631" s="12"/>
      <c r="G1631" s="9" t="s">
        <v>7257</v>
      </c>
      <c r="H1631" s="136"/>
      <c r="I1631" s="9" t="s">
        <v>7258</v>
      </c>
      <c r="J1631" s="171" t="e">
        <f>IF(shinsei_strtower12_KAISU_TIJYOU="","",shinsei_strtower12_KAISU_TIJYOU)</f>
        <v>#NAME?</v>
      </c>
      <c r="K1631" s="10" t="s">
        <v>3920</v>
      </c>
      <c r="L1631" s="10" t="s">
        <v>3920</v>
      </c>
    </row>
    <row r="1632" spans="1:12" s="10" customFormat="1" ht="18" customHeight="1">
      <c r="A1632" s="12"/>
      <c r="B1632" s="12"/>
      <c r="C1632" s="11" t="s">
        <v>3785</v>
      </c>
      <c r="D1632" s="12"/>
      <c r="G1632" s="9" t="s">
        <v>7259</v>
      </c>
      <c r="H1632" s="136"/>
      <c r="I1632" s="9" t="s">
        <v>7260</v>
      </c>
      <c r="J1632" s="171" t="e">
        <f>IF(shinsei_strtower12_KAISU_TIKA="","",shinsei_strtower12_KAISU_TIKA)</f>
        <v>#NAME?</v>
      </c>
      <c r="K1632" s="10" t="s">
        <v>5435</v>
      </c>
      <c r="L1632" s="10" t="s">
        <v>5435</v>
      </c>
    </row>
    <row r="1633" spans="1:12" s="10" customFormat="1" ht="18" customHeight="1">
      <c r="A1633" s="12"/>
      <c r="B1633" s="12"/>
      <c r="C1633" s="11" t="s">
        <v>3787</v>
      </c>
      <c r="D1633" s="12"/>
      <c r="G1633" s="9" t="s">
        <v>7261</v>
      </c>
      <c r="H1633" s="136"/>
      <c r="I1633" s="9" t="s">
        <v>7262</v>
      </c>
      <c r="J1633" s="171" t="e">
        <f>IF(shinsei_strtower12_KAISU_TOUYA="","",shinsei_strtower12_KAISU_TOUYA)</f>
        <v>#NAME?</v>
      </c>
      <c r="K1633" s="10" t="s">
        <v>3916</v>
      </c>
      <c r="L1633" s="10" t="s">
        <v>3916</v>
      </c>
    </row>
    <row r="1634" spans="1:12" s="10" customFormat="1" ht="18" customHeight="1">
      <c r="B1634" s="12" t="s">
        <v>3923</v>
      </c>
      <c r="G1634" s="9" t="s">
        <v>7263</v>
      </c>
      <c r="H1634" s="13"/>
      <c r="I1634" s="10" t="s">
        <v>7264</v>
      </c>
      <c r="J1634" s="25" t="e">
        <f>IF(shinsei_strtower12_BUILD_KUBUN="","",shinsei_strtower12_BUILD_KUBUN)</f>
        <v>#NAME?</v>
      </c>
    </row>
    <row r="1635" spans="1:12" s="10" customFormat="1" ht="18" customHeight="1">
      <c r="B1635" s="12" t="s">
        <v>3923</v>
      </c>
      <c r="C1635" s="12"/>
      <c r="D1635" s="12"/>
      <c r="G1635" s="9" t="s">
        <v>7265</v>
      </c>
      <c r="H1635" s="13"/>
      <c r="I1635" s="10" t="s">
        <v>7266</v>
      </c>
      <c r="J1635" s="25" t="e">
        <f>IF(shinsei_strtower12_BUILD_KUBUN_TEXT="","",shinsei_strtower12_BUILD_KUBUN_TEXT)</f>
        <v>#NAME?</v>
      </c>
      <c r="K1635" s="10" t="s">
        <v>4524</v>
      </c>
    </row>
    <row r="1636" spans="1:12" s="10" customFormat="1" ht="18" customHeight="1">
      <c r="A1636" s="149"/>
      <c r="B1636" s="149"/>
      <c r="C1636" s="149" t="s">
        <v>3801</v>
      </c>
      <c r="D1636" s="149"/>
      <c r="E1636" s="149"/>
      <c r="F1636" s="149"/>
      <c r="G1636" s="149"/>
      <c r="H1636" s="12"/>
      <c r="I1636" s="149" t="s">
        <v>7267</v>
      </c>
      <c r="J1636" s="20" t="e">
        <f>IF(shinsei_strtower12_BUILD_KUBUN_TEXT="建築基準法第20条第２号に掲げる建築物","■","□")</f>
        <v>#NAME?</v>
      </c>
    </row>
    <row r="1637" spans="1:12" s="10" customFormat="1" ht="18" customHeight="1">
      <c r="A1637" s="149"/>
      <c r="B1637" s="149"/>
      <c r="C1637" s="149" t="s">
        <v>3801</v>
      </c>
      <c r="D1637" s="149"/>
      <c r="E1637" s="149"/>
      <c r="F1637" s="149"/>
      <c r="G1637" s="149"/>
      <c r="H1637" s="12"/>
      <c r="I1637" s="149" t="s">
        <v>7268</v>
      </c>
      <c r="J1637" s="20" t="e">
        <f>IF(shinsei_strtower12_BUILD_KUBUN_TEXT="建築基準法第20条第３号に掲げる建築物","■","□")</f>
        <v>#NAME?</v>
      </c>
    </row>
    <row r="1638" spans="1:12" s="10" customFormat="1" ht="18" customHeight="1">
      <c r="A1638" s="12"/>
      <c r="B1638" s="12" t="s">
        <v>7269</v>
      </c>
      <c r="C1638" s="12"/>
      <c r="D1638" s="12"/>
      <c r="E1638" s="11"/>
      <c r="F1638" s="11"/>
      <c r="G1638" s="9" t="s">
        <v>7270</v>
      </c>
      <c r="H1638" s="13"/>
      <c r="I1638" s="9" t="s">
        <v>7271</v>
      </c>
      <c r="J1638" s="25" t="e">
        <f>IF(shinsei_strtower12_MENJYO_TEXT="","",shinsei_strtower12_MENJYO_TEXT)</f>
        <v>#NAME?</v>
      </c>
      <c r="K1638" s="10" t="s">
        <v>3863</v>
      </c>
    </row>
    <row r="1639" spans="1:12" s="10" customFormat="1" ht="18" customHeight="1">
      <c r="A1639" s="12"/>
      <c r="B1639" s="12" t="s">
        <v>3935</v>
      </c>
      <c r="C1639" s="12"/>
      <c r="D1639" s="12"/>
      <c r="E1639" s="11"/>
      <c r="F1639" s="11"/>
      <c r="G1639" s="9" t="s">
        <v>7272</v>
      </c>
      <c r="H1639" s="20"/>
      <c r="I1639" s="9" t="s">
        <v>7273</v>
      </c>
      <c r="J1639" s="25" t="e">
        <f>IF(shinsei_strtower12_PROGRAM_KIND="","",shinsei_strtower12_PROGRAM_KIND)</f>
        <v>#NAME?</v>
      </c>
      <c r="K1639" s="10" t="s">
        <v>5704</v>
      </c>
    </row>
    <row r="1640" spans="1:12" s="10" customFormat="1" ht="18" customHeight="1">
      <c r="B1640" s="12" t="s">
        <v>3939</v>
      </c>
      <c r="C1640" s="12"/>
      <c r="D1640" s="12"/>
      <c r="G1640" s="9" t="s">
        <v>7274</v>
      </c>
      <c r="H1640" s="13"/>
      <c r="I1640" s="10" t="s">
        <v>7275</v>
      </c>
      <c r="J1640" s="25" t="e">
        <f>IF(shinsei_strtower12_REI80_2_KOKUJI_TEXT="","",shinsei_strtower12_REI80_2_KOKUJI_TEXT)</f>
        <v>#NAME?</v>
      </c>
    </row>
    <row r="1641" spans="1:12" s="10" customFormat="1" ht="18" customHeight="1">
      <c r="B1641" s="12" t="s">
        <v>3943</v>
      </c>
      <c r="C1641" s="12"/>
      <c r="D1641" s="12"/>
      <c r="G1641" s="9" t="s">
        <v>7276</v>
      </c>
      <c r="H1641" s="13"/>
      <c r="I1641" s="10" t="s">
        <v>7277</v>
      </c>
      <c r="J1641" s="25" t="e">
        <f>IF(shinsei_strtower12_PROGRAM_KIND__nintei__box="■",2,IF(OR(shinsei_strtower12_PROGRAM_KIND__hyouka__box="■",shinsei_strtower12_PROGRAM_KIND__sonota__box="■"),1,0))</f>
        <v>#NAME?</v>
      </c>
      <c r="K1641" s="10" t="s">
        <v>3946</v>
      </c>
    </row>
    <row r="1642" spans="1:12" s="10" customFormat="1" ht="18" customHeight="1">
      <c r="B1642" s="12" t="s">
        <v>3947</v>
      </c>
      <c r="C1642" s="12"/>
      <c r="D1642" s="12"/>
      <c r="G1642" s="9" t="s">
        <v>7278</v>
      </c>
      <c r="H1642" s="13"/>
    </row>
    <row r="1643" spans="1:12" s="10" customFormat="1" ht="18" customHeight="1">
      <c r="B1643" s="12" t="s">
        <v>4305</v>
      </c>
      <c r="C1643" s="12"/>
      <c r="D1643" s="12"/>
      <c r="G1643" s="9" t="s">
        <v>7279</v>
      </c>
      <c r="H1643" s="13"/>
    </row>
    <row r="1644" spans="1:12" s="10" customFormat="1" ht="18" customHeight="1">
      <c r="B1644" s="105" t="s">
        <v>5711</v>
      </c>
      <c r="C1644" s="105"/>
      <c r="D1644" s="105"/>
      <c r="E1644" s="24"/>
      <c r="F1644" s="24"/>
      <c r="G1644" s="9"/>
      <c r="H1644" s="12"/>
    </row>
    <row r="1645" spans="1:12" s="10" customFormat="1" ht="18" customHeight="1">
      <c r="C1645" s="10" t="s">
        <v>3951</v>
      </c>
      <c r="D1645" s="12"/>
      <c r="G1645" s="9" t="s">
        <v>7280</v>
      </c>
      <c r="H1645" s="13"/>
      <c r="K1645" s="10" t="s">
        <v>3863</v>
      </c>
      <c r="L1645" s="10" t="s">
        <v>3879</v>
      </c>
    </row>
    <row r="1646" spans="1:12" s="10" customFormat="1" ht="18" customHeight="1">
      <c r="C1646" s="12" t="s">
        <v>4034</v>
      </c>
      <c r="D1646" s="12"/>
      <c r="E1646" s="12"/>
      <c r="F1646" s="12"/>
      <c r="G1646" s="9" t="s">
        <v>7281</v>
      </c>
      <c r="H1646" s="13"/>
    </row>
    <row r="1647" spans="1:12" s="10" customFormat="1" ht="18" customHeight="1">
      <c r="C1647" s="12" t="s">
        <v>3957</v>
      </c>
      <c r="D1647" s="12"/>
      <c r="G1647" s="9"/>
      <c r="H1647" s="9"/>
      <c r="I1647" s="10" t="s">
        <v>7282</v>
      </c>
      <c r="J1647" s="25" t="e">
        <f>IF(shinsei_strtower12_prgo01_NAME="","",IF(shinsei_strtower12_prgo01_NINTEI_NO="","無","有"))</f>
        <v>#NAME?</v>
      </c>
      <c r="K1647" s="10" t="s">
        <v>3959</v>
      </c>
      <c r="L1647" s="10" t="s">
        <v>3879</v>
      </c>
    </row>
    <row r="1648" spans="1:12" s="10" customFormat="1" ht="18" customHeight="1">
      <c r="C1648" s="12" t="s">
        <v>3960</v>
      </c>
      <c r="D1648" s="12"/>
      <c r="G1648" s="9" t="s">
        <v>7283</v>
      </c>
      <c r="H1648" s="13"/>
      <c r="I1648" s="10" t="s">
        <v>7284</v>
      </c>
      <c r="J1648" s="25" t="e">
        <f>IF(shinsei_strtower12_prgo01_NINTEI_NO="","",shinsei_strtower12_prgo01_NINTEI_NO)</f>
        <v>#NAME?</v>
      </c>
      <c r="K1648" s="10" t="s">
        <v>3863</v>
      </c>
      <c r="L1648" s="10" t="s">
        <v>3879</v>
      </c>
    </row>
    <row r="1649" spans="2:12" s="10" customFormat="1" ht="18" customHeight="1">
      <c r="C1649" s="12" t="s">
        <v>3964</v>
      </c>
      <c r="D1649" s="12"/>
      <c r="G1649" s="9" t="s">
        <v>7285</v>
      </c>
      <c r="H1649" s="74"/>
      <c r="I1649" s="10" t="s">
        <v>7286</v>
      </c>
      <c r="J1649" s="25" t="e">
        <f>IF(shinsei_strtower12_prgo01_NINTEI_DATE="","",TEXT(shinsei_strtower12_prgo01_NINTEI_DATE,"ggge年m月d日")&amp;"  ")</f>
        <v>#NAME?</v>
      </c>
    </row>
    <row r="1650" spans="2:12" s="10" customFormat="1" ht="18" customHeight="1">
      <c r="C1650" s="12" t="s">
        <v>3968</v>
      </c>
      <c r="D1650" s="12"/>
      <c r="G1650" s="9" t="s">
        <v>7287</v>
      </c>
      <c r="H1650" s="13"/>
    </row>
    <row r="1651" spans="2:12" s="10" customFormat="1" ht="18" customHeight="1">
      <c r="C1651" s="12" t="s">
        <v>3970</v>
      </c>
      <c r="D1651" s="12"/>
      <c r="G1651" s="9"/>
      <c r="H1651" s="12"/>
      <c r="I1651" s="9" t="s">
        <v>7288</v>
      </c>
      <c r="J1651" s="25" t="e">
        <f>IF(shinsei_strtower12_prgo01_NAME="","",shinsei_strtower12_prgo01_NAME)&amp;CHAR(10)&amp;IF(shinsei_strtower12_prgo01_VER="","","Ver."&amp;shinsei_strtower12_prgo01_VER&amp;CHAR(10))</f>
        <v>#NAME?</v>
      </c>
    </row>
    <row r="1652" spans="2:12" s="10" customFormat="1" ht="18" customHeight="1">
      <c r="C1652" s="12" t="s">
        <v>3972</v>
      </c>
      <c r="D1652" s="12"/>
      <c r="G1652" s="9"/>
      <c r="H1652" s="12"/>
      <c r="I1652" s="9" t="s">
        <v>7289</v>
      </c>
      <c r="J1652" s="25" t="e">
        <f>IF(shinsei_strtower12_prgo01_NAME="","",shinsei_strtower12_prgo01_NAME&amp;" ")&amp;IF(shinsei_strtower12_prgo01_VER="","","Ver."&amp;shinsei_strtower12_prgo01_VER&amp;"  ")</f>
        <v>#NAME?</v>
      </c>
    </row>
    <row r="1653" spans="2:12" s="10" customFormat="1" ht="18" customHeight="1">
      <c r="C1653" s="12" t="s">
        <v>3974</v>
      </c>
      <c r="D1653" s="12"/>
      <c r="G1653" s="9"/>
      <c r="H1653" s="12"/>
    </row>
    <row r="1654" spans="2:12" s="10" customFormat="1" ht="18" customHeight="1">
      <c r="D1654" s="12" t="s">
        <v>4815</v>
      </c>
      <c r="G1654" s="9"/>
      <c r="H1654" s="12"/>
      <c r="I1654" s="9" t="s">
        <v>7290</v>
      </c>
      <c r="J1654" s="173" t="e">
        <f>IF(cst_shinsei_strtower12_prgo01_NINTEI__umu="有",IF(shinsei_strtower12_prgo01_MAKER_NAME="","",shinsei_strtower12_prgo01_MAKER_NAME&amp;"  "),"")</f>
        <v>#NAME?</v>
      </c>
    </row>
    <row r="1655" spans="2:12" s="10" customFormat="1" ht="18" customHeight="1">
      <c r="B1655" s="12"/>
      <c r="D1655" s="12" t="s">
        <v>3972</v>
      </c>
      <c r="G1655" s="9"/>
      <c r="H1655" s="12"/>
      <c r="I1655" s="9" t="s">
        <v>7291</v>
      </c>
      <c r="J1655" s="25" t="e">
        <f>IF(cst_shinsei_strtower12_prgo01_NINTEI__umu="有",IF(shinsei_strtower12_prgo01_NAME="","",shinsei_strtower12_prgo01_NAME&amp;" ")&amp;IF(shinsei_strtower12_prgo01_VER="","","Ver."&amp;shinsei_strtower12_prgo01_VER&amp;"  "),"")</f>
        <v>#NAME?</v>
      </c>
    </row>
    <row r="1656" spans="2:12" s="10" customFormat="1" ht="18" customHeight="1">
      <c r="C1656" s="12" t="s">
        <v>3981</v>
      </c>
      <c r="D1656" s="12"/>
      <c r="G1656" s="9"/>
      <c r="H1656" s="12"/>
    </row>
    <row r="1657" spans="2:12" s="10" customFormat="1" ht="18" customHeight="1">
      <c r="B1657" s="12"/>
      <c r="D1657" s="12" t="s">
        <v>7204</v>
      </c>
      <c r="G1657" s="9"/>
      <c r="H1657" s="12"/>
      <c r="I1657" s="9" t="s">
        <v>7292</v>
      </c>
      <c r="J1657" s="173" t="e">
        <f>IF(cst_shinsei_strtower12_prgo01_NINTEI__umu="無",IF(shinsei_strtower12_prgo01_MAKER_NAME="","",shinsei_strtower12_prgo01_MAKER_NAME&amp;"  "),"")</f>
        <v>#NAME?</v>
      </c>
    </row>
    <row r="1658" spans="2:12" s="10" customFormat="1" ht="18" customHeight="1">
      <c r="B1658" s="12"/>
      <c r="D1658" s="12" t="s">
        <v>3972</v>
      </c>
      <c r="G1658" s="9"/>
      <c r="H1658" s="12"/>
      <c r="I1658" s="9" t="s">
        <v>7293</v>
      </c>
      <c r="J1658" s="25" t="e">
        <f>IF(cst_shinsei_strtower12_prgo01_NINTEI__umu="無",IF(shinsei_strtower12_prgo01_NAME="","",shinsei_strtower12_prgo01_NAME&amp;" ")&amp;IF(shinsei_strtower12_prgo01_VER="","","Ver."&amp;shinsei_strtower12_prgo01_VER&amp;"  "),"")</f>
        <v>#NAME?</v>
      </c>
    </row>
    <row r="1659" spans="2:12" s="10" customFormat="1" ht="18" customHeight="1">
      <c r="B1659" s="105" t="s">
        <v>7294</v>
      </c>
      <c r="C1659" s="105"/>
      <c r="D1659" s="105"/>
      <c r="E1659" s="24"/>
      <c r="F1659" s="24"/>
      <c r="G1659" s="9"/>
      <c r="H1659" s="12"/>
    </row>
    <row r="1660" spans="2:12" s="10" customFormat="1" ht="18" customHeight="1">
      <c r="C1660" s="10" t="s">
        <v>3951</v>
      </c>
      <c r="D1660" s="12"/>
      <c r="G1660" s="9" t="s">
        <v>7295</v>
      </c>
      <c r="H1660" s="13"/>
      <c r="K1660" s="10" t="s">
        <v>7296</v>
      </c>
      <c r="L1660" s="10" t="s">
        <v>3879</v>
      </c>
    </row>
    <row r="1661" spans="2:12" s="10" customFormat="1" ht="18" customHeight="1">
      <c r="C1661" s="12" t="s">
        <v>7297</v>
      </c>
      <c r="D1661" s="12"/>
      <c r="G1661" s="9" t="s">
        <v>7298</v>
      </c>
      <c r="H1661" s="13"/>
    </row>
    <row r="1662" spans="2:12" s="10" customFormat="1" ht="18" customHeight="1">
      <c r="C1662" s="12" t="s">
        <v>3957</v>
      </c>
      <c r="D1662" s="12"/>
      <c r="G1662" s="9"/>
      <c r="H1662" s="9"/>
      <c r="I1662" s="10" t="s">
        <v>7299</v>
      </c>
      <c r="J1662" s="25" t="e">
        <f>IF(shinsei_strtower12_prgo02_NAME="","",IF(shinsei_strtower12_prgo02_NINTEI_NO="","無","有"))</f>
        <v>#NAME?</v>
      </c>
      <c r="K1662" s="10" t="s">
        <v>2941</v>
      </c>
      <c r="L1662" s="10" t="s">
        <v>3879</v>
      </c>
    </row>
    <row r="1663" spans="2:12" s="10" customFormat="1" ht="18" customHeight="1">
      <c r="C1663" s="12" t="s">
        <v>3960</v>
      </c>
      <c r="D1663" s="12"/>
      <c r="G1663" s="9" t="s">
        <v>7300</v>
      </c>
      <c r="H1663" s="13"/>
      <c r="K1663" s="10" t="s">
        <v>3863</v>
      </c>
      <c r="L1663" s="10" t="s">
        <v>3879</v>
      </c>
    </row>
    <row r="1664" spans="2:12" s="10" customFormat="1" ht="18" customHeight="1">
      <c r="C1664" s="12" t="s">
        <v>3964</v>
      </c>
      <c r="D1664" s="12"/>
      <c r="G1664" s="9" t="s">
        <v>7301</v>
      </c>
      <c r="H1664" s="74"/>
      <c r="I1664" s="10" t="s">
        <v>7302</v>
      </c>
      <c r="J1664" s="25" t="e">
        <f>IF(shinsei_strtower12_prgo02_NINTEI_DATE="","",shinsei_strtower12_prgo02_NINTEI_DATE)</f>
        <v>#NAME?</v>
      </c>
    </row>
    <row r="1665" spans="2:12" s="10" customFormat="1" ht="18" customHeight="1">
      <c r="C1665" s="12" t="s">
        <v>7303</v>
      </c>
      <c r="D1665" s="12"/>
      <c r="G1665" s="9" t="s">
        <v>7304</v>
      </c>
      <c r="H1665" s="13"/>
    </row>
    <row r="1666" spans="2:12" s="10" customFormat="1" ht="18" customHeight="1">
      <c r="C1666" s="12" t="s">
        <v>3970</v>
      </c>
      <c r="D1666" s="12"/>
      <c r="G1666" s="9"/>
      <c r="H1666" s="12"/>
      <c r="I1666" s="9" t="s">
        <v>7305</v>
      </c>
      <c r="J1666" s="25" t="e">
        <f>IF(shinsei_strtower12_prgo02_NAME="","",shinsei_strtower12_prgo02_NAME)&amp;CHAR(10)&amp;IF(shinsei_strtower12_prgo02_VER="","","Ver."&amp;shinsei_strtower12_prgo02_VER&amp;CHAR(10))</f>
        <v>#NAME?</v>
      </c>
    </row>
    <row r="1667" spans="2:12" s="10" customFormat="1" ht="18" customHeight="1">
      <c r="C1667" s="12" t="s">
        <v>3972</v>
      </c>
      <c r="D1667" s="12"/>
      <c r="G1667" s="9"/>
      <c r="H1667" s="12"/>
      <c r="I1667" s="9" t="s">
        <v>7306</v>
      </c>
      <c r="J1667" s="25" t="e">
        <f>IF(shinsei_strtower12_prgo02_NAME="","",shinsei_strtower12_prgo02_NAME&amp;" ")&amp;IF(shinsei_strtower12_prgo02_VER="","","Ver."&amp;shinsei_strtower12_prgo02_VER&amp;"  ")</f>
        <v>#NAME?</v>
      </c>
    </row>
    <row r="1668" spans="2:12" s="10" customFormat="1" ht="18" customHeight="1">
      <c r="C1668" s="12" t="s">
        <v>3974</v>
      </c>
      <c r="D1668" s="12"/>
      <c r="G1668" s="9"/>
      <c r="H1668" s="12"/>
    </row>
    <row r="1669" spans="2:12" s="10" customFormat="1" ht="18" customHeight="1">
      <c r="D1669" s="12" t="s">
        <v>3976</v>
      </c>
      <c r="G1669" s="9"/>
      <c r="H1669" s="12"/>
      <c r="I1669" s="9" t="s">
        <v>7307</v>
      </c>
      <c r="J1669" s="173" t="e">
        <f>IF(cst_shinsei_strtower12_prgo02_NINTEI__umu="有",IF(shinsei_strtower12_prgo02_MAKER_NAME="","",shinsei_strtower12_prgo02_MAKER_NAME&amp;"  "),"")</f>
        <v>#NAME?</v>
      </c>
    </row>
    <row r="1670" spans="2:12" s="10" customFormat="1" ht="18" customHeight="1">
      <c r="D1670" s="12" t="s">
        <v>3972</v>
      </c>
      <c r="G1670" s="9"/>
      <c r="H1670" s="12"/>
      <c r="I1670" s="9" t="s">
        <v>7308</v>
      </c>
      <c r="J1670" s="25" t="e">
        <f>IF(cst_shinsei_strtower12_prgo02_NINTEI__umu="有",IF(shinsei_strtower12_prgo02_NAME="","",shinsei_strtower12_prgo02_NAME&amp;" ")&amp;IF(shinsei_strtower12_prgo02_VER="","","Ver."&amp;shinsei_strtower12_prgo02_VER&amp;"  "),"")</f>
        <v>#NAME?</v>
      </c>
    </row>
    <row r="1671" spans="2:12" s="10" customFormat="1" ht="18" customHeight="1">
      <c r="C1671" s="12" t="s">
        <v>3981</v>
      </c>
      <c r="D1671" s="12"/>
      <c r="G1671" s="9"/>
      <c r="H1671" s="12"/>
    </row>
    <row r="1672" spans="2:12" s="10" customFormat="1" ht="18" customHeight="1">
      <c r="D1672" s="12" t="s">
        <v>3976</v>
      </c>
      <c r="G1672" s="9"/>
      <c r="H1672" s="12"/>
      <c r="I1672" s="9" t="s">
        <v>7309</v>
      </c>
      <c r="J1672" s="173" t="e">
        <f>IF(cst_shinsei_strtower12_prgo02_NINTEI__umu="無",IF(shinsei_strtower12_prgo02_MAKER_NAME="","",shinsei_strtower12_prgo02_MAKER_NAME&amp;"  "),"")</f>
        <v>#NAME?</v>
      </c>
    </row>
    <row r="1673" spans="2:12" s="10" customFormat="1" ht="18" customHeight="1">
      <c r="D1673" s="12" t="s">
        <v>3972</v>
      </c>
      <c r="G1673" s="9"/>
      <c r="H1673" s="12"/>
      <c r="I1673" s="9" t="s">
        <v>7310</v>
      </c>
      <c r="J1673" s="25" t="e">
        <f>IF(cst_shinsei_strtower12_prgo02_NINTEI__umu="無",IF(shinsei_strtower12_prgo02_NAME="","",shinsei_strtower12_prgo02_NAME&amp;" ")&amp;IF(shinsei_strtower12_prgo02_VER="","","Ver."&amp;shinsei_strtower12_prgo02_VER&amp;"  "),"")</f>
        <v>#NAME?</v>
      </c>
    </row>
    <row r="1674" spans="2:12" s="10" customFormat="1" ht="18" customHeight="1">
      <c r="B1674" s="105" t="s">
        <v>5330</v>
      </c>
      <c r="C1674" s="105"/>
      <c r="D1674" s="105"/>
      <c r="E1674" s="24"/>
      <c r="F1674" s="24"/>
      <c r="G1674" s="9"/>
      <c r="H1674" s="12"/>
    </row>
    <row r="1675" spans="2:12" s="10" customFormat="1" ht="18" customHeight="1">
      <c r="C1675" s="10" t="s">
        <v>3951</v>
      </c>
      <c r="D1675" s="12"/>
      <c r="G1675" s="9" t="s">
        <v>7311</v>
      </c>
      <c r="H1675" s="13"/>
    </row>
    <row r="1676" spans="2:12" s="10" customFormat="1" ht="18" customHeight="1">
      <c r="C1676" s="12" t="s">
        <v>4034</v>
      </c>
      <c r="D1676" s="12"/>
      <c r="G1676" s="9" t="s">
        <v>7312</v>
      </c>
      <c r="H1676" s="13"/>
    </row>
    <row r="1677" spans="2:12" s="10" customFormat="1" ht="18" customHeight="1">
      <c r="C1677" s="12" t="s">
        <v>3957</v>
      </c>
      <c r="D1677" s="12"/>
      <c r="G1677" s="9"/>
      <c r="H1677" s="9"/>
      <c r="I1677" s="10" t="s">
        <v>7313</v>
      </c>
      <c r="J1677" s="25" t="e">
        <f>IF(shinsei_strtower12_prgo03_NAME="","",IF(shinsei_strtower12_prgo03_NINTEI_NO="","無","有"))</f>
        <v>#NAME?</v>
      </c>
      <c r="K1677" s="10" t="s">
        <v>2941</v>
      </c>
      <c r="L1677" s="10" t="s">
        <v>3879</v>
      </c>
    </row>
    <row r="1678" spans="2:12" s="10" customFormat="1" ht="18" customHeight="1">
      <c r="C1678" s="12" t="s">
        <v>3960</v>
      </c>
      <c r="D1678" s="12"/>
      <c r="G1678" s="9" t="s">
        <v>7314</v>
      </c>
      <c r="H1678" s="13"/>
      <c r="K1678" s="10" t="s">
        <v>4524</v>
      </c>
      <c r="L1678" s="10" t="s">
        <v>3879</v>
      </c>
    </row>
    <row r="1679" spans="2:12" s="10" customFormat="1" ht="18" customHeight="1">
      <c r="C1679" s="12" t="s">
        <v>3964</v>
      </c>
      <c r="D1679" s="12"/>
      <c r="G1679" s="9" t="s">
        <v>7315</v>
      </c>
      <c r="H1679" s="74"/>
      <c r="I1679" s="10" t="s">
        <v>7316</v>
      </c>
      <c r="J1679" s="25" t="e">
        <f>IF(shinsei_strtower12_prgo03_NINTEI_DATE="","",TEXT(shinsei_strtower12_prgo03_NINTEI_DATE,"ggge年m月d日")&amp;"  ")</f>
        <v>#NAME?</v>
      </c>
    </row>
    <row r="1680" spans="2:12" s="10" customFormat="1" ht="18" customHeight="1">
      <c r="C1680" s="12" t="s">
        <v>3968</v>
      </c>
      <c r="D1680" s="12"/>
      <c r="G1680" s="9" t="s">
        <v>7317</v>
      </c>
      <c r="H1680" s="13"/>
      <c r="I1680" s="9"/>
      <c r="J1680" s="9"/>
    </row>
    <row r="1681" spans="2:12" s="10" customFormat="1" ht="18" customHeight="1">
      <c r="C1681" s="12" t="s">
        <v>3970</v>
      </c>
      <c r="D1681" s="12"/>
      <c r="G1681" s="9"/>
      <c r="H1681" s="12"/>
      <c r="I1681" s="9" t="s">
        <v>7318</v>
      </c>
      <c r="J1681" s="25" t="e">
        <f>IF(shinsei_strtower12_prgo03_NAME="","",shinsei_strtower12_prgo03_NAME)&amp;CHAR(10)&amp;IF(shinsei_strtower12_prgo03_VER="","","Ver."&amp;shinsei_strtower12_prgo03_VER&amp;CHAR(10))</f>
        <v>#NAME?</v>
      </c>
    </row>
    <row r="1682" spans="2:12" s="10" customFormat="1" ht="18" customHeight="1">
      <c r="C1682" s="12" t="s">
        <v>3972</v>
      </c>
      <c r="D1682" s="12"/>
      <c r="G1682" s="9"/>
      <c r="H1682" s="12"/>
      <c r="I1682" s="9" t="s">
        <v>7319</v>
      </c>
      <c r="J1682" s="25" t="e">
        <f>IF(shinsei_strtower12_prgo03_NAME="","",shinsei_strtower12_prgo03_NAME&amp;" ")&amp;IF(shinsei_strtower12_prgo03_VER="","","Ver."&amp;shinsei_strtower12_prgo03_VER&amp;"  ")</f>
        <v>#NAME?</v>
      </c>
    </row>
    <row r="1683" spans="2:12" s="10" customFormat="1" ht="18" customHeight="1">
      <c r="C1683" s="12" t="s">
        <v>3974</v>
      </c>
      <c r="D1683" s="12"/>
      <c r="G1683" s="9"/>
      <c r="H1683" s="12"/>
    </row>
    <row r="1684" spans="2:12" s="10" customFormat="1" ht="18" customHeight="1">
      <c r="D1684" s="12" t="s">
        <v>6376</v>
      </c>
      <c r="G1684" s="9"/>
      <c r="H1684" s="12"/>
      <c r="I1684" s="9" t="s">
        <v>7320</v>
      </c>
      <c r="J1684" s="173" t="e">
        <f>IF(cst_shinsei_strtower12_prgo03_NINTEI__umu="有",IF(shinsei_strtower12_prgo03_MAKER_NAME="","",shinsei_strtower12_prgo03_MAKER_NAME&amp;"  "),"")</f>
        <v>#NAME?</v>
      </c>
    </row>
    <row r="1685" spans="2:12" s="10" customFormat="1" ht="18" customHeight="1">
      <c r="D1685" s="12" t="s">
        <v>3972</v>
      </c>
      <c r="G1685" s="9"/>
      <c r="H1685" s="12"/>
      <c r="I1685" s="9" t="s">
        <v>7321</v>
      </c>
      <c r="J1685" s="25" t="e">
        <f>IF(cst_shinsei_strtower12_prgo03_NINTEI__umu="有",IF(shinsei_strtower12_prgo03_NAME="","",shinsei_strtower12_prgo03_NAME&amp;" ")&amp;IF(shinsei_strtower12_prgo03_VER="","","Ver."&amp;shinsei_strtower12_prgo03_VER&amp;"  "),"")</f>
        <v>#NAME?</v>
      </c>
    </row>
    <row r="1686" spans="2:12" s="10" customFormat="1" ht="18" customHeight="1">
      <c r="C1686" s="12" t="s">
        <v>3981</v>
      </c>
      <c r="D1686" s="12"/>
      <c r="G1686" s="9"/>
      <c r="H1686" s="12"/>
    </row>
    <row r="1687" spans="2:12" s="10" customFormat="1" ht="18" customHeight="1">
      <c r="D1687" s="12" t="s">
        <v>3976</v>
      </c>
      <c r="G1687" s="9"/>
      <c r="H1687" s="12"/>
      <c r="I1687" s="9" t="s">
        <v>7322</v>
      </c>
      <c r="J1687" s="173" t="e">
        <f>IF(cst_shinsei_strtower12_prgo03_NINTEI__umu="無",IF(shinsei_strtower12_prgo03_MAKER_NAME="","",shinsei_strtower12_prgo03_MAKER_NAME&amp;"  "),"")</f>
        <v>#NAME?</v>
      </c>
    </row>
    <row r="1688" spans="2:12" s="10" customFormat="1" ht="18" customHeight="1">
      <c r="D1688" s="12" t="s">
        <v>3972</v>
      </c>
      <c r="G1688" s="9"/>
      <c r="H1688" s="12"/>
      <c r="I1688" s="9" t="s">
        <v>7323</v>
      </c>
      <c r="J1688" s="25" t="e">
        <f>IF(cst_shinsei_strtower12_prgo03_NINTEI__umu="無",IF(shinsei_strtower12_prgo03_NAME="","",shinsei_strtower12_prgo03_NAME&amp;" ")&amp;IF(shinsei_strtower12_prgo03_VER="","","Ver."&amp;shinsei_strtower12_prgo03_VER&amp;"  "),"")</f>
        <v>#NAME?</v>
      </c>
    </row>
    <row r="1689" spans="2:12" s="10" customFormat="1" ht="18" customHeight="1">
      <c r="B1689" s="105" t="s">
        <v>4032</v>
      </c>
      <c r="C1689" s="105"/>
      <c r="D1689" s="105"/>
      <c r="E1689" s="24"/>
      <c r="F1689" s="24"/>
      <c r="G1689" s="9"/>
      <c r="H1689" s="12"/>
    </row>
    <row r="1690" spans="2:12" s="10" customFormat="1" ht="18" customHeight="1">
      <c r="C1690" s="10" t="s">
        <v>3951</v>
      </c>
      <c r="D1690" s="12"/>
      <c r="G1690" s="9" t="s">
        <v>7324</v>
      </c>
      <c r="H1690" s="13"/>
    </row>
    <row r="1691" spans="2:12" s="10" customFormat="1" ht="18" customHeight="1">
      <c r="C1691" s="12" t="s">
        <v>4034</v>
      </c>
      <c r="D1691" s="12"/>
      <c r="G1691" s="9" t="s">
        <v>7325</v>
      </c>
      <c r="H1691" s="13"/>
    </row>
    <row r="1692" spans="2:12" s="10" customFormat="1" ht="18" customHeight="1">
      <c r="C1692" s="12" t="s">
        <v>3957</v>
      </c>
      <c r="D1692" s="12"/>
      <c r="G1692" s="9"/>
      <c r="H1692" s="9"/>
      <c r="I1692" s="10" t="s">
        <v>7326</v>
      </c>
      <c r="J1692" s="25" t="e">
        <f>IF(shinsei_strtower12_prgo04_NAME="","",IF(shinsei_strtower12_prgo04_NINTEI_NO="","無","有"))</f>
        <v>#NAME?</v>
      </c>
      <c r="K1692" s="10" t="s">
        <v>2941</v>
      </c>
      <c r="L1692" s="10" t="s">
        <v>3879</v>
      </c>
    </row>
    <row r="1693" spans="2:12" s="10" customFormat="1" ht="18" customHeight="1">
      <c r="C1693" s="12" t="s">
        <v>3960</v>
      </c>
      <c r="D1693" s="12"/>
      <c r="G1693" s="9" t="s">
        <v>7327</v>
      </c>
      <c r="H1693" s="13"/>
      <c r="K1693" s="10" t="s">
        <v>3863</v>
      </c>
      <c r="L1693" s="10" t="s">
        <v>3879</v>
      </c>
    </row>
    <row r="1694" spans="2:12" s="10" customFormat="1" ht="18" customHeight="1">
      <c r="C1694" s="12" t="s">
        <v>3964</v>
      </c>
      <c r="D1694" s="12"/>
      <c r="G1694" s="9" t="s">
        <v>7328</v>
      </c>
      <c r="H1694" s="74"/>
      <c r="I1694" s="10" t="s">
        <v>7329</v>
      </c>
      <c r="J1694" s="25" t="e">
        <f>IF(shinsei_strtower12_prgo04_NINTEI_DATE="","",TEXT(shinsei_strtower12_prgo04_NINTEI_DATE,"ggge年m月d日")&amp;"  ")</f>
        <v>#NAME?</v>
      </c>
    </row>
    <row r="1695" spans="2:12" s="10" customFormat="1" ht="18" customHeight="1">
      <c r="C1695" s="12" t="s">
        <v>7330</v>
      </c>
      <c r="D1695" s="12"/>
      <c r="G1695" s="9" t="s">
        <v>7331</v>
      </c>
      <c r="H1695" s="13"/>
      <c r="I1695" s="9"/>
      <c r="J1695" s="9"/>
    </row>
    <row r="1696" spans="2:12" s="10" customFormat="1" ht="18" customHeight="1">
      <c r="C1696" s="12" t="s">
        <v>3970</v>
      </c>
      <c r="D1696" s="12"/>
      <c r="G1696" s="9"/>
      <c r="H1696" s="12"/>
      <c r="I1696" s="9" t="s">
        <v>7332</v>
      </c>
      <c r="J1696" s="25" t="e">
        <f>IF(shinsei_strtower12_prgo04_NAME="","",shinsei_strtower12_prgo04_NAME)&amp;CHAR(10)&amp;IF(shinsei_strtower12_prgo04_VER="","","Ver."&amp;shinsei_strtower12_prgo04_VER&amp;CHAR(10))</f>
        <v>#NAME?</v>
      </c>
    </row>
    <row r="1697" spans="2:12" s="10" customFormat="1" ht="18" customHeight="1">
      <c r="C1697" s="12" t="s">
        <v>3972</v>
      </c>
      <c r="D1697" s="12"/>
      <c r="G1697" s="9"/>
      <c r="H1697" s="12"/>
      <c r="I1697" s="9" t="s">
        <v>7333</v>
      </c>
      <c r="J1697" s="25" t="e">
        <f>IF(shinsei_strtower12_prgo04_NAME="","",shinsei_strtower12_prgo04_NAME&amp;" ")&amp;IF(shinsei_strtower12_prgo04_VER="","","Ver."&amp;shinsei_strtower12_prgo04_VER&amp;"  ")</f>
        <v>#NAME?</v>
      </c>
    </row>
    <row r="1698" spans="2:12" s="10" customFormat="1" ht="18" customHeight="1">
      <c r="C1698" s="12" t="s">
        <v>3974</v>
      </c>
      <c r="D1698" s="12"/>
      <c r="G1698" s="9"/>
      <c r="H1698" s="12"/>
    </row>
    <row r="1699" spans="2:12" s="10" customFormat="1" ht="18" customHeight="1">
      <c r="D1699" s="12" t="s">
        <v>3976</v>
      </c>
      <c r="G1699" s="9"/>
      <c r="H1699" s="12"/>
      <c r="I1699" s="9" t="s">
        <v>5963</v>
      </c>
      <c r="J1699" s="173" t="e">
        <f>IF(cst_shinsei_strtower12_prgo04_NINTEI__umu="有",IF(shinsei_strtower12_prgo04_MAKER_NAME="","",shinsei_strtower12_prgo04_MAKER_NAME&amp;"  "),"")</f>
        <v>#NAME?</v>
      </c>
    </row>
    <row r="1700" spans="2:12" s="10" customFormat="1" ht="18" customHeight="1">
      <c r="D1700" s="12" t="s">
        <v>3972</v>
      </c>
      <c r="G1700" s="9"/>
      <c r="H1700" s="12"/>
      <c r="I1700" s="9" t="s">
        <v>5964</v>
      </c>
      <c r="J1700" s="25" t="e">
        <f>IF(cst_shinsei_strtower12_prgo04_NINTEI__umu="有",IF(shinsei_strtower12_prgo04_NAME="","",shinsei_strtower12_prgo04_NAME&amp;" ")&amp;IF(shinsei_strtower12_prgo04_VER="","","Ver."&amp;shinsei_strtower12_prgo04_VER&amp;"  "),"")</f>
        <v>#NAME?</v>
      </c>
    </row>
    <row r="1701" spans="2:12" s="10" customFormat="1" ht="18" customHeight="1">
      <c r="C1701" s="12" t="s">
        <v>3981</v>
      </c>
      <c r="D1701" s="12"/>
      <c r="G1701" s="9"/>
      <c r="H1701" s="12"/>
    </row>
    <row r="1702" spans="2:12" s="10" customFormat="1" ht="18" customHeight="1">
      <c r="D1702" s="12" t="s">
        <v>5965</v>
      </c>
      <c r="G1702" s="9"/>
      <c r="H1702" s="12"/>
      <c r="I1702" s="9" t="s">
        <v>5966</v>
      </c>
      <c r="J1702" s="173" t="e">
        <f>IF(cst_shinsei_strtower12_prgo04_NINTEI__umu="無",IF(shinsei_strtower12_prgo04_MAKER_NAME="","",shinsei_strtower12_prgo04_MAKER_NAME&amp;"  "),"")</f>
        <v>#NAME?</v>
      </c>
    </row>
    <row r="1703" spans="2:12" s="10" customFormat="1" ht="18" customHeight="1">
      <c r="D1703" s="12" t="s">
        <v>3972</v>
      </c>
      <c r="G1703" s="9"/>
      <c r="H1703" s="12"/>
      <c r="I1703" s="9" t="s">
        <v>5967</v>
      </c>
      <c r="J1703" s="25" t="e">
        <f>IF(cst_shinsei_strtower12_prgo04_NINTEI__umu="無",IF(shinsei_strtower12_prgo04_NAME="","",shinsei_strtower12_prgo04_NAME&amp;" ")&amp;IF(shinsei_strtower12_prgo04_VER="","","Ver."&amp;shinsei_strtower12_prgo04_VER&amp;"  "),"")</f>
        <v>#NAME?</v>
      </c>
    </row>
    <row r="1704" spans="2:12" s="10" customFormat="1" ht="18" customHeight="1">
      <c r="B1704" s="105" t="s">
        <v>5968</v>
      </c>
      <c r="C1704" s="105"/>
      <c r="D1704" s="105"/>
      <c r="E1704" s="24"/>
      <c r="F1704" s="24"/>
      <c r="G1704" s="9"/>
      <c r="H1704" s="12"/>
    </row>
    <row r="1705" spans="2:12" s="10" customFormat="1" ht="18" customHeight="1">
      <c r="C1705" s="10" t="s">
        <v>3951</v>
      </c>
      <c r="D1705" s="12"/>
      <c r="G1705" s="9" t="s">
        <v>5969</v>
      </c>
      <c r="H1705" s="13"/>
    </row>
    <row r="1706" spans="2:12" s="10" customFormat="1" ht="18" customHeight="1">
      <c r="C1706" s="12" t="s">
        <v>5970</v>
      </c>
      <c r="D1706" s="12"/>
      <c r="G1706" s="9" t="s">
        <v>5971</v>
      </c>
      <c r="H1706" s="13"/>
    </row>
    <row r="1707" spans="2:12" s="10" customFormat="1" ht="18" customHeight="1">
      <c r="C1707" s="12" t="s">
        <v>3957</v>
      </c>
      <c r="D1707" s="12"/>
      <c r="G1707" s="9"/>
      <c r="H1707" s="9"/>
      <c r="I1707" s="10" t="s">
        <v>5972</v>
      </c>
      <c r="J1707" s="25" t="e">
        <f>IF(shinsei_strtower12_prgo05_NAME="","",IF(shinsei_strtower12_prgo05_NINTEI_NO="","無","有"))</f>
        <v>#NAME?</v>
      </c>
      <c r="K1707" s="10" t="s">
        <v>2941</v>
      </c>
      <c r="L1707" s="10" t="s">
        <v>3879</v>
      </c>
    </row>
    <row r="1708" spans="2:12" s="10" customFormat="1" ht="18" customHeight="1">
      <c r="C1708" s="12" t="s">
        <v>3960</v>
      </c>
      <c r="D1708" s="12"/>
      <c r="G1708" s="9" t="s">
        <v>5973</v>
      </c>
      <c r="H1708" s="13"/>
      <c r="K1708" s="10" t="s">
        <v>5974</v>
      </c>
      <c r="L1708" s="10" t="s">
        <v>3879</v>
      </c>
    </row>
    <row r="1709" spans="2:12" s="10" customFormat="1" ht="18" customHeight="1">
      <c r="C1709" s="12" t="s">
        <v>3964</v>
      </c>
      <c r="D1709" s="12"/>
      <c r="G1709" s="9" t="s">
        <v>5975</v>
      </c>
      <c r="H1709" s="74"/>
      <c r="I1709" s="10" t="s">
        <v>5976</v>
      </c>
      <c r="J1709" s="25" t="e">
        <f>IF(shinsei_strtower12_prgo05_NINTEI_DATE="","",TEXT(shinsei_strtower12_prgo05_NINTEI_DATE,"ggge年m月d日")&amp;"  ")</f>
        <v>#NAME?</v>
      </c>
    </row>
    <row r="1710" spans="2:12" s="10" customFormat="1" ht="18" customHeight="1">
      <c r="C1710" s="12" t="s">
        <v>3968</v>
      </c>
      <c r="D1710" s="12"/>
      <c r="G1710" s="9" t="s">
        <v>5977</v>
      </c>
      <c r="H1710" s="13"/>
    </row>
    <row r="1711" spans="2:12" s="10" customFormat="1" ht="18" customHeight="1">
      <c r="C1711" s="12" t="s">
        <v>3970</v>
      </c>
      <c r="D1711" s="12"/>
      <c r="G1711" s="9"/>
      <c r="H1711" s="12"/>
      <c r="I1711" s="9" t="s">
        <v>5978</v>
      </c>
      <c r="J1711" s="25" t="e">
        <f>IF(shinsei_strtower12_prgo05_NAME="","",shinsei_strtower12_prgo05_NAME)&amp;CHAR(10)&amp;IF(shinsei_strtower12_prgo05_VER="","","Ver."&amp;shinsei_strtower12_prgo05_VER&amp;CHAR(10))</f>
        <v>#NAME?</v>
      </c>
    </row>
    <row r="1712" spans="2:12" s="10" customFormat="1" ht="18" customHeight="1">
      <c r="C1712" s="12" t="s">
        <v>3972</v>
      </c>
      <c r="D1712" s="12"/>
      <c r="G1712" s="9"/>
      <c r="H1712" s="12"/>
      <c r="I1712" s="9" t="s">
        <v>5979</v>
      </c>
      <c r="J1712" s="25" t="e">
        <f>IF(shinsei_strtower12_prgo05_NAME="","",shinsei_strtower12_prgo05_NAME&amp;" ")&amp;IF(shinsei_strtower12_prgo05_VER="","","Ver."&amp;shinsei_strtower12_prgo05_VER&amp;"  ")</f>
        <v>#NAME?</v>
      </c>
    </row>
    <row r="1713" spans="2:10" s="10" customFormat="1" ht="18" customHeight="1">
      <c r="C1713" s="12" t="s">
        <v>3974</v>
      </c>
      <c r="D1713" s="12"/>
      <c r="G1713" s="9"/>
      <c r="H1713" s="12"/>
    </row>
    <row r="1714" spans="2:10" s="10" customFormat="1" ht="18" customHeight="1">
      <c r="D1714" s="12" t="s">
        <v>3976</v>
      </c>
      <c r="G1714" s="9"/>
      <c r="H1714" s="12"/>
      <c r="I1714" s="9" t="s">
        <v>4526</v>
      </c>
      <c r="J1714" s="173" t="e">
        <f>IF(cst_shinsei_strtower12_prgo05_NINTEI__umu="有",IF(shinsei_strtower12_prgo05_MAKER_NAME="","",shinsei_strtower12_prgo05_MAKER_NAME&amp;"  "),"")</f>
        <v>#NAME?</v>
      </c>
    </row>
    <row r="1715" spans="2:10" s="10" customFormat="1" ht="18" customHeight="1">
      <c r="D1715" s="12" t="s">
        <v>3972</v>
      </c>
      <c r="G1715" s="9"/>
      <c r="H1715" s="12"/>
      <c r="I1715" s="9" t="s">
        <v>4527</v>
      </c>
      <c r="J1715" s="25" t="e">
        <f>IF(cst_shinsei_strtower12_prgo05_NINTEI__umu="有",IF(shinsei_strtower12_prgo05_NAME="","",shinsei_strtower12_prgo05_NAME&amp;" ")&amp;IF(shinsei_strtower12_prgo05_VER="","","Ver."&amp;shinsei_strtower12_prgo05_VER&amp;"  "),"")</f>
        <v>#NAME?</v>
      </c>
    </row>
    <row r="1716" spans="2:10" s="10" customFormat="1" ht="18" customHeight="1">
      <c r="C1716" s="12" t="s">
        <v>3981</v>
      </c>
      <c r="D1716" s="12"/>
      <c r="G1716" s="9"/>
      <c r="H1716" s="12"/>
    </row>
    <row r="1717" spans="2:10" s="10" customFormat="1" ht="18" customHeight="1">
      <c r="D1717" s="12" t="s">
        <v>3976</v>
      </c>
      <c r="G1717" s="9"/>
      <c r="H1717" s="12"/>
      <c r="I1717" s="9" t="s">
        <v>4528</v>
      </c>
      <c r="J1717" s="173" t="e">
        <f>IF(cst_shinsei_strtower12_prgo05_NINTEI__umu="無",IF(shinsei_strtower12_prgo05_MAKER_NAME="","",shinsei_strtower12_prgo05_MAKER_NAME&amp;"  "),"")</f>
        <v>#NAME?</v>
      </c>
    </row>
    <row r="1718" spans="2:10" s="10" customFormat="1" ht="18" customHeight="1">
      <c r="D1718" s="12" t="s">
        <v>3972</v>
      </c>
      <c r="G1718" s="9"/>
      <c r="H1718" s="12"/>
      <c r="I1718" s="9" t="s">
        <v>4529</v>
      </c>
      <c r="J1718" s="25" t="e">
        <f>IF(cst_shinsei_strtower12_prgo05_NINTEI__umu="無",IF(shinsei_strtower12_prgo05_NAME="","",shinsei_strtower12_prgo05_NAME&amp;" ")&amp;IF(shinsei_strtower12_prgo05_VER="","","Ver."&amp;shinsei_strtower12_prgo05_VER&amp;"  "),"")</f>
        <v>#NAME?</v>
      </c>
    </row>
    <row r="1719" spans="2:10" s="10" customFormat="1" ht="18" customHeight="1">
      <c r="B1719" s="13" t="s">
        <v>3828</v>
      </c>
      <c r="C1719" s="13"/>
      <c r="D1719" s="13"/>
      <c r="E1719" s="25"/>
      <c r="F1719" s="25"/>
      <c r="G1719" s="9"/>
      <c r="H1719" s="80"/>
      <c r="I1719" s="9"/>
      <c r="J1719" s="80"/>
    </row>
    <row r="1720" spans="2:10" s="10" customFormat="1" ht="18" customHeight="1">
      <c r="C1720" s="12" t="s">
        <v>3970</v>
      </c>
      <c r="D1720" s="12"/>
      <c r="G1720" s="9"/>
      <c r="H1720" s="80"/>
      <c r="I1720" s="166" t="s">
        <v>4530</v>
      </c>
      <c r="J1720" s="74" t="e">
        <f>cst_shinsei_strtower12_prgo01_NAME_VER&amp;cst_shinsei_strtower12_prgo02_NAME_VER&amp;cst_shinsei_strtower12_prgo03_NAME_VER&amp;cst_shinsei_strtower12_prgo04_NAME_VER&amp;cst_shinsei_strtower12_prgo05_NAME_VER</f>
        <v>#NAME?</v>
      </c>
    </row>
    <row r="1721" spans="2:10" s="10" customFormat="1" ht="18" customHeight="1">
      <c r="C1721" s="12" t="s">
        <v>3972</v>
      </c>
      <c r="D1721" s="12"/>
      <c r="G1721" s="9"/>
      <c r="H1721" s="80"/>
      <c r="I1721" s="166" t="s">
        <v>4531</v>
      </c>
      <c r="J1721" s="74" t="e">
        <f>cst_shinsei_strtower12_prgo01_NAME_VER__SP&amp;cst_shinsei_strtower12_prgo02_NAME_VER__SP&amp;cst_shinsei_strtower12_prgo03_NAME_VER__SP&amp;cst_shinsei_strtower12_prgo04_NAME_VER__SP&amp;cst_shinsei_strtower12_prgo05_NAME_VER__SP</f>
        <v>#NAME?</v>
      </c>
    </row>
    <row r="1722" spans="2:10" s="10" customFormat="1" ht="18" customHeight="1">
      <c r="B1722" s="13" t="s">
        <v>4068</v>
      </c>
      <c r="C1722" s="13"/>
      <c r="D1722" s="13"/>
      <c r="E1722" s="25"/>
      <c r="F1722" s="25"/>
      <c r="G1722" s="9"/>
      <c r="H1722" s="80"/>
      <c r="I1722" s="9"/>
      <c r="J1722" s="80"/>
    </row>
    <row r="1723" spans="2:10" s="10" customFormat="1" ht="18" customHeight="1">
      <c r="C1723" s="12" t="s">
        <v>6376</v>
      </c>
      <c r="D1723" s="12"/>
      <c r="G1723" s="9"/>
      <c r="H1723" s="80"/>
      <c r="I1723" s="166" t="s">
        <v>4532</v>
      </c>
      <c r="J1723" s="74" t="e">
        <f>cst_shinsei_strtower12_prgo01_MAKER__NINTEI_ari&amp;cst_shinsei_strtower12_prgo02_MAKER__NINTEI_ari&amp;cst_shinsei_strtower12_prgo03_MAKER__NINTEI_ari&amp;cst_shinsei_strtower12_prgo04_MAKER__NINTEI_ari&amp;cst_shinsei_strtower12_prgo05_MAKER__NINTEI_ari</f>
        <v>#NAME?</v>
      </c>
    </row>
    <row r="1724" spans="2:10" s="10" customFormat="1" ht="18" customHeight="1">
      <c r="C1724" s="12" t="s">
        <v>3972</v>
      </c>
      <c r="D1724" s="12"/>
      <c r="G1724" s="9"/>
      <c r="H1724" s="80"/>
      <c r="I1724" s="166" t="s">
        <v>4533</v>
      </c>
      <c r="J1724" s="173" t="e">
        <f>cst_shinsei_strtower12_prgo01_NAME_VER__NINTEI_ari&amp;cst_shinsei_strtower12_prgo02_NAME_VER__NINTEI_ari&amp;cst_shinsei_strtower12_prgo03_NAME_VER__NINTEI_ari&amp;cst_shinsei_strtower12_prgo04_NAME_VER__NINTEI_ari&amp;cst_shinsei_strtower12_prgo05_NAME_VER__NINTEI_ari</f>
        <v>#NAME?</v>
      </c>
    </row>
    <row r="1725" spans="2:10" s="10" customFormat="1" ht="18" customHeight="1">
      <c r="C1725" s="12" t="s">
        <v>3964</v>
      </c>
      <c r="D1725" s="12"/>
      <c r="G1725" s="9"/>
      <c r="H1725" s="80"/>
      <c r="I1725" s="166" t="s">
        <v>4534</v>
      </c>
      <c r="J1725" s="74" t="e">
        <f>cst_shinsei_strtower12_prgo01_NINTEI_DATE_dsp&amp;cst_shinsei_strtower12_prgo02_NINTEI_DATE_dsp&amp;cst_shinsei_strtower12_prgo03_NINTEI_DATE_dsp&amp;cst_shinsei_strtower12_prgo04_NINTEI_DATE_dsp&amp;cst_shinsei_strtower12_prgo05_NINTEI_DATE_dsp</f>
        <v>#NAME?</v>
      </c>
    </row>
    <row r="1726" spans="2:10" s="10" customFormat="1" ht="18" customHeight="1">
      <c r="B1726" s="13" t="s">
        <v>4072</v>
      </c>
      <c r="C1726" s="13"/>
      <c r="D1726" s="13"/>
      <c r="E1726" s="25"/>
      <c r="F1726" s="25"/>
      <c r="G1726" s="9"/>
      <c r="H1726" s="80"/>
      <c r="I1726" s="9"/>
      <c r="J1726" s="80"/>
    </row>
    <row r="1727" spans="2:10" s="10" customFormat="1" ht="18" customHeight="1">
      <c r="C1727" s="12" t="s">
        <v>7204</v>
      </c>
      <c r="D1727" s="12"/>
      <c r="G1727" s="9"/>
      <c r="H1727" s="80"/>
      <c r="I1727" s="166" t="s">
        <v>4535</v>
      </c>
      <c r="J1727" s="74" t="e">
        <f>cst_shinsei_strtower12_prgo01_MAKER__NINTEI_non&amp;cst_shinsei_strtower12_prgo02_MAKER__NINTEI_non&amp;cst_shinsei_strtower12_prgo03_MAKER__NINTEI_non&amp;cst_shinsei_strtower12_prgo04_MAKER__NINTEI_non&amp;cst_shinsei_strtower12_prgo05_MAKER__NINTEI_non</f>
        <v>#NAME?</v>
      </c>
    </row>
    <row r="1728" spans="2:10" s="10" customFormat="1" ht="18" customHeight="1">
      <c r="C1728" s="12" t="s">
        <v>3972</v>
      </c>
      <c r="D1728" s="12"/>
      <c r="G1728" s="9"/>
      <c r="H1728" s="80"/>
      <c r="I1728" s="166" t="s">
        <v>4536</v>
      </c>
      <c r="J1728" s="173" t="e">
        <f>cst_shinsei_strtower12_prgo01_NAME_VER__NINTEI_non&amp;cst_shinsei_strtower12_prgo02_NAME_VER__NINTEI_non&amp;cst_shinsei_strtower12_prgo03_NAME_VER__NINTEI_non&amp;cst_shinsei_strtower12_prgo04_NAME_VER__NINTEI_non&amp;cst_shinsei_strtower12_prgo05_NAME_VER__NINTEI_non</f>
        <v>#NAME?</v>
      </c>
    </row>
    <row r="1729" spans="1:12" s="10" customFormat="1" ht="18" customHeight="1">
      <c r="B1729" s="12" t="s">
        <v>4075</v>
      </c>
      <c r="G1729" s="9" t="s">
        <v>4537</v>
      </c>
      <c r="H1729" s="20"/>
      <c r="I1729" s="9" t="s">
        <v>4538</v>
      </c>
      <c r="J1729" s="20" t="e">
        <f>IF(shinsei_strtower12_DISK_FLAG="","",IF(shinsei_strtower12_DISK_FLAG=1,"有","無"))</f>
        <v>#NAME?</v>
      </c>
    </row>
    <row r="1730" spans="1:12" s="10" customFormat="1" ht="18" customHeight="1">
      <c r="A1730" s="9"/>
      <c r="B1730" s="9" t="s">
        <v>2955</v>
      </c>
      <c r="C1730" s="9"/>
      <c r="D1730" s="9"/>
      <c r="E1730" s="9"/>
      <c r="F1730" s="9"/>
      <c r="G1730" s="9" t="s">
        <v>4539</v>
      </c>
      <c r="H1730" s="136"/>
      <c r="I1730" s="19" t="s">
        <v>4540</v>
      </c>
      <c r="J1730" s="171" t="e">
        <f>IF(shinsei_strtower12_CHARGE="","",shinsei_strtower12_CHARGE)</f>
        <v>#NAME?</v>
      </c>
      <c r="K1730" s="9" t="s">
        <v>2528</v>
      </c>
      <c r="L1730" s="9" t="s">
        <v>2528</v>
      </c>
    </row>
    <row r="1731" spans="1:12" ht="18" customHeight="1">
      <c r="A1731" s="149"/>
      <c r="B1731" s="149"/>
      <c r="C1731" s="149"/>
      <c r="D1731" s="149"/>
      <c r="E1731" s="12" t="s">
        <v>3907</v>
      </c>
      <c r="F1731" s="12"/>
      <c r="G1731" s="149"/>
      <c r="I1731" s="100" t="s">
        <v>4541</v>
      </c>
      <c r="J1731" s="171" t="e">
        <f>IF(shinsei_strtower12_CHARGE="","",TEXT(shinsei_strtower12_CHARGE,"#,##0_ ")&amp;"円")</f>
        <v>#NAME?</v>
      </c>
      <c r="K1731" s="9"/>
      <c r="L1731" s="9"/>
    </row>
    <row r="1732" spans="1:12" ht="18" customHeight="1">
      <c r="A1732" s="149"/>
      <c r="B1732" s="149" t="s">
        <v>3041</v>
      </c>
      <c r="C1732" s="149"/>
      <c r="D1732" s="149"/>
      <c r="E1732" s="149"/>
      <c r="F1732" s="149"/>
      <c r="G1732" s="149" t="s">
        <v>4542</v>
      </c>
      <c r="H1732" s="136"/>
      <c r="I1732" s="100" t="s">
        <v>4543</v>
      </c>
      <c r="J1732" s="136" t="e">
        <f>IF(shinsei_strtower12_CHARGE_WARIMASHI="","",shinsei_strtower12_CHARGE_WARIMASHI)</f>
        <v>#NAME?</v>
      </c>
      <c r="K1732" s="9" t="s">
        <v>2528</v>
      </c>
      <c r="L1732" s="9" t="s">
        <v>2528</v>
      </c>
    </row>
    <row r="1733" spans="1:12" ht="18" customHeight="1">
      <c r="A1733" s="149"/>
      <c r="B1733" s="149" t="s">
        <v>3043</v>
      </c>
      <c r="C1733" s="149"/>
      <c r="D1733" s="149"/>
      <c r="E1733" s="149"/>
      <c r="F1733" s="149"/>
      <c r="G1733" s="149" t="s">
        <v>4544</v>
      </c>
      <c r="H1733" s="136"/>
      <c r="I1733" s="100" t="s">
        <v>4545</v>
      </c>
      <c r="J1733" s="136" t="e">
        <f>IF(shinsei_strtower12_CHARGE_TOTAL="","",shinsei_strtower12_CHARGE_TOTAL)</f>
        <v>#NAME?</v>
      </c>
      <c r="K1733" s="9" t="s">
        <v>2528</v>
      </c>
      <c r="L1733" s="9" t="s">
        <v>2528</v>
      </c>
    </row>
    <row r="1734" spans="1:12" ht="18" customHeight="1">
      <c r="A1734" s="149"/>
      <c r="B1734" s="149" t="s">
        <v>5637</v>
      </c>
      <c r="C1734" s="149"/>
      <c r="D1734" s="149"/>
      <c r="E1734" s="149"/>
      <c r="F1734" s="149"/>
      <c r="G1734" s="149" t="s">
        <v>4546</v>
      </c>
      <c r="H1734" s="13"/>
      <c r="I1734" s="176" t="s">
        <v>6002</v>
      </c>
      <c r="J1734" s="20" t="e">
        <f>IF(shinsei_strtower12_CHARGE_KEISAN_NOTE="","",shinsei_strtower12_CHARGE_KEISAN_NOTE)</f>
        <v>#NAME?</v>
      </c>
      <c r="K1734" s="10" t="s">
        <v>3863</v>
      </c>
      <c r="L1734" s="10" t="s">
        <v>3879</v>
      </c>
    </row>
    <row r="1735" spans="1:12" ht="18" customHeight="1">
      <c r="A1735" s="149"/>
      <c r="B1735" s="149"/>
      <c r="C1735" s="149"/>
      <c r="D1735" s="149"/>
      <c r="E1735" s="149" t="s">
        <v>5640</v>
      </c>
      <c r="F1735" s="149"/>
      <c r="G1735" s="149"/>
      <c r="I1735" s="100" t="s">
        <v>6003</v>
      </c>
      <c r="J1735" s="20" t="e">
        <f>IF(shinsei_INSPECTION_TYPE="計画変更",IF(shinsei_strtower12_CHARGE="","","延べ面積×1/2により算出"),IF(shinsei_strtower12_CHARGE_KEISAN_NOTE="","",shinsei_strtower12_CHARGE_KEISAN_NOTE))</f>
        <v>#NAME?</v>
      </c>
    </row>
    <row r="1736" spans="1:12" ht="18" customHeight="1">
      <c r="A1736" s="149"/>
      <c r="B1736" s="149" t="s">
        <v>5642</v>
      </c>
      <c r="C1736" s="149"/>
      <c r="D1736" s="149"/>
      <c r="E1736" s="149"/>
      <c r="F1736" s="149"/>
      <c r="G1736" s="149" t="s">
        <v>6004</v>
      </c>
      <c r="H1736" s="13"/>
      <c r="I1736" s="149" t="s">
        <v>6005</v>
      </c>
      <c r="J1736" s="20" t="e">
        <f>IF(shinsei_strtower12_KEISAN_X_ROUTE="","",shinsei_strtower12_KEISAN_X_ROUTE)</f>
        <v>#NAME?</v>
      </c>
    </row>
    <row r="1737" spans="1:12" ht="18" customHeight="1">
      <c r="A1737" s="149"/>
      <c r="B1737" s="149" t="s">
        <v>5645</v>
      </c>
      <c r="C1737" s="149"/>
      <c r="D1737" s="149"/>
      <c r="E1737" s="149"/>
      <c r="F1737" s="149"/>
      <c r="G1737" s="149" t="s">
        <v>6006</v>
      </c>
      <c r="H1737" s="13"/>
      <c r="I1737" s="149" t="s">
        <v>6007</v>
      </c>
      <c r="J1737" s="20" t="e">
        <f>IF(shinsei_strtower12_KEISAN_Y_ROUTE="","",shinsei_strtower12_KEISAN_Y_ROUTE)</f>
        <v>#NAME?</v>
      </c>
    </row>
    <row r="1738" spans="1:12" ht="18" customHeight="1">
      <c r="A1738" s="149"/>
      <c r="B1738" s="149"/>
      <c r="C1738" s="149" t="s">
        <v>3805</v>
      </c>
      <c r="D1738" s="149"/>
      <c r="E1738" s="149"/>
      <c r="F1738" s="149"/>
      <c r="G1738" s="149"/>
      <c r="H1738" s="12"/>
      <c r="I1738" s="149" t="s">
        <v>6008</v>
      </c>
      <c r="J1738" s="20" t="e">
        <f>IF(AND(cst_shinsei_strtower12_KEISAN_X_ROUTE="3",cst_shinsei_strtower12_KEISAN_Y_ROUTE="3"),"■","□")</f>
        <v>#NAME?</v>
      </c>
    </row>
    <row r="1739" spans="1:12" ht="18" customHeight="1">
      <c r="A1739" s="149"/>
      <c r="B1739" s="149" t="s">
        <v>5650</v>
      </c>
      <c r="C1739" s="149"/>
      <c r="D1739" s="149"/>
      <c r="E1739" s="149"/>
      <c r="F1739" s="149"/>
      <c r="G1739" s="149" t="s">
        <v>6009</v>
      </c>
      <c r="H1739" s="13"/>
      <c r="I1739" s="149" t="s">
        <v>6010</v>
      </c>
      <c r="J1739" s="20" t="e">
        <f>IF(shinsei_strtower12_PROGRAM_KIND_SONOTA="","",shinsei_strtower12_PROGRAM_KIND_SONOTA)</f>
        <v>#NAME?</v>
      </c>
    </row>
    <row r="1740" spans="1:12" ht="18" customHeight="1">
      <c r="A1740" s="149"/>
      <c r="B1740" s="149"/>
      <c r="C1740" s="149"/>
      <c r="D1740" s="149"/>
      <c r="E1740" s="149"/>
      <c r="F1740" s="149"/>
      <c r="G1740" s="149"/>
      <c r="I1740" s="149"/>
    </row>
    <row r="1741" spans="1:12" s="10" customFormat="1" ht="18" customHeight="1">
      <c r="A1741" s="162" t="s">
        <v>3102</v>
      </c>
      <c r="B1741" s="162"/>
      <c r="C1741" s="162"/>
      <c r="D1741" s="162"/>
      <c r="E1741" s="163"/>
      <c r="F1741" s="163"/>
      <c r="G1741" s="164"/>
      <c r="H1741" s="165"/>
      <c r="I1741" s="9"/>
    </row>
    <row r="1742" spans="1:12" s="10" customFormat="1" ht="18" customHeight="1">
      <c r="A1742" s="12"/>
      <c r="B1742" s="12" t="s">
        <v>3859</v>
      </c>
      <c r="C1742" s="12"/>
      <c r="D1742" s="12"/>
      <c r="E1742" s="11"/>
      <c r="F1742" s="11"/>
      <c r="G1742" s="10" t="s">
        <v>6011</v>
      </c>
      <c r="H1742" s="13"/>
      <c r="I1742" s="19" t="s">
        <v>6012</v>
      </c>
      <c r="J1742" s="25" t="e">
        <f>IF(shinsei_strtower13_TOWER_NO="","",shinsei_strtower13_TOWER_NO)</f>
        <v>#NAME?</v>
      </c>
      <c r="K1742" s="10" t="s">
        <v>3863</v>
      </c>
    </row>
    <row r="1743" spans="1:12" s="10" customFormat="1" ht="18" customHeight="1">
      <c r="A1743" s="12"/>
      <c r="B1743" s="12" t="s">
        <v>3864</v>
      </c>
      <c r="C1743" s="12"/>
      <c r="D1743" s="12"/>
      <c r="E1743" s="11"/>
      <c r="F1743" s="11"/>
      <c r="G1743" s="9" t="s">
        <v>6013</v>
      </c>
      <c r="H1743" s="13"/>
      <c r="I1743" s="19" t="s">
        <v>6014</v>
      </c>
      <c r="J1743" s="25" t="e">
        <f>IF(shinsei_strtower13_STR_TOWER_NO="","",shinsei_strtower13_STR_TOWER_NO)</f>
        <v>#NAME?</v>
      </c>
      <c r="K1743" s="10" t="s">
        <v>3863</v>
      </c>
      <c r="L1743" s="10" t="s">
        <v>3879</v>
      </c>
    </row>
    <row r="1744" spans="1:12" s="166" customFormat="1" ht="18" customHeight="1">
      <c r="B1744" s="12" t="s">
        <v>3868</v>
      </c>
      <c r="I1744" s="9" t="s">
        <v>6015</v>
      </c>
      <c r="J1744" s="167" t="e">
        <f>CONCATENATE(cst_shinsei_strtower13_TOWER_NO," - ",cst_shinsei_strtower13_STR_TOWER_NO)</f>
        <v>#NAME?</v>
      </c>
    </row>
    <row r="1745" spans="1:12" s="166" customFormat="1" ht="18" customHeight="1">
      <c r="B1745" s="12" t="s">
        <v>3870</v>
      </c>
      <c r="I1745" s="9" t="s">
        <v>6016</v>
      </c>
      <c r="J1745" s="167" t="e">
        <f>CONCATENATE(cst_shinsei_strtower13_STR_TOWER_NO," ／ ",cst_shinsei_STR_SHINSEI_TOWERS)</f>
        <v>#NAME?</v>
      </c>
    </row>
    <row r="1746" spans="1:12" s="10" customFormat="1" ht="18" customHeight="1">
      <c r="A1746" s="12"/>
      <c r="B1746" s="12" t="s">
        <v>6017</v>
      </c>
      <c r="C1746" s="11"/>
      <c r="D1746" s="11"/>
      <c r="E1746" s="11"/>
      <c r="F1746" s="11"/>
      <c r="G1746" s="9" t="s">
        <v>6018</v>
      </c>
      <c r="H1746" s="13"/>
      <c r="I1746" s="9" t="s">
        <v>6019</v>
      </c>
      <c r="J1746" s="25" t="e">
        <f>IF(shinsei_strtower13_STR_TOWER_NAME="","",shinsei_strtower13_STR_TOWER_NAME)</f>
        <v>#NAME?</v>
      </c>
    </row>
    <row r="1747" spans="1:12" s="10" customFormat="1" ht="18" customHeight="1">
      <c r="A1747" s="12"/>
      <c r="B1747" s="12" t="s">
        <v>6020</v>
      </c>
      <c r="C1747" s="12"/>
      <c r="D1747" s="12"/>
      <c r="E1747" s="11"/>
      <c r="F1747" s="11"/>
      <c r="G1747" s="9" t="s">
        <v>6021</v>
      </c>
      <c r="H1747" s="20"/>
      <c r="I1747" s="20" t="s">
        <v>6022</v>
      </c>
      <c r="J1747" s="25" t="e">
        <f>IF(shinsei_strtower13_JUDGE="","",shinsei_strtower13_JUDGE)</f>
        <v>#NAME?</v>
      </c>
      <c r="K1747" s="10" t="s">
        <v>5666</v>
      </c>
      <c r="L1747" s="10" t="s">
        <v>3879</v>
      </c>
    </row>
    <row r="1748" spans="1:12" s="10" customFormat="1" ht="18" customHeight="1">
      <c r="A1748" s="12"/>
      <c r="B1748" s="12" t="s">
        <v>4441</v>
      </c>
      <c r="C1748" s="12"/>
      <c r="D1748" s="12"/>
      <c r="E1748" s="11"/>
      <c r="F1748" s="11"/>
      <c r="G1748" s="9" t="s">
        <v>6023</v>
      </c>
      <c r="H1748" s="13"/>
      <c r="I1748" s="9" t="s">
        <v>6024</v>
      </c>
      <c r="J1748" s="25" t="e">
        <f>IF(shinsei_strtower13_STR_TOWER_YOUTO_TEXT="","",shinsei_strtower13_STR_TOWER_YOUTO_TEXT)</f>
        <v>#NAME?</v>
      </c>
      <c r="K1748" s="10" t="s">
        <v>3863</v>
      </c>
      <c r="L1748" s="10" t="s">
        <v>3879</v>
      </c>
    </row>
    <row r="1749" spans="1:12" s="10" customFormat="1" ht="18" customHeight="1">
      <c r="A1749" s="12"/>
      <c r="B1749" s="12" t="s">
        <v>3790</v>
      </c>
      <c r="C1749" s="12"/>
      <c r="D1749" s="12"/>
      <c r="E1749" s="11"/>
      <c r="F1749" s="11"/>
      <c r="G1749" s="9" t="s">
        <v>6025</v>
      </c>
      <c r="H1749" s="13"/>
      <c r="I1749" s="9" t="s">
        <v>6026</v>
      </c>
      <c r="J1749" s="25" t="e">
        <f>IF(shinsei_strtower13_KOUJI_TEXT="","",shinsei_strtower13_KOUJI_TEXT)</f>
        <v>#NAME?</v>
      </c>
      <c r="K1749" s="10" t="s">
        <v>4791</v>
      </c>
      <c r="L1749" s="10" t="s">
        <v>3879</v>
      </c>
    </row>
    <row r="1750" spans="1:12" s="10" customFormat="1" ht="18" customHeight="1">
      <c r="A1750" s="12"/>
      <c r="B1750" s="12" t="s">
        <v>7089</v>
      </c>
      <c r="C1750" s="11"/>
      <c r="D1750" s="11"/>
      <c r="E1750" s="11"/>
      <c r="F1750" s="11"/>
      <c r="G1750" s="9" t="s">
        <v>6027</v>
      </c>
      <c r="H1750" s="13"/>
      <c r="I1750" s="9" t="s">
        <v>6028</v>
      </c>
      <c r="J1750" s="25" t="e">
        <f>IF(shinsei_strtower13_KOUZOU_TEXT="","",shinsei_strtower13_KOUZOU_TEXT)</f>
        <v>#NAME?</v>
      </c>
    </row>
    <row r="1751" spans="1:12" s="10" customFormat="1" ht="18" customHeight="1">
      <c r="A1751" s="12"/>
      <c r="B1751" s="12" t="s">
        <v>5671</v>
      </c>
      <c r="C1751" s="12"/>
      <c r="D1751" s="12"/>
      <c r="E1751" s="11"/>
      <c r="F1751" s="11"/>
      <c r="G1751" s="9" t="s">
        <v>6029</v>
      </c>
      <c r="H1751" s="13"/>
      <c r="I1751" s="9" t="s">
        <v>6030</v>
      </c>
      <c r="J1751" s="25" t="e">
        <f>IF(shinsei_strtower13_KOUZOU_TEXT="","",shinsei_strtower13_KOUZOU_TEXT)</f>
        <v>#NAME?</v>
      </c>
    </row>
    <row r="1752" spans="1:12" s="10" customFormat="1" ht="18" customHeight="1">
      <c r="A1752" s="12"/>
      <c r="B1752" s="12" t="s">
        <v>3893</v>
      </c>
      <c r="C1752" s="11"/>
      <c r="D1752" s="11"/>
      <c r="E1752" s="11"/>
      <c r="F1752" s="11"/>
      <c r="G1752" s="9" t="s">
        <v>6031</v>
      </c>
      <c r="H1752" s="13"/>
      <c r="I1752" s="9" t="s">
        <v>6032</v>
      </c>
      <c r="J1752" s="25" t="e">
        <f>IF(shinsei_strtower13_KOUZOU_KEISAN="","",shinsei_strtower13_KOUZOU_KEISAN)</f>
        <v>#NAME?</v>
      </c>
    </row>
    <row r="1753" spans="1:12" s="10" customFormat="1" ht="18" customHeight="1">
      <c r="A1753" s="12"/>
      <c r="B1753" s="12" t="s">
        <v>3893</v>
      </c>
      <c r="C1753" s="12"/>
      <c r="D1753" s="12"/>
      <c r="E1753" s="11"/>
      <c r="F1753" s="11"/>
      <c r="G1753" s="9" t="s">
        <v>6033</v>
      </c>
      <c r="H1753" s="13"/>
      <c r="I1753" s="10" t="s">
        <v>6034</v>
      </c>
      <c r="J1753" s="25" t="e">
        <f>IF(shinsei_strtower13_KOUZOU_KEISAN_TEXT="","",shinsei_strtower13_KOUZOU_KEISAN_TEXT)</f>
        <v>#NAME?</v>
      </c>
    </row>
    <row r="1754" spans="1:12" s="10" customFormat="1" ht="18" customHeight="1">
      <c r="A1754" s="12"/>
      <c r="B1754" s="12" t="s">
        <v>3903</v>
      </c>
      <c r="C1754" s="12"/>
      <c r="D1754" s="12"/>
      <c r="E1754" s="11"/>
      <c r="F1754" s="11"/>
      <c r="G1754" s="9" t="s">
        <v>6035</v>
      </c>
      <c r="H1754" s="65"/>
      <c r="I1754" s="19" t="s">
        <v>6036</v>
      </c>
      <c r="J1754" s="168" t="e">
        <f>IF(shinsei_strtower13_MENSEKI="","",shinsei_strtower13_MENSEKI)</f>
        <v>#NAME?</v>
      </c>
      <c r="K1754" s="10" t="s">
        <v>3906</v>
      </c>
      <c r="L1754" s="10" t="s">
        <v>3906</v>
      </c>
    </row>
    <row r="1755" spans="1:12" ht="18" customHeight="1">
      <c r="A1755" s="12"/>
      <c r="B1755" s="12"/>
      <c r="C1755" s="12"/>
      <c r="D1755" s="12"/>
      <c r="E1755" s="12" t="s">
        <v>3907</v>
      </c>
      <c r="F1755" s="12"/>
      <c r="G1755" s="9"/>
      <c r="H1755" s="9"/>
      <c r="I1755" s="9" t="s">
        <v>6037</v>
      </c>
      <c r="J1755" s="168" t="e">
        <f>IF(shinsei_strtower13_MENSEKI="","",TEXT(shinsei_strtower13_MENSEKI,"#,##0.00_ ")&amp;"㎡")</f>
        <v>#NAME?</v>
      </c>
    </row>
    <row r="1756" spans="1:12" s="10" customFormat="1" ht="18" customHeight="1">
      <c r="A1756" s="12"/>
      <c r="B1756" s="12" t="s">
        <v>4390</v>
      </c>
      <c r="C1756" s="12"/>
      <c r="D1756" s="12"/>
      <c r="E1756" s="11"/>
      <c r="F1756" s="11"/>
      <c r="G1756" s="9" t="s">
        <v>6038</v>
      </c>
      <c r="H1756" s="93"/>
      <c r="I1756" s="9" t="s">
        <v>6039</v>
      </c>
      <c r="J1756" s="170" t="e">
        <f>IF(shinsei_strtower13_MAX_TAKASA="","",shinsei_strtower13_MAX_TAKASA)</f>
        <v>#NAME?</v>
      </c>
      <c r="K1756" s="10" t="s">
        <v>3911</v>
      </c>
      <c r="L1756" s="10" t="s">
        <v>3911</v>
      </c>
    </row>
    <row r="1757" spans="1:12" s="10" customFormat="1" ht="18" customHeight="1">
      <c r="A1757" s="12"/>
      <c r="B1757" s="12" t="s">
        <v>4388</v>
      </c>
      <c r="C1757" s="11"/>
      <c r="D1757" s="11"/>
      <c r="E1757" s="11"/>
      <c r="F1757" s="11"/>
      <c r="G1757" s="9" t="s">
        <v>6040</v>
      </c>
      <c r="H1757" s="93"/>
      <c r="I1757" s="9" t="s">
        <v>6041</v>
      </c>
      <c r="J1757" s="170" t="e">
        <f>IF(shinsei_strtower13_MAX_NOKI_TAKASA="","",shinsei_strtower13_MAX_NOKI_TAKASA)</f>
        <v>#NAME?</v>
      </c>
    </row>
    <row r="1758" spans="1:12" s="10" customFormat="1" ht="18" customHeight="1">
      <c r="A1758" s="12"/>
      <c r="B1758" s="12" t="s">
        <v>3782</v>
      </c>
      <c r="C1758" s="12"/>
      <c r="D1758" s="12"/>
      <c r="E1758" s="11"/>
      <c r="F1758" s="11"/>
      <c r="G1758" s="9"/>
      <c r="H1758" s="9"/>
      <c r="I1758" s="9"/>
    </row>
    <row r="1759" spans="1:12" s="10" customFormat="1" ht="18" customHeight="1">
      <c r="A1759" s="12"/>
      <c r="B1759" s="12"/>
      <c r="C1759" s="11" t="s">
        <v>3783</v>
      </c>
      <c r="D1759" s="12"/>
      <c r="G1759" s="9" t="s">
        <v>6042</v>
      </c>
      <c r="H1759" s="136"/>
      <c r="I1759" s="9" t="s">
        <v>6043</v>
      </c>
      <c r="J1759" s="171" t="e">
        <f>IF(shinsei_strtower13_KAISU_TIJYOU="","",shinsei_strtower13_KAISU_TIJYOU)</f>
        <v>#NAME?</v>
      </c>
      <c r="K1759" s="10" t="s">
        <v>5435</v>
      </c>
      <c r="L1759" s="10" t="s">
        <v>5435</v>
      </c>
    </row>
    <row r="1760" spans="1:12" s="10" customFormat="1" ht="18" customHeight="1">
      <c r="A1760" s="12"/>
      <c r="B1760" s="12"/>
      <c r="C1760" s="11" t="s">
        <v>3785</v>
      </c>
      <c r="D1760" s="12"/>
      <c r="G1760" s="9" t="s">
        <v>6044</v>
      </c>
      <c r="H1760" s="136"/>
      <c r="I1760" s="9" t="s">
        <v>6045</v>
      </c>
      <c r="J1760" s="171" t="e">
        <f>IF(shinsei_strtower13_KAISU_TIKA="","",shinsei_strtower13_KAISU_TIKA)</f>
        <v>#NAME?</v>
      </c>
      <c r="K1760" s="10" t="s">
        <v>5281</v>
      </c>
      <c r="L1760" s="10" t="s">
        <v>5281</v>
      </c>
    </row>
    <row r="1761" spans="1:12" s="10" customFormat="1" ht="18" customHeight="1">
      <c r="A1761" s="12"/>
      <c r="B1761" s="12"/>
      <c r="C1761" s="11" t="s">
        <v>3787</v>
      </c>
      <c r="D1761" s="12"/>
      <c r="G1761" s="9" t="s">
        <v>6046</v>
      </c>
      <c r="H1761" s="136"/>
      <c r="I1761" s="9" t="s">
        <v>6047</v>
      </c>
      <c r="J1761" s="171" t="e">
        <f>IF(shinsei_strtower13_KAISU_TOUYA="","",shinsei_strtower13_KAISU_TOUYA)</f>
        <v>#NAME?</v>
      </c>
      <c r="K1761" s="10" t="s">
        <v>3920</v>
      </c>
      <c r="L1761" s="10" t="s">
        <v>3920</v>
      </c>
    </row>
    <row r="1762" spans="1:12" s="10" customFormat="1" ht="18" customHeight="1">
      <c r="B1762" s="12" t="s">
        <v>3923</v>
      </c>
      <c r="G1762" s="9" t="s">
        <v>6048</v>
      </c>
      <c r="H1762" s="13"/>
      <c r="I1762" s="10" t="s">
        <v>6049</v>
      </c>
      <c r="J1762" s="25" t="e">
        <f>IF(shinsei_strtower13_BUILD_KUBUN="","",shinsei_strtower13_BUILD_KUBUN)</f>
        <v>#NAME?</v>
      </c>
    </row>
    <row r="1763" spans="1:12" s="10" customFormat="1" ht="18" customHeight="1">
      <c r="B1763" s="12" t="s">
        <v>3923</v>
      </c>
      <c r="C1763" s="12"/>
      <c r="D1763" s="12"/>
      <c r="G1763" s="9" t="s">
        <v>6050</v>
      </c>
      <c r="H1763" s="13"/>
      <c r="I1763" s="10" t="s">
        <v>6051</v>
      </c>
      <c r="J1763" s="25" t="e">
        <f>IF(shinsei_strtower13_BUILD_KUBUN_TEXT="","",shinsei_strtower13_BUILD_KUBUN_TEXT)</f>
        <v>#NAME?</v>
      </c>
      <c r="K1763" s="10" t="s">
        <v>3863</v>
      </c>
    </row>
    <row r="1764" spans="1:12" s="10" customFormat="1" ht="18" customHeight="1">
      <c r="A1764" s="149"/>
      <c r="B1764" s="149"/>
      <c r="C1764" s="149" t="s">
        <v>3801</v>
      </c>
      <c r="D1764" s="149"/>
      <c r="E1764" s="149"/>
      <c r="F1764" s="149"/>
      <c r="G1764" s="149"/>
      <c r="H1764" s="12"/>
      <c r="I1764" s="149" t="s">
        <v>6052</v>
      </c>
      <c r="J1764" s="20" t="e">
        <f>IF(shinsei_strtower13_BUILD_KUBUN_TEXT="建築基準法第20条第２号に掲げる建築物","■","□")</f>
        <v>#NAME?</v>
      </c>
    </row>
    <row r="1765" spans="1:12" s="10" customFormat="1" ht="18" customHeight="1">
      <c r="A1765" s="149"/>
      <c r="B1765" s="149"/>
      <c r="C1765" s="149" t="s">
        <v>3801</v>
      </c>
      <c r="D1765" s="149"/>
      <c r="E1765" s="149"/>
      <c r="F1765" s="149"/>
      <c r="G1765" s="149"/>
      <c r="H1765" s="12"/>
      <c r="I1765" s="149" t="s">
        <v>6053</v>
      </c>
      <c r="J1765" s="20" t="e">
        <f>IF(shinsei_strtower13_BUILD_KUBUN_TEXT="建築基準法第20条第３号に掲げる建築物","■","□")</f>
        <v>#NAME?</v>
      </c>
    </row>
    <row r="1766" spans="1:12" s="10" customFormat="1" ht="18" customHeight="1">
      <c r="A1766" s="12"/>
      <c r="B1766" s="12" t="s">
        <v>4724</v>
      </c>
      <c r="C1766" s="12"/>
      <c r="D1766" s="12"/>
      <c r="E1766" s="11"/>
      <c r="F1766" s="11"/>
      <c r="G1766" s="9" t="s">
        <v>6054</v>
      </c>
      <c r="H1766" s="13"/>
      <c r="I1766" s="9" t="s">
        <v>6055</v>
      </c>
      <c r="J1766" s="25" t="e">
        <f>IF(shinsei_strtower13_MENJYO_TEXT="","",shinsei_strtower13_MENJYO_TEXT)</f>
        <v>#NAME?</v>
      </c>
      <c r="K1766" s="10" t="s">
        <v>6056</v>
      </c>
    </row>
    <row r="1767" spans="1:12" s="10" customFormat="1" ht="18" customHeight="1">
      <c r="A1767" s="12"/>
      <c r="B1767" s="12" t="s">
        <v>3935</v>
      </c>
      <c r="C1767" s="12"/>
      <c r="D1767" s="12"/>
      <c r="E1767" s="11"/>
      <c r="F1767" s="11"/>
      <c r="G1767" s="9" t="s">
        <v>6057</v>
      </c>
      <c r="H1767" s="20"/>
      <c r="I1767" s="9" t="s">
        <v>6058</v>
      </c>
      <c r="J1767" s="25" t="e">
        <f>IF(shinsei_strtower13_PROGRAM_KIND="","",shinsei_strtower13_PROGRAM_KIND)</f>
        <v>#NAME?</v>
      </c>
      <c r="K1767" s="10" t="s">
        <v>5704</v>
      </c>
    </row>
    <row r="1768" spans="1:12" s="10" customFormat="1" ht="18" customHeight="1">
      <c r="B1768" s="12" t="s">
        <v>3939</v>
      </c>
      <c r="C1768" s="12"/>
      <c r="D1768" s="12"/>
      <c r="G1768" s="9" t="s">
        <v>6059</v>
      </c>
      <c r="H1768" s="13"/>
      <c r="I1768" s="10" t="s">
        <v>6060</v>
      </c>
      <c r="J1768" s="25" t="e">
        <f>IF(shinsei_strtower13_REI80_2_KOKUJI_TEXT="","",shinsei_strtower13_REI80_2_KOKUJI_TEXT)</f>
        <v>#NAME?</v>
      </c>
    </row>
    <row r="1769" spans="1:12" s="10" customFormat="1" ht="18" customHeight="1">
      <c r="B1769" s="12" t="s">
        <v>3943</v>
      </c>
      <c r="C1769" s="12"/>
      <c r="D1769" s="12"/>
      <c r="G1769" s="9" t="s">
        <v>6061</v>
      </c>
      <c r="H1769" s="13"/>
      <c r="I1769" s="10" t="s">
        <v>6062</v>
      </c>
      <c r="J1769" s="25" t="e">
        <f>IF(shinsei_strtower13_PROGRAM_KIND__nintei__box="■",2,IF(OR(shinsei_strtower13_PROGRAM_KIND__hyouka__box="■",shinsei_strtower13_PROGRAM_KIND__sonota__box="■"),1,0))</f>
        <v>#NAME?</v>
      </c>
      <c r="K1769" s="10" t="s">
        <v>3946</v>
      </c>
    </row>
    <row r="1770" spans="1:12" s="10" customFormat="1" ht="18" customHeight="1">
      <c r="B1770" s="12" t="s">
        <v>3947</v>
      </c>
      <c r="C1770" s="12"/>
      <c r="D1770" s="12"/>
      <c r="G1770" s="9" t="s">
        <v>6063</v>
      </c>
      <c r="H1770" s="13"/>
    </row>
    <row r="1771" spans="1:12" s="10" customFormat="1" ht="18" customHeight="1">
      <c r="B1771" s="12" t="s">
        <v>4305</v>
      </c>
      <c r="C1771" s="12"/>
      <c r="D1771" s="12"/>
      <c r="G1771" s="9" t="s">
        <v>6064</v>
      </c>
      <c r="H1771" s="13"/>
    </row>
    <row r="1772" spans="1:12" s="10" customFormat="1" ht="18" customHeight="1">
      <c r="B1772" s="105" t="s">
        <v>6065</v>
      </c>
      <c r="C1772" s="105"/>
      <c r="D1772" s="105"/>
      <c r="E1772" s="24"/>
      <c r="F1772" s="24"/>
      <c r="G1772" s="9"/>
      <c r="H1772" s="12"/>
    </row>
    <row r="1773" spans="1:12" s="10" customFormat="1" ht="18" customHeight="1">
      <c r="C1773" s="10" t="s">
        <v>3951</v>
      </c>
      <c r="D1773" s="12"/>
      <c r="G1773" s="9" t="s">
        <v>6066</v>
      </c>
      <c r="H1773" s="13"/>
      <c r="K1773" s="10" t="s">
        <v>6067</v>
      </c>
      <c r="L1773" s="10" t="s">
        <v>3879</v>
      </c>
    </row>
    <row r="1774" spans="1:12" s="10" customFormat="1" ht="18" customHeight="1">
      <c r="C1774" s="12" t="s">
        <v>6068</v>
      </c>
      <c r="D1774" s="12"/>
      <c r="E1774" s="12"/>
      <c r="F1774" s="12"/>
      <c r="G1774" s="9" t="s">
        <v>6069</v>
      </c>
      <c r="H1774" s="13"/>
    </row>
    <row r="1775" spans="1:12" s="10" customFormat="1" ht="18" customHeight="1">
      <c r="C1775" s="12" t="s">
        <v>3957</v>
      </c>
      <c r="D1775" s="12"/>
      <c r="G1775" s="9"/>
      <c r="H1775" s="9"/>
      <c r="I1775" s="10" t="s">
        <v>6070</v>
      </c>
      <c r="J1775" s="25" t="e">
        <f>IF(shinsei_strtower13_prgo01_NAME="","",IF(shinsei_strtower13_prgo01_NINTEI_NO="","無","有"))</f>
        <v>#NAME?</v>
      </c>
      <c r="K1775" s="10" t="s">
        <v>3959</v>
      </c>
      <c r="L1775" s="10" t="s">
        <v>3879</v>
      </c>
    </row>
    <row r="1776" spans="1:12" s="10" customFormat="1" ht="18" customHeight="1">
      <c r="C1776" s="12" t="s">
        <v>3960</v>
      </c>
      <c r="D1776" s="12"/>
      <c r="G1776" s="9" t="s">
        <v>6071</v>
      </c>
      <c r="H1776" s="13"/>
      <c r="I1776" s="10" t="s">
        <v>6072</v>
      </c>
      <c r="J1776" s="25" t="e">
        <f>IF(shinsei_strtower13_prgo01_NINTEI_NO="","",shinsei_strtower13_prgo01_NINTEI_NO)</f>
        <v>#NAME?</v>
      </c>
      <c r="K1776" s="10" t="s">
        <v>3863</v>
      </c>
      <c r="L1776" s="10" t="s">
        <v>3879</v>
      </c>
    </row>
    <row r="1777" spans="2:12" s="10" customFormat="1" ht="18" customHeight="1">
      <c r="C1777" s="12" t="s">
        <v>3964</v>
      </c>
      <c r="D1777" s="12"/>
      <c r="G1777" s="9" t="s">
        <v>6073</v>
      </c>
      <c r="H1777" s="74"/>
      <c r="I1777" s="10" t="s">
        <v>6074</v>
      </c>
      <c r="J1777" s="25" t="e">
        <f>IF(shinsei_strtower13_prgo01_NINTEI_DATE="","",TEXT(shinsei_strtower13_prgo01_NINTEI_DATE,"ggge年m月d日")&amp;"  ")</f>
        <v>#NAME?</v>
      </c>
    </row>
    <row r="1778" spans="2:12" s="10" customFormat="1" ht="18" customHeight="1">
      <c r="C1778" s="12" t="s">
        <v>6416</v>
      </c>
      <c r="D1778" s="12"/>
      <c r="G1778" s="9" t="s">
        <v>6075</v>
      </c>
      <c r="H1778" s="13"/>
    </row>
    <row r="1779" spans="2:12" s="10" customFormat="1" ht="18" customHeight="1">
      <c r="C1779" s="12" t="s">
        <v>3970</v>
      </c>
      <c r="D1779" s="12"/>
      <c r="G1779" s="9"/>
      <c r="H1779" s="12"/>
      <c r="I1779" s="9" t="s">
        <v>6076</v>
      </c>
      <c r="J1779" s="25" t="e">
        <f>IF(shinsei_strtower13_prgo01_NAME="","",shinsei_strtower13_prgo01_NAME)&amp;CHAR(10)&amp;IF(shinsei_strtower13_prgo01_VER="","","Ver."&amp;shinsei_strtower13_prgo01_VER&amp;CHAR(10))</f>
        <v>#NAME?</v>
      </c>
    </row>
    <row r="1780" spans="2:12" s="10" customFormat="1" ht="18" customHeight="1">
      <c r="C1780" s="12" t="s">
        <v>3972</v>
      </c>
      <c r="D1780" s="12"/>
      <c r="G1780" s="9"/>
      <c r="H1780" s="12"/>
      <c r="I1780" s="9" t="s">
        <v>6077</v>
      </c>
      <c r="J1780" s="25" t="e">
        <f>IF(shinsei_strtower13_prgo01_NAME="","",shinsei_strtower13_prgo01_NAME&amp;" ")&amp;IF(shinsei_strtower13_prgo01_VER="","","Ver."&amp;shinsei_strtower13_prgo01_VER&amp;"  ")</f>
        <v>#NAME?</v>
      </c>
    </row>
    <row r="1781" spans="2:12" s="10" customFormat="1" ht="18" customHeight="1">
      <c r="C1781" s="12" t="s">
        <v>3974</v>
      </c>
      <c r="D1781" s="12"/>
      <c r="G1781" s="9"/>
      <c r="H1781" s="12"/>
    </row>
    <row r="1782" spans="2:12" s="10" customFormat="1" ht="18" customHeight="1">
      <c r="D1782" s="12" t="s">
        <v>3976</v>
      </c>
      <c r="G1782" s="9"/>
      <c r="H1782" s="12"/>
      <c r="I1782" s="9" t="s">
        <v>6078</v>
      </c>
      <c r="J1782" s="173" t="e">
        <f>IF(cst_shinsei_strtower13_prgo01_NINTEI__umu="有",IF(shinsei_strtower13_prgo01_MAKER_NAME="","",shinsei_strtower13_prgo01_MAKER_NAME&amp;"  "),"")</f>
        <v>#NAME?</v>
      </c>
    </row>
    <row r="1783" spans="2:12" s="10" customFormat="1" ht="18" customHeight="1">
      <c r="B1783" s="12"/>
      <c r="D1783" s="12" t="s">
        <v>3972</v>
      </c>
      <c r="G1783" s="9"/>
      <c r="H1783" s="12"/>
      <c r="I1783" s="9" t="s">
        <v>6079</v>
      </c>
      <c r="J1783" s="25" t="e">
        <f>IF(cst_shinsei_strtower13_prgo01_NINTEI__umu="有",IF(shinsei_strtower13_prgo01_NAME="","",shinsei_strtower13_prgo01_NAME&amp;" ")&amp;IF(shinsei_strtower13_prgo01_VER="","","Ver."&amp;shinsei_strtower13_prgo01_VER&amp;"  "),"")</f>
        <v>#NAME?</v>
      </c>
    </row>
    <row r="1784" spans="2:12" s="10" customFormat="1" ht="18" customHeight="1">
      <c r="C1784" s="12" t="s">
        <v>3981</v>
      </c>
      <c r="D1784" s="12"/>
      <c r="G1784" s="9"/>
      <c r="H1784" s="12"/>
    </row>
    <row r="1785" spans="2:12" s="10" customFormat="1" ht="18" customHeight="1">
      <c r="B1785" s="12"/>
      <c r="D1785" s="12" t="s">
        <v>3976</v>
      </c>
      <c r="G1785" s="9"/>
      <c r="H1785" s="12"/>
      <c r="I1785" s="9" t="s">
        <v>6080</v>
      </c>
      <c r="J1785" s="173" t="e">
        <f>IF(cst_shinsei_strtower13_prgo01_NINTEI__umu="無",IF(shinsei_strtower13_prgo01_MAKER_NAME="","",shinsei_strtower13_prgo01_MAKER_NAME&amp;"  "),"")</f>
        <v>#NAME?</v>
      </c>
    </row>
    <row r="1786" spans="2:12" s="10" customFormat="1" ht="18" customHeight="1">
      <c r="B1786" s="12"/>
      <c r="D1786" s="12" t="s">
        <v>3972</v>
      </c>
      <c r="G1786" s="9"/>
      <c r="H1786" s="12"/>
      <c r="I1786" s="9" t="s">
        <v>6081</v>
      </c>
      <c r="J1786" s="25" t="e">
        <f>IF(cst_shinsei_strtower13_prgo01_NINTEI__umu="無",IF(shinsei_strtower13_prgo01_NAME="","",shinsei_strtower13_prgo01_NAME&amp;" ")&amp;IF(shinsei_strtower13_prgo01_VER="","","Ver."&amp;shinsei_strtower13_prgo01_VER&amp;"  "),"")</f>
        <v>#NAME?</v>
      </c>
    </row>
    <row r="1787" spans="2:12" s="10" customFormat="1" ht="18" customHeight="1">
      <c r="B1787" s="105" t="s">
        <v>6539</v>
      </c>
      <c r="C1787" s="105"/>
      <c r="D1787" s="105"/>
      <c r="E1787" s="24"/>
      <c r="F1787" s="24"/>
      <c r="G1787" s="9"/>
      <c r="H1787" s="12"/>
    </row>
    <row r="1788" spans="2:12" s="10" customFormat="1" ht="18" customHeight="1">
      <c r="C1788" s="10" t="s">
        <v>3951</v>
      </c>
      <c r="D1788" s="12"/>
      <c r="G1788" s="9" t="s">
        <v>6082</v>
      </c>
      <c r="H1788" s="13"/>
      <c r="K1788" s="10" t="s">
        <v>3863</v>
      </c>
      <c r="L1788" s="10" t="s">
        <v>3879</v>
      </c>
    </row>
    <row r="1789" spans="2:12" s="10" customFormat="1" ht="18" customHeight="1">
      <c r="C1789" s="12" t="s">
        <v>4034</v>
      </c>
      <c r="D1789" s="12"/>
      <c r="G1789" s="9" t="s">
        <v>6083</v>
      </c>
      <c r="H1789" s="13"/>
    </row>
    <row r="1790" spans="2:12" s="10" customFormat="1" ht="18" customHeight="1">
      <c r="C1790" s="12" t="s">
        <v>3957</v>
      </c>
      <c r="D1790" s="12"/>
      <c r="G1790" s="9"/>
      <c r="H1790" s="9"/>
      <c r="I1790" s="10" t="s">
        <v>6084</v>
      </c>
      <c r="J1790" s="25" t="e">
        <f>IF(shinsei_strtower13_prgo02_NAME="","",IF(shinsei_strtower13_prgo02_NINTEI_NO="","無","有"))</f>
        <v>#NAME?</v>
      </c>
      <c r="K1790" s="10" t="s">
        <v>2941</v>
      </c>
      <c r="L1790" s="10" t="s">
        <v>3879</v>
      </c>
    </row>
    <row r="1791" spans="2:12" s="10" customFormat="1" ht="18" customHeight="1">
      <c r="C1791" s="12" t="s">
        <v>3960</v>
      </c>
      <c r="D1791" s="12"/>
      <c r="G1791" s="9" t="s">
        <v>6085</v>
      </c>
      <c r="H1791" s="13"/>
      <c r="J1791" s="10" t="s">
        <v>4791</v>
      </c>
      <c r="K1791" s="10" t="s">
        <v>3879</v>
      </c>
    </row>
    <row r="1792" spans="2:12" s="10" customFormat="1" ht="18" customHeight="1">
      <c r="C1792" s="12" t="s">
        <v>3964</v>
      </c>
      <c r="D1792" s="12"/>
      <c r="G1792" s="9" t="s">
        <v>6086</v>
      </c>
      <c r="H1792" s="74"/>
      <c r="I1792" s="10" t="s">
        <v>6087</v>
      </c>
      <c r="J1792" s="25" t="e">
        <f>IF(shinsei_strtower13_prgo02_NINTEI_DATE="","",shinsei_strtower13_prgo02_NINTEI_DATE)</f>
        <v>#NAME?</v>
      </c>
    </row>
    <row r="1793" spans="2:12" s="10" customFormat="1" ht="18" customHeight="1">
      <c r="C1793" s="12" t="s">
        <v>3968</v>
      </c>
      <c r="D1793" s="12"/>
      <c r="G1793" s="9" t="s">
        <v>6088</v>
      </c>
      <c r="H1793" s="13"/>
    </row>
    <row r="1794" spans="2:12" s="10" customFormat="1" ht="18" customHeight="1">
      <c r="C1794" s="12" t="s">
        <v>3970</v>
      </c>
      <c r="D1794" s="12"/>
      <c r="G1794" s="9"/>
      <c r="H1794" s="12"/>
      <c r="I1794" s="9" t="s">
        <v>6089</v>
      </c>
      <c r="J1794" s="25" t="e">
        <f>IF(shinsei_strtower13_prgo02_NAME="","",shinsei_strtower13_prgo02_NAME)&amp;CHAR(10)&amp;IF(shinsei_strtower13_prgo02_VER="","","Ver."&amp;shinsei_strtower13_prgo02_VER&amp;CHAR(10))</f>
        <v>#NAME?</v>
      </c>
    </row>
    <row r="1795" spans="2:12" s="10" customFormat="1" ht="18" customHeight="1">
      <c r="C1795" s="12" t="s">
        <v>3972</v>
      </c>
      <c r="D1795" s="12"/>
      <c r="G1795" s="9"/>
      <c r="H1795" s="12"/>
      <c r="I1795" s="9" t="s">
        <v>6090</v>
      </c>
      <c r="J1795" s="25" t="e">
        <f>IF(shinsei_strtower13_prgo02_NAME="","",shinsei_strtower13_prgo02_NAME&amp;" ")&amp;IF(shinsei_strtower13_prgo02_VER="","","Ver."&amp;shinsei_strtower13_prgo02_VER&amp;"  ")</f>
        <v>#NAME?</v>
      </c>
    </row>
    <row r="1796" spans="2:12" s="10" customFormat="1" ht="18" customHeight="1">
      <c r="C1796" s="12" t="s">
        <v>3974</v>
      </c>
      <c r="D1796" s="12"/>
      <c r="G1796" s="9"/>
      <c r="H1796" s="12"/>
    </row>
    <row r="1797" spans="2:12" s="10" customFormat="1" ht="18" customHeight="1">
      <c r="D1797" s="12" t="s">
        <v>6091</v>
      </c>
      <c r="G1797" s="9"/>
      <c r="H1797" s="12"/>
      <c r="I1797" s="9" t="s">
        <v>6092</v>
      </c>
      <c r="J1797" s="173" t="e">
        <f>IF(cst_shinsei_strtower13_prgo02_NINTEI__umu="有",IF(shinsei_strtower13_prgo02_MAKER_NAME="","",shinsei_strtower13_prgo02_MAKER_NAME&amp;"  "),"")</f>
        <v>#NAME?</v>
      </c>
    </row>
    <row r="1798" spans="2:12" s="10" customFormat="1" ht="18" customHeight="1">
      <c r="D1798" s="12" t="s">
        <v>3972</v>
      </c>
      <c r="G1798" s="9"/>
      <c r="H1798" s="12"/>
      <c r="I1798" s="9" t="s">
        <v>6093</v>
      </c>
      <c r="J1798" s="25" t="e">
        <f>IF(cst_shinsei_strtower13_prgo02_NINTEI__umu="有",IF(shinsei_strtower13_prgo02_NAME="","",shinsei_strtower13_prgo02_NAME&amp;" ")&amp;IF(shinsei_strtower13_prgo02_VER="","","Ver."&amp;shinsei_strtower13_prgo02_VER&amp;"  "),"")</f>
        <v>#NAME?</v>
      </c>
    </row>
    <row r="1799" spans="2:12" s="10" customFormat="1" ht="18" customHeight="1">
      <c r="C1799" s="12" t="s">
        <v>3981</v>
      </c>
      <c r="D1799" s="12"/>
      <c r="G1799" s="9"/>
      <c r="H1799" s="12"/>
    </row>
    <row r="1800" spans="2:12" s="10" customFormat="1" ht="18" customHeight="1">
      <c r="D1800" s="12" t="s">
        <v>3976</v>
      </c>
      <c r="G1800" s="9"/>
      <c r="H1800" s="12"/>
      <c r="I1800" s="9" t="s">
        <v>6094</v>
      </c>
      <c r="J1800" s="173" t="e">
        <f>IF(cst_shinsei_strtower13_prgo02_NINTEI__umu="無",IF(shinsei_strtower13_prgo02_MAKER_NAME="","",shinsei_strtower13_prgo02_MAKER_NAME&amp;"  "),"")</f>
        <v>#NAME?</v>
      </c>
    </row>
    <row r="1801" spans="2:12" s="10" customFormat="1" ht="18" customHeight="1">
      <c r="D1801" s="12" t="s">
        <v>3972</v>
      </c>
      <c r="G1801" s="9"/>
      <c r="H1801" s="12"/>
      <c r="I1801" s="9" t="s">
        <v>6095</v>
      </c>
      <c r="J1801" s="25" t="e">
        <f>IF(cst_shinsei_strtower13_prgo02_NINTEI__umu="無",IF(shinsei_strtower13_prgo02_NAME="","",shinsei_strtower13_prgo02_NAME&amp;" ")&amp;IF(shinsei_strtower13_prgo02_VER="","","Ver."&amp;shinsei_strtower13_prgo02_VER&amp;"  "),"")</f>
        <v>#NAME?</v>
      </c>
    </row>
    <row r="1802" spans="2:12" s="10" customFormat="1" ht="18" customHeight="1">
      <c r="B1802" s="105" t="s">
        <v>5330</v>
      </c>
      <c r="C1802" s="105"/>
      <c r="D1802" s="105"/>
      <c r="E1802" s="24"/>
      <c r="F1802" s="24"/>
      <c r="G1802" s="9"/>
      <c r="H1802" s="12"/>
    </row>
    <row r="1803" spans="2:12" s="10" customFormat="1" ht="18" customHeight="1">
      <c r="C1803" s="10" t="s">
        <v>3951</v>
      </c>
      <c r="D1803" s="12"/>
      <c r="G1803" s="9" t="s">
        <v>6096</v>
      </c>
      <c r="H1803" s="13"/>
    </row>
    <row r="1804" spans="2:12" s="10" customFormat="1" ht="18" customHeight="1">
      <c r="C1804" s="12" t="s">
        <v>4034</v>
      </c>
      <c r="D1804" s="12"/>
      <c r="G1804" s="9" t="s">
        <v>6097</v>
      </c>
      <c r="H1804" s="13"/>
    </row>
    <row r="1805" spans="2:12" s="10" customFormat="1" ht="18" customHeight="1">
      <c r="C1805" s="12" t="s">
        <v>3957</v>
      </c>
      <c r="D1805" s="12"/>
      <c r="G1805" s="9"/>
      <c r="H1805" s="9"/>
      <c r="I1805" s="10" t="s">
        <v>6098</v>
      </c>
      <c r="J1805" s="25" t="e">
        <f>IF(shinsei_strtower13_prgo03_NAME="","",IF(shinsei_strtower13_prgo03_NINTEI_NO="","無","有"))</f>
        <v>#NAME?</v>
      </c>
      <c r="K1805" s="10" t="s">
        <v>2941</v>
      </c>
      <c r="L1805" s="10" t="s">
        <v>3879</v>
      </c>
    </row>
    <row r="1806" spans="2:12" s="10" customFormat="1" ht="18" customHeight="1">
      <c r="C1806" s="12" t="s">
        <v>3960</v>
      </c>
      <c r="D1806" s="12"/>
      <c r="G1806" s="9" t="s">
        <v>6099</v>
      </c>
      <c r="H1806" s="13"/>
      <c r="K1806" s="10" t="s">
        <v>3863</v>
      </c>
      <c r="L1806" s="10" t="s">
        <v>3879</v>
      </c>
    </row>
    <row r="1807" spans="2:12" s="10" customFormat="1" ht="18" customHeight="1">
      <c r="C1807" s="12" t="s">
        <v>3964</v>
      </c>
      <c r="D1807" s="12"/>
      <c r="G1807" s="9" t="s">
        <v>6100</v>
      </c>
      <c r="H1807" s="74"/>
      <c r="I1807" s="10" t="s">
        <v>6101</v>
      </c>
      <c r="J1807" s="25" t="e">
        <f>IF(shinsei_strtower13_prgo03_NINTEI_DATE="","",TEXT(shinsei_strtower13_prgo03_NINTEI_DATE,"ggge年m月d日")&amp;"  ")</f>
        <v>#NAME?</v>
      </c>
    </row>
    <row r="1808" spans="2:12" s="10" customFormat="1" ht="18" customHeight="1">
      <c r="C1808" s="12" t="s">
        <v>7303</v>
      </c>
      <c r="D1808" s="12"/>
      <c r="G1808" s="9" t="s">
        <v>6102</v>
      </c>
      <c r="H1808" s="13"/>
      <c r="I1808" s="9"/>
      <c r="J1808" s="9"/>
    </row>
    <row r="1809" spans="2:12" s="10" customFormat="1" ht="18" customHeight="1">
      <c r="C1809" s="12" t="s">
        <v>3970</v>
      </c>
      <c r="D1809" s="12"/>
      <c r="G1809" s="9"/>
      <c r="H1809" s="12"/>
      <c r="I1809" s="9" t="s">
        <v>6103</v>
      </c>
      <c r="J1809" s="25" t="e">
        <f>IF(shinsei_strtower13_prgo03_NAME="","",shinsei_strtower13_prgo03_NAME)&amp;CHAR(10)&amp;IF(shinsei_strtower13_prgo03_VER="","","Ver."&amp;shinsei_strtower13_prgo03_VER&amp;CHAR(10))</f>
        <v>#NAME?</v>
      </c>
    </row>
    <row r="1810" spans="2:12" s="10" customFormat="1" ht="18" customHeight="1">
      <c r="C1810" s="12" t="s">
        <v>3972</v>
      </c>
      <c r="D1810" s="12"/>
      <c r="G1810" s="9"/>
      <c r="H1810" s="12"/>
      <c r="I1810" s="9" t="s">
        <v>6104</v>
      </c>
      <c r="J1810" s="25" t="e">
        <f>IF(shinsei_strtower13_prgo03_NAME="","",shinsei_strtower13_prgo03_NAME&amp;" ")&amp;IF(shinsei_strtower13_prgo03_VER="","","Ver."&amp;shinsei_strtower13_prgo03_VER&amp;"  ")</f>
        <v>#NAME?</v>
      </c>
    </row>
    <row r="1811" spans="2:12" s="10" customFormat="1" ht="18" customHeight="1">
      <c r="C1811" s="12" t="s">
        <v>3974</v>
      </c>
      <c r="D1811" s="12"/>
      <c r="G1811" s="9"/>
      <c r="H1811" s="12"/>
    </row>
    <row r="1812" spans="2:12" s="10" customFormat="1" ht="18" customHeight="1">
      <c r="D1812" s="12" t="s">
        <v>3975</v>
      </c>
      <c r="G1812" s="9"/>
      <c r="H1812" s="12"/>
      <c r="I1812" s="9" t="s">
        <v>6105</v>
      </c>
      <c r="J1812" s="173" t="e">
        <f>IF(cst_shinsei_strtower13_prgo03_NINTEI__umu="有",IF(shinsei_strtower13_prgo03_MAKER_NAME="","",shinsei_strtower13_prgo03_MAKER_NAME&amp;"  "),"")</f>
        <v>#NAME?</v>
      </c>
    </row>
    <row r="1813" spans="2:12" s="10" customFormat="1" ht="18" customHeight="1">
      <c r="D1813" s="12" t="s">
        <v>3972</v>
      </c>
      <c r="G1813" s="9"/>
      <c r="H1813" s="12"/>
      <c r="I1813" s="9" t="s">
        <v>6106</v>
      </c>
      <c r="J1813" s="25" t="e">
        <f>IF(cst_shinsei_strtower13_prgo03_NINTEI__umu="有",IF(shinsei_strtower13_prgo03_NAME="","",shinsei_strtower13_prgo03_NAME&amp;" ")&amp;IF(shinsei_strtower13_prgo03_VER="","","Ver."&amp;shinsei_strtower13_prgo03_VER&amp;"  "),"")</f>
        <v>#NAME?</v>
      </c>
    </row>
    <row r="1814" spans="2:12" s="10" customFormat="1" ht="18" customHeight="1">
      <c r="C1814" s="12" t="s">
        <v>3981</v>
      </c>
      <c r="D1814" s="12"/>
      <c r="G1814" s="9"/>
      <c r="H1814" s="12"/>
    </row>
    <row r="1815" spans="2:12" s="10" customFormat="1" ht="18" customHeight="1">
      <c r="D1815" s="12" t="s">
        <v>4026</v>
      </c>
      <c r="G1815" s="9"/>
      <c r="H1815" s="12"/>
      <c r="I1815" s="9" t="s">
        <v>6107</v>
      </c>
      <c r="J1815" s="173" t="e">
        <f>IF(cst_shinsei_strtower13_prgo03_NINTEI__umu="無",IF(shinsei_strtower13_prgo03_MAKER_NAME="","",shinsei_strtower13_prgo03_MAKER_NAME&amp;"  "),"")</f>
        <v>#NAME?</v>
      </c>
    </row>
    <row r="1816" spans="2:12" s="10" customFormat="1" ht="18" customHeight="1">
      <c r="D1816" s="12" t="s">
        <v>3972</v>
      </c>
      <c r="G1816" s="9"/>
      <c r="H1816" s="12"/>
      <c r="I1816" s="9" t="s">
        <v>6108</v>
      </c>
      <c r="J1816" s="25" t="e">
        <f>IF(cst_shinsei_strtower13_prgo03_NINTEI__umu="無",IF(shinsei_strtower13_prgo03_NAME="","",shinsei_strtower13_prgo03_NAME&amp;" ")&amp;IF(shinsei_strtower13_prgo03_VER="","","Ver."&amp;shinsei_strtower13_prgo03_VER&amp;"  "),"")</f>
        <v>#NAME?</v>
      </c>
    </row>
    <row r="1817" spans="2:12" s="10" customFormat="1" ht="18" customHeight="1">
      <c r="B1817" s="105" t="s">
        <v>6109</v>
      </c>
      <c r="C1817" s="105"/>
      <c r="D1817" s="105"/>
      <c r="E1817" s="24"/>
      <c r="F1817" s="24"/>
      <c r="G1817" s="9"/>
      <c r="H1817" s="12"/>
    </row>
    <row r="1818" spans="2:12" s="10" customFormat="1" ht="18" customHeight="1">
      <c r="C1818" s="10" t="s">
        <v>3951</v>
      </c>
      <c r="D1818" s="12"/>
      <c r="G1818" s="9" t="s">
        <v>6110</v>
      </c>
      <c r="H1818" s="13"/>
    </row>
    <row r="1819" spans="2:12" s="10" customFormat="1" ht="18" customHeight="1">
      <c r="C1819" s="12" t="s">
        <v>6111</v>
      </c>
      <c r="D1819" s="12"/>
      <c r="G1819" s="9" t="s">
        <v>6112</v>
      </c>
      <c r="H1819" s="13"/>
    </row>
    <row r="1820" spans="2:12" s="10" customFormat="1" ht="18" customHeight="1">
      <c r="C1820" s="12" t="s">
        <v>3957</v>
      </c>
      <c r="D1820" s="12"/>
      <c r="G1820" s="9"/>
      <c r="H1820" s="9"/>
      <c r="I1820" s="10" t="s">
        <v>6113</v>
      </c>
      <c r="J1820" s="25" t="e">
        <f>IF(shinsei_strtower13_prgo04_NAME="","",IF(shinsei_strtower13_prgo04_NINTEI_NO="","無","有"))</f>
        <v>#NAME?</v>
      </c>
      <c r="K1820" s="10" t="s">
        <v>2941</v>
      </c>
      <c r="L1820" s="10" t="s">
        <v>3879</v>
      </c>
    </row>
    <row r="1821" spans="2:12" s="10" customFormat="1" ht="18" customHeight="1">
      <c r="C1821" s="12" t="s">
        <v>3960</v>
      </c>
      <c r="D1821" s="12"/>
      <c r="G1821" s="9" t="s">
        <v>6114</v>
      </c>
      <c r="H1821" s="13"/>
      <c r="K1821" s="10" t="s">
        <v>6056</v>
      </c>
      <c r="L1821" s="10" t="s">
        <v>3879</v>
      </c>
    </row>
    <row r="1822" spans="2:12" s="10" customFormat="1" ht="18" customHeight="1">
      <c r="C1822" s="12" t="s">
        <v>3964</v>
      </c>
      <c r="D1822" s="12"/>
      <c r="G1822" s="9" t="s">
        <v>6115</v>
      </c>
      <c r="H1822" s="74"/>
      <c r="I1822" s="10" t="s">
        <v>6116</v>
      </c>
      <c r="J1822" s="25" t="e">
        <f>IF(shinsei_strtower13_prgo04_NINTEI_DATE="","",TEXT(shinsei_strtower13_prgo04_NINTEI_DATE,"ggge年m月d日")&amp;"  ")</f>
        <v>#NAME?</v>
      </c>
    </row>
    <row r="1823" spans="2:12" s="10" customFormat="1" ht="18" customHeight="1">
      <c r="C1823" s="12" t="s">
        <v>3968</v>
      </c>
      <c r="D1823" s="12"/>
      <c r="G1823" s="9" t="s">
        <v>6117</v>
      </c>
      <c r="H1823" s="13"/>
      <c r="I1823" s="9"/>
      <c r="J1823" s="9"/>
    </row>
    <row r="1824" spans="2:12" s="10" customFormat="1" ht="18" customHeight="1">
      <c r="C1824" s="12" t="s">
        <v>3970</v>
      </c>
      <c r="D1824" s="12"/>
      <c r="G1824" s="9"/>
      <c r="H1824" s="12"/>
      <c r="I1824" s="9" t="s">
        <v>6118</v>
      </c>
      <c r="J1824" s="25" t="e">
        <f>IF(shinsei_strtower13_prgo04_NAME="","",shinsei_strtower13_prgo04_NAME)&amp;CHAR(10)&amp;IF(shinsei_strtower13_prgo04_VER="","","Ver."&amp;shinsei_strtower13_prgo04_VER&amp;CHAR(10))</f>
        <v>#NAME?</v>
      </c>
    </row>
    <row r="1825" spans="2:12" s="10" customFormat="1" ht="18" customHeight="1">
      <c r="C1825" s="12" t="s">
        <v>3972</v>
      </c>
      <c r="D1825" s="12"/>
      <c r="G1825" s="9"/>
      <c r="H1825" s="12"/>
      <c r="I1825" s="9" t="s">
        <v>6119</v>
      </c>
      <c r="J1825" s="25" t="e">
        <f>IF(shinsei_strtower13_prgo04_NAME="","",shinsei_strtower13_prgo04_NAME&amp;" ")&amp;IF(shinsei_strtower13_prgo04_VER="","","Ver."&amp;shinsei_strtower13_prgo04_VER&amp;"  ")</f>
        <v>#NAME?</v>
      </c>
    </row>
    <row r="1826" spans="2:12" s="10" customFormat="1" ht="18" customHeight="1">
      <c r="C1826" s="12" t="s">
        <v>3974</v>
      </c>
      <c r="D1826" s="12"/>
      <c r="G1826" s="9"/>
      <c r="H1826" s="12"/>
    </row>
    <row r="1827" spans="2:12" s="10" customFormat="1" ht="18" customHeight="1">
      <c r="D1827" s="12" t="s">
        <v>3976</v>
      </c>
      <c r="G1827" s="9"/>
      <c r="H1827" s="12"/>
      <c r="I1827" s="9" t="s">
        <v>6120</v>
      </c>
      <c r="J1827" s="173" t="e">
        <f>IF(cst_shinsei_strtower13_prgo04_NINTEI__umu="有",IF(shinsei_strtower13_prgo04_MAKER_NAME="","",shinsei_strtower13_prgo04_MAKER_NAME&amp;"  "),"")</f>
        <v>#NAME?</v>
      </c>
    </row>
    <row r="1828" spans="2:12" s="10" customFormat="1" ht="18" customHeight="1">
      <c r="D1828" s="12" t="s">
        <v>3972</v>
      </c>
      <c r="G1828" s="9"/>
      <c r="H1828" s="12"/>
      <c r="I1828" s="9" t="s">
        <v>6121</v>
      </c>
      <c r="J1828" s="25" t="e">
        <f>IF(cst_shinsei_strtower13_prgo04_NINTEI__umu="有",IF(shinsei_strtower13_prgo04_NAME="","",shinsei_strtower13_prgo04_NAME&amp;" ")&amp;IF(shinsei_strtower13_prgo04_VER="","","Ver."&amp;shinsei_strtower13_prgo04_VER&amp;"  "),"")</f>
        <v>#NAME?</v>
      </c>
    </row>
    <row r="1829" spans="2:12" s="10" customFormat="1" ht="18" customHeight="1">
      <c r="C1829" s="12" t="s">
        <v>3981</v>
      </c>
      <c r="D1829" s="12"/>
      <c r="G1829" s="9"/>
      <c r="H1829" s="12"/>
    </row>
    <row r="1830" spans="2:12" s="10" customFormat="1" ht="18" customHeight="1">
      <c r="D1830" s="12" t="s">
        <v>3976</v>
      </c>
      <c r="G1830" s="9"/>
      <c r="H1830" s="12"/>
      <c r="I1830" s="9" t="s">
        <v>6122</v>
      </c>
      <c r="J1830" s="173" t="e">
        <f>IF(cst_shinsei_strtower13_prgo04_NINTEI__umu="無",IF(shinsei_strtower13_prgo04_MAKER_NAME="","",shinsei_strtower13_prgo04_MAKER_NAME&amp;"  "),"")</f>
        <v>#NAME?</v>
      </c>
    </row>
    <row r="1831" spans="2:12" s="10" customFormat="1" ht="18" customHeight="1">
      <c r="D1831" s="12" t="s">
        <v>3972</v>
      </c>
      <c r="G1831" s="9"/>
      <c r="H1831" s="12"/>
      <c r="I1831" s="9" t="s">
        <v>6123</v>
      </c>
      <c r="J1831" s="25" t="e">
        <f>IF(cst_shinsei_strtower13_prgo04_NINTEI__umu="無",IF(shinsei_strtower13_prgo04_NAME="","",shinsei_strtower13_prgo04_NAME&amp;" ")&amp;IF(shinsei_strtower13_prgo04_VER="","","Ver."&amp;shinsei_strtower13_prgo04_VER&amp;"  "),"")</f>
        <v>#NAME?</v>
      </c>
    </row>
    <row r="1832" spans="2:12" s="10" customFormat="1" ht="18" customHeight="1">
      <c r="B1832" s="105" t="s">
        <v>4802</v>
      </c>
      <c r="C1832" s="105"/>
      <c r="D1832" s="105"/>
      <c r="E1832" s="24"/>
      <c r="F1832" s="24"/>
      <c r="G1832" s="9"/>
      <c r="H1832" s="12"/>
    </row>
    <row r="1833" spans="2:12" s="10" customFormat="1" ht="18" customHeight="1">
      <c r="C1833" s="10" t="s">
        <v>3951</v>
      </c>
      <c r="D1833" s="12"/>
      <c r="G1833" s="9" t="s">
        <v>6124</v>
      </c>
      <c r="H1833" s="13"/>
    </row>
    <row r="1834" spans="2:12" s="10" customFormat="1" ht="18" customHeight="1">
      <c r="C1834" s="12" t="s">
        <v>4034</v>
      </c>
      <c r="D1834" s="12"/>
      <c r="G1834" s="9" t="s">
        <v>6125</v>
      </c>
      <c r="H1834" s="13"/>
    </row>
    <row r="1835" spans="2:12" s="10" customFormat="1" ht="18" customHeight="1">
      <c r="C1835" s="12" t="s">
        <v>3957</v>
      </c>
      <c r="D1835" s="12"/>
      <c r="G1835" s="9"/>
      <c r="H1835" s="9"/>
      <c r="I1835" s="10" t="s">
        <v>6126</v>
      </c>
      <c r="J1835" s="25" t="e">
        <f>IF(shinsei_strtower13_prgo05_NAME="","",IF(shinsei_strtower13_prgo05_NINTEI_NO="","無","有"))</f>
        <v>#NAME?</v>
      </c>
      <c r="K1835" s="10" t="s">
        <v>2941</v>
      </c>
      <c r="L1835" s="10" t="s">
        <v>3879</v>
      </c>
    </row>
    <row r="1836" spans="2:12" s="10" customFormat="1" ht="18" customHeight="1">
      <c r="C1836" s="12" t="s">
        <v>3960</v>
      </c>
      <c r="D1836" s="12"/>
      <c r="G1836" s="9" t="s">
        <v>6127</v>
      </c>
      <c r="H1836" s="13"/>
      <c r="K1836" s="10" t="s">
        <v>3863</v>
      </c>
      <c r="L1836" s="10" t="s">
        <v>3879</v>
      </c>
    </row>
    <row r="1837" spans="2:12" s="10" customFormat="1" ht="18" customHeight="1">
      <c r="C1837" s="12" t="s">
        <v>3964</v>
      </c>
      <c r="D1837" s="12"/>
      <c r="G1837" s="9" t="s">
        <v>6128</v>
      </c>
      <c r="H1837" s="74"/>
      <c r="I1837" s="10" t="s">
        <v>6129</v>
      </c>
      <c r="J1837" s="25" t="e">
        <f>IF(shinsei_strtower13_prgo05_NINTEI_DATE="","",TEXT(shinsei_strtower13_prgo05_NINTEI_DATE,"ggge年m月d日")&amp;"  ")</f>
        <v>#NAME?</v>
      </c>
    </row>
    <row r="1838" spans="2:12" s="10" customFormat="1" ht="18" customHeight="1">
      <c r="C1838" s="12" t="s">
        <v>3968</v>
      </c>
      <c r="D1838" s="12"/>
      <c r="G1838" s="9" t="s">
        <v>6130</v>
      </c>
      <c r="H1838" s="13"/>
    </row>
    <row r="1839" spans="2:12" s="10" customFormat="1" ht="18" customHeight="1">
      <c r="C1839" s="12" t="s">
        <v>3970</v>
      </c>
      <c r="D1839" s="12"/>
      <c r="G1839" s="9"/>
      <c r="H1839" s="12"/>
      <c r="I1839" s="9" t="s">
        <v>6131</v>
      </c>
      <c r="J1839" s="25" t="e">
        <f>IF(shinsei_strtower13_prgo05_NAME="","",shinsei_strtower13_prgo05_NAME)&amp;CHAR(10)&amp;IF(shinsei_strtower13_prgo05_VER="","","Ver."&amp;shinsei_strtower13_prgo05_VER&amp;CHAR(10))</f>
        <v>#NAME?</v>
      </c>
    </row>
    <row r="1840" spans="2:12" s="10" customFormat="1" ht="18" customHeight="1">
      <c r="C1840" s="12" t="s">
        <v>3972</v>
      </c>
      <c r="D1840" s="12"/>
      <c r="G1840" s="9"/>
      <c r="H1840" s="12"/>
      <c r="I1840" s="9" t="s">
        <v>6132</v>
      </c>
      <c r="J1840" s="25" t="e">
        <f>IF(shinsei_strtower13_prgo05_NAME="","",shinsei_strtower13_prgo05_NAME&amp;" ")&amp;IF(shinsei_strtower13_prgo05_VER="","","Ver."&amp;shinsei_strtower13_prgo05_VER&amp;"  ")</f>
        <v>#NAME?</v>
      </c>
    </row>
    <row r="1841" spans="2:10" s="10" customFormat="1" ht="18" customHeight="1">
      <c r="C1841" s="12" t="s">
        <v>3974</v>
      </c>
      <c r="D1841" s="12"/>
      <c r="G1841" s="9"/>
      <c r="H1841" s="12"/>
    </row>
    <row r="1842" spans="2:10" s="10" customFormat="1" ht="18" customHeight="1">
      <c r="D1842" s="12" t="s">
        <v>6133</v>
      </c>
      <c r="G1842" s="9"/>
      <c r="H1842" s="12"/>
      <c r="I1842" s="9" t="s">
        <v>6134</v>
      </c>
      <c r="J1842" s="173" t="e">
        <f>IF(cst_shinsei_strtower13_prgo05_NINTEI__umu="有",IF(shinsei_strtower13_prgo05_MAKER_NAME="","",shinsei_strtower13_prgo05_MAKER_NAME&amp;"  "),"")</f>
        <v>#NAME?</v>
      </c>
    </row>
    <row r="1843" spans="2:10" s="10" customFormat="1" ht="18" customHeight="1">
      <c r="D1843" s="12" t="s">
        <v>3972</v>
      </c>
      <c r="G1843" s="9"/>
      <c r="H1843" s="12"/>
      <c r="I1843" s="9" t="s">
        <v>6135</v>
      </c>
      <c r="J1843" s="25" t="e">
        <f>IF(cst_shinsei_strtower13_prgo05_NINTEI__umu="有",IF(shinsei_strtower13_prgo05_NAME="","",shinsei_strtower13_prgo05_NAME&amp;" ")&amp;IF(shinsei_strtower13_prgo05_VER="","","Ver."&amp;shinsei_strtower13_prgo05_VER&amp;"  "),"")</f>
        <v>#NAME?</v>
      </c>
    </row>
    <row r="1844" spans="2:10" s="10" customFormat="1" ht="18" customHeight="1">
      <c r="C1844" s="12" t="s">
        <v>3981</v>
      </c>
      <c r="D1844" s="12"/>
      <c r="G1844" s="9"/>
      <c r="H1844" s="12"/>
    </row>
    <row r="1845" spans="2:10" s="10" customFormat="1" ht="18" customHeight="1">
      <c r="D1845" s="12" t="s">
        <v>7204</v>
      </c>
      <c r="G1845" s="9"/>
      <c r="H1845" s="12"/>
      <c r="I1845" s="9" t="s">
        <v>6136</v>
      </c>
      <c r="J1845" s="173" t="e">
        <f>IF(cst_shinsei_strtower13_prgo05_NINTEI__umu="無",IF(shinsei_strtower13_prgo05_MAKER_NAME="","",shinsei_strtower13_prgo05_MAKER_NAME&amp;"  "),"")</f>
        <v>#NAME?</v>
      </c>
    </row>
    <row r="1846" spans="2:10" s="10" customFormat="1" ht="18" customHeight="1">
      <c r="D1846" s="12" t="s">
        <v>3972</v>
      </c>
      <c r="G1846" s="9"/>
      <c r="H1846" s="12"/>
      <c r="I1846" s="9" t="s">
        <v>6137</v>
      </c>
      <c r="J1846" s="25" t="e">
        <f>IF(cst_shinsei_strtower13_prgo05_NINTEI__umu="無",IF(shinsei_strtower13_prgo05_NAME="","",shinsei_strtower13_prgo05_NAME&amp;" ")&amp;IF(shinsei_strtower13_prgo05_VER="","","Ver."&amp;shinsei_strtower13_prgo05_VER&amp;"  "),"")</f>
        <v>#NAME?</v>
      </c>
    </row>
    <row r="1847" spans="2:10" s="10" customFormat="1" ht="18" customHeight="1">
      <c r="B1847" s="13" t="s">
        <v>6138</v>
      </c>
      <c r="C1847" s="13"/>
      <c r="D1847" s="13"/>
      <c r="E1847" s="25"/>
      <c r="F1847" s="25"/>
      <c r="G1847" s="9"/>
      <c r="H1847" s="80"/>
      <c r="I1847" s="9"/>
      <c r="J1847" s="80"/>
    </row>
    <row r="1848" spans="2:10" s="10" customFormat="1" ht="18" customHeight="1">
      <c r="C1848" s="12" t="s">
        <v>3970</v>
      </c>
      <c r="D1848" s="12"/>
      <c r="G1848" s="9"/>
      <c r="H1848" s="80"/>
      <c r="I1848" s="166" t="s">
        <v>6139</v>
      </c>
      <c r="J1848" s="74" t="e">
        <f>cst_shinsei_strtower13_prgo01_NAME_VER&amp;cst_shinsei_strtower13_prgo02_NAME_VER&amp;cst_shinsei_strtower13_prgo03_NAME_VER&amp;cst_shinsei_strtower13_prgo04_NAME_VER&amp;cst_shinsei_strtower13_prgo05_NAME_VER</f>
        <v>#NAME?</v>
      </c>
    </row>
    <row r="1849" spans="2:10" s="10" customFormat="1" ht="18" customHeight="1">
      <c r="C1849" s="12" t="s">
        <v>3972</v>
      </c>
      <c r="D1849" s="12"/>
      <c r="G1849" s="9"/>
      <c r="H1849" s="80"/>
      <c r="I1849" s="166" t="s">
        <v>6140</v>
      </c>
      <c r="J1849" s="74" t="e">
        <f>cst_shinsei_strtower13_prgo01_NAME_VER__SP&amp;cst_shinsei_strtower13_prgo02_NAME_VER__SP&amp;cst_shinsei_strtower13_prgo03_NAME_VER__SP&amp;cst_shinsei_strtower13_prgo04_NAME_VER__SP&amp;cst_shinsei_strtower13_prgo05_NAME_VER__SP</f>
        <v>#NAME?</v>
      </c>
    </row>
    <row r="1850" spans="2:10" s="10" customFormat="1" ht="18" customHeight="1">
      <c r="B1850" s="13" t="s">
        <v>4068</v>
      </c>
      <c r="C1850" s="13"/>
      <c r="D1850" s="13"/>
      <c r="E1850" s="25"/>
      <c r="F1850" s="25"/>
      <c r="G1850" s="9"/>
      <c r="H1850" s="80"/>
      <c r="I1850" s="9"/>
      <c r="J1850" s="80"/>
    </row>
    <row r="1851" spans="2:10" s="10" customFormat="1" ht="18" customHeight="1">
      <c r="C1851" s="12" t="s">
        <v>3975</v>
      </c>
      <c r="D1851" s="12"/>
      <c r="G1851" s="9"/>
      <c r="H1851" s="80"/>
      <c r="I1851" s="166" t="s">
        <v>6141</v>
      </c>
      <c r="J1851" s="74" t="e">
        <f>cst_shinsei_strtower13_prgo01_MAKER__NINTEI_ari&amp;cst_shinsei_strtower13_prgo02_MAKER__NINTEI_ari&amp;cst_shinsei_strtower13_prgo03_MAKER__NINTEI_ari&amp;cst_shinsei_strtower13_prgo04_MAKER__NINTEI_ari&amp;cst_shinsei_strtower13_prgo05_MAKER__NINTEI_ari</f>
        <v>#NAME?</v>
      </c>
    </row>
    <row r="1852" spans="2:10" s="10" customFormat="1" ht="18" customHeight="1">
      <c r="C1852" s="12" t="s">
        <v>3972</v>
      </c>
      <c r="D1852" s="12"/>
      <c r="G1852" s="9"/>
      <c r="H1852" s="80"/>
      <c r="I1852" s="166" t="s">
        <v>6142</v>
      </c>
      <c r="J1852" s="173" t="e">
        <f>cst_shinsei_strtower13_prgo01_NAME_VER__NINTEI_ari&amp;cst_shinsei_strtower13_prgo02_NAME_VER__NINTEI_ari&amp;cst_shinsei_strtower13_prgo03_NAME_VER__NINTEI_ari&amp;cst_shinsei_strtower13_prgo04_NAME_VER__NINTEI_ari&amp;cst_shinsei_strtower13_prgo05_NAME_VER__NINTEI_ari</f>
        <v>#NAME?</v>
      </c>
    </row>
    <row r="1853" spans="2:10" s="10" customFormat="1" ht="18" customHeight="1">
      <c r="C1853" s="12" t="s">
        <v>3964</v>
      </c>
      <c r="D1853" s="12"/>
      <c r="G1853" s="9"/>
      <c r="H1853" s="80"/>
      <c r="I1853" s="166" t="s">
        <v>6143</v>
      </c>
      <c r="J1853" s="74" t="e">
        <f>cst_shinsei_strtower13_prgo01_NINTEI_DATE_dsp&amp;cst_shinsei_strtower13_prgo02_NINTEI_DATE_dsp&amp;cst_shinsei_strtower13_prgo03_NINTEI_DATE_dsp&amp;cst_shinsei_strtower13_prgo04_NINTEI_DATE_dsp&amp;cst_shinsei_strtower13_prgo05_NINTEI_DATE_dsp</f>
        <v>#NAME?</v>
      </c>
    </row>
    <row r="1854" spans="2:10" s="10" customFormat="1" ht="18" customHeight="1">
      <c r="B1854" s="13" t="s">
        <v>4072</v>
      </c>
      <c r="C1854" s="13"/>
      <c r="D1854" s="13"/>
      <c r="E1854" s="25"/>
      <c r="F1854" s="25"/>
      <c r="G1854" s="9"/>
      <c r="H1854" s="80"/>
      <c r="I1854" s="9"/>
      <c r="J1854" s="80"/>
    </row>
    <row r="1855" spans="2:10" s="10" customFormat="1" ht="18" customHeight="1">
      <c r="C1855" s="12" t="s">
        <v>3976</v>
      </c>
      <c r="D1855" s="12"/>
      <c r="G1855" s="9"/>
      <c r="H1855" s="80"/>
      <c r="I1855" s="166" t="s">
        <v>6144</v>
      </c>
      <c r="J1855" s="74" t="e">
        <f>cst_shinsei_strtower13_prgo01_MAKER__NINTEI_non&amp;cst_shinsei_strtower13_prgo02_MAKER__NINTEI_non&amp;cst_shinsei_strtower13_prgo03_MAKER__NINTEI_non&amp;cst_shinsei_strtower13_prgo04_MAKER__NINTEI_non&amp;cst_shinsei_strtower13_prgo05_MAKER__NINTEI_non</f>
        <v>#NAME?</v>
      </c>
    </row>
    <row r="1856" spans="2:10" s="10" customFormat="1" ht="18" customHeight="1">
      <c r="C1856" s="12" t="s">
        <v>3972</v>
      </c>
      <c r="D1856" s="12"/>
      <c r="G1856" s="9"/>
      <c r="H1856" s="80"/>
      <c r="I1856" s="166" t="s">
        <v>6145</v>
      </c>
      <c r="J1856" s="173" t="e">
        <f>cst_shinsei_strtower13_prgo01_NAME_VER__NINTEI_non&amp;cst_shinsei_strtower13_prgo02_NAME_VER__NINTEI_non&amp;cst_shinsei_strtower13_prgo03_NAME_VER__NINTEI_non&amp;cst_shinsei_strtower13_prgo04_NAME_VER__NINTEI_non&amp;cst_shinsei_strtower13_prgo05_NAME_VER__NINTEI_non</f>
        <v>#NAME?</v>
      </c>
    </row>
    <row r="1857" spans="1:12" s="10" customFormat="1" ht="18" customHeight="1">
      <c r="B1857" s="12" t="s">
        <v>4075</v>
      </c>
      <c r="G1857" s="9" t="s">
        <v>6146</v>
      </c>
      <c r="H1857" s="20"/>
      <c r="I1857" s="9" t="s">
        <v>6147</v>
      </c>
      <c r="J1857" s="20" t="e">
        <f>IF(shinsei_strtower13_DISK_FLAG="","",IF(shinsei_strtower13_DISK_FLAG=1,"有","無"))</f>
        <v>#NAME?</v>
      </c>
    </row>
    <row r="1858" spans="1:12" s="10" customFormat="1" ht="18" customHeight="1">
      <c r="A1858" s="9"/>
      <c r="B1858" s="9" t="s">
        <v>2955</v>
      </c>
      <c r="C1858" s="9"/>
      <c r="D1858" s="9"/>
      <c r="E1858" s="9"/>
      <c r="F1858" s="9"/>
      <c r="G1858" s="9" t="s">
        <v>6148</v>
      </c>
      <c r="H1858" s="136"/>
      <c r="I1858" s="19" t="s">
        <v>6149</v>
      </c>
      <c r="J1858" s="171" t="e">
        <f>IF(shinsei_strtower13_CHARGE="","",shinsei_strtower13_CHARGE)</f>
        <v>#NAME?</v>
      </c>
      <c r="K1858" s="9" t="s">
        <v>2528</v>
      </c>
      <c r="L1858" s="9" t="s">
        <v>2528</v>
      </c>
    </row>
    <row r="1859" spans="1:12" ht="18" customHeight="1">
      <c r="A1859" s="149"/>
      <c r="B1859" s="149"/>
      <c r="C1859" s="149"/>
      <c r="D1859" s="149"/>
      <c r="E1859" s="12" t="s">
        <v>3907</v>
      </c>
      <c r="F1859" s="12"/>
      <c r="G1859" s="149"/>
      <c r="I1859" s="100" t="s">
        <v>6150</v>
      </c>
      <c r="J1859" s="171" t="e">
        <f>IF(shinsei_strtower13_CHARGE="","",TEXT(shinsei_strtower13_CHARGE,"#,##0_ ")&amp;"円")</f>
        <v>#NAME?</v>
      </c>
      <c r="K1859" s="9"/>
      <c r="L1859" s="9"/>
    </row>
    <row r="1860" spans="1:12" ht="18" customHeight="1">
      <c r="A1860" s="149"/>
      <c r="B1860" s="149" t="s">
        <v>3041</v>
      </c>
      <c r="C1860" s="149"/>
      <c r="D1860" s="149"/>
      <c r="E1860" s="149"/>
      <c r="F1860" s="149"/>
      <c r="G1860" s="149" t="s">
        <v>6151</v>
      </c>
      <c r="H1860" s="136"/>
      <c r="I1860" s="100" t="s">
        <v>6152</v>
      </c>
      <c r="J1860" s="136" t="e">
        <f>IF(shinsei_strtower13_CHARGE_WARIMASHI="","",shinsei_strtower13_CHARGE_WARIMASHI)</f>
        <v>#NAME?</v>
      </c>
      <c r="K1860" s="9" t="s">
        <v>2528</v>
      </c>
      <c r="L1860" s="9" t="s">
        <v>2528</v>
      </c>
    </row>
    <row r="1861" spans="1:12" ht="18" customHeight="1">
      <c r="A1861" s="149"/>
      <c r="B1861" s="149" t="s">
        <v>3043</v>
      </c>
      <c r="C1861" s="149"/>
      <c r="D1861" s="149"/>
      <c r="E1861" s="149"/>
      <c r="F1861" s="149"/>
      <c r="G1861" s="149" t="s">
        <v>6153</v>
      </c>
      <c r="H1861" s="136"/>
      <c r="I1861" s="100" t="s">
        <v>6154</v>
      </c>
      <c r="J1861" s="136" t="e">
        <f>IF(shinsei_strtower13_CHARGE_TOTAL="","",shinsei_strtower13_CHARGE_TOTAL)</f>
        <v>#NAME?</v>
      </c>
      <c r="K1861" s="9" t="s">
        <v>2528</v>
      </c>
      <c r="L1861" s="9" t="s">
        <v>2528</v>
      </c>
    </row>
    <row r="1862" spans="1:12" ht="18" customHeight="1">
      <c r="A1862" s="149"/>
      <c r="B1862" s="149" t="s">
        <v>5637</v>
      </c>
      <c r="C1862" s="149"/>
      <c r="D1862" s="149"/>
      <c r="E1862" s="149"/>
      <c r="F1862" s="149"/>
      <c r="G1862" s="149" t="s">
        <v>6155</v>
      </c>
      <c r="H1862" s="13"/>
      <c r="I1862" s="176" t="s">
        <v>6156</v>
      </c>
      <c r="J1862" s="20" t="e">
        <f>IF(shinsei_strtower13_CHARGE_KEISAN_NOTE="","",shinsei_strtower13_CHARGE_KEISAN_NOTE)</f>
        <v>#NAME?</v>
      </c>
      <c r="K1862" s="10" t="s">
        <v>6056</v>
      </c>
      <c r="L1862" s="10" t="s">
        <v>3879</v>
      </c>
    </row>
    <row r="1863" spans="1:12" ht="18" customHeight="1">
      <c r="A1863" s="149"/>
      <c r="B1863" s="149"/>
      <c r="C1863" s="149"/>
      <c r="D1863" s="149"/>
      <c r="E1863" s="149" t="s">
        <v>5640</v>
      </c>
      <c r="F1863" s="149"/>
      <c r="G1863" s="149"/>
      <c r="I1863" s="100" t="s">
        <v>6157</v>
      </c>
      <c r="J1863" s="20" t="e">
        <f>IF(shinsei_INSPECTION_TYPE="計画変更",IF(shinsei_strtower13_CHARGE="","","延べ面積×1/2により算出"),IF(shinsei_strtower13_CHARGE_KEISAN_NOTE="","",shinsei_strtower13_CHARGE_KEISAN_NOTE))</f>
        <v>#NAME?</v>
      </c>
    </row>
    <row r="1864" spans="1:12" ht="18" customHeight="1">
      <c r="A1864" s="149"/>
      <c r="B1864" s="149" t="s">
        <v>5642</v>
      </c>
      <c r="C1864" s="149"/>
      <c r="D1864" s="149"/>
      <c r="E1864" s="149"/>
      <c r="F1864" s="149"/>
      <c r="G1864" s="149" t="s">
        <v>6158</v>
      </c>
      <c r="H1864" s="13"/>
      <c r="I1864" s="149" t="s">
        <v>6159</v>
      </c>
      <c r="J1864" s="20" t="e">
        <f>IF(shinsei_strtower13_KEISAN_X_ROUTE="","",shinsei_strtower13_KEISAN_X_ROUTE)</f>
        <v>#NAME?</v>
      </c>
    </row>
    <row r="1865" spans="1:12" ht="18" customHeight="1">
      <c r="A1865" s="149"/>
      <c r="B1865" s="149" t="s">
        <v>5645</v>
      </c>
      <c r="C1865" s="149"/>
      <c r="D1865" s="149"/>
      <c r="E1865" s="149"/>
      <c r="F1865" s="149"/>
      <c r="G1865" s="149" t="s">
        <v>6160</v>
      </c>
      <c r="H1865" s="13"/>
      <c r="I1865" s="149" t="s">
        <v>6161</v>
      </c>
      <c r="J1865" s="20" t="e">
        <f>IF(shinsei_strtower13_KEISAN_Y_ROUTE="","",shinsei_strtower13_KEISAN_Y_ROUTE)</f>
        <v>#NAME?</v>
      </c>
    </row>
    <row r="1866" spans="1:12" ht="18" customHeight="1">
      <c r="A1866" s="149"/>
      <c r="B1866" s="149"/>
      <c r="C1866" s="149" t="s">
        <v>3805</v>
      </c>
      <c r="D1866" s="149"/>
      <c r="E1866" s="149"/>
      <c r="F1866" s="149"/>
      <c r="G1866" s="149"/>
      <c r="H1866" s="12"/>
      <c r="I1866" s="149" t="s">
        <v>6162</v>
      </c>
      <c r="J1866" s="20" t="e">
        <f>IF(AND(cst_shinsei_strtower13_KEISAN_X_ROUTE="3",cst_shinsei_strtower13_KEISAN_Y_ROUTE="3"),"■","□")</f>
        <v>#NAME?</v>
      </c>
    </row>
    <row r="1867" spans="1:12" ht="18" customHeight="1">
      <c r="A1867" s="149"/>
      <c r="B1867" s="149" t="s">
        <v>5650</v>
      </c>
      <c r="C1867" s="149"/>
      <c r="D1867" s="149"/>
      <c r="E1867" s="149"/>
      <c r="F1867" s="149"/>
      <c r="G1867" s="149" t="s">
        <v>6163</v>
      </c>
      <c r="H1867" s="13"/>
      <c r="I1867" s="149" t="s">
        <v>6164</v>
      </c>
      <c r="J1867" s="20" t="e">
        <f>IF(shinsei_strtower13_PROGRAM_KIND_SONOTA="","",shinsei_strtower13_PROGRAM_KIND_SONOTA)</f>
        <v>#NAME?</v>
      </c>
    </row>
    <row r="1868" spans="1:12" ht="18" customHeight="1">
      <c r="A1868" s="149"/>
      <c r="B1868" s="149"/>
      <c r="C1868" s="149"/>
      <c r="D1868" s="149"/>
      <c r="E1868" s="149"/>
      <c r="F1868" s="149"/>
      <c r="G1868" s="149"/>
      <c r="I1868" s="149"/>
    </row>
    <row r="1869" spans="1:12" s="10" customFormat="1" ht="18" customHeight="1">
      <c r="A1869" s="162" t="s">
        <v>3107</v>
      </c>
      <c r="B1869" s="162"/>
      <c r="C1869" s="162"/>
      <c r="D1869" s="162"/>
      <c r="E1869" s="163"/>
      <c r="F1869" s="163"/>
      <c r="G1869" s="164"/>
      <c r="H1869" s="165"/>
      <c r="I1869" s="9"/>
    </row>
    <row r="1870" spans="1:12" s="10" customFormat="1" ht="18" customHeight="1">
      <c r="A1870" s="12"/>
      <c r="B1870" s="12" t="s">
        <v>3859</v>
      </c>
      <c r="C1870" s="12"/>
      <c r="D1870" s="12"/>
      <c r="E1870" s="11"/>
      <c r="F1870" s="11"/>
      <c r="G1870" s="10" t="s">
        <v>6165</v>
      </c>
      <c r="H1870" s="13"/>
      <c r="I1870" s="19" t="s">
        <v>6166</v>
      </c>
      <c r="J1870" s="25" t="e">
        <f>IF(shinsei_strtower14_TOWER_NO="","",shinsei_strtower14_TOWER_NO)</f>
        <v>#NAME?</v>
      </c>
      <c r="K1870" s="10" t="s">
        <v>3863</v>
      </c>
    </row>
    <row r="1871" spans="1:12" s="10" customFormat="1" ht="18" customHeight="1">
      <c r="A1871" s="12"/>
      <c r="B1871" s="12" t="s">
        <v>3864</v>
      </c>
      <c r="C1871" s="12"/>
      <c r="D1871" s="12"/>
      <c r="E1871" s="11"/>
      <c r="F1871" s="11"/>
      <c r="G1871" s="9" t="s">
        <v>6167</v>
      </c>
      <c r="H1871" s="13"/>
      <c r="I1871" s="19" t="s">
        <v>6168</v>
      </c>
      <c r="J1871" s="25" t="e">
        <f>IF(shinsei_strtower14_STR_TOWER_NO="","",shinsei_strtower14_STR_TOWER_NO)</f>
        <v>#NAME?</v>
      </c>
      <c r="K1871" s="10" t="s">
        <v>3863</v>
      </c>
      <c r="L1871" s="10" t="s">
        <v>3879</v>
      </c>
    </row>
    <row r="1872" spans="1:12" s="166" customFormat="1" ht="18" customHeight="1">
      <c r="B1872" s="12" t="s">
        <v>3868</v>
      </c>
      <c r="I1872" s="9" t="s">
        <v>6169</v>
      </c>
      <c r="J1872" s="167" t="e">
        <f>CONCATENATE(cst_shinsei_strtower14_TOWER_NO," - ",cst_shinsei_strtower14_STR_TOWER_NO)</f>
        <v>#NAME?</v>
      </c>
    </row>
    <row r="1873" spans="1:12" s="166" customFormat="1" ht="18" customHeight="1">
      <c r="B1873" s="12" t="s">
        <v>3870</v>
      </c>
      <c r="I1873" s="9" t="s">
        <v>6170</v>
      </c>
      <c r="J1873" s="167" t="e">
        <f>CONCATENATE(cst_shinsei_strtower14_STR_TOWER_NO," ／ ",cst_shinsei_STR_SHINSEI_TOWERS)</f>
        <v>#NAME?</v>
      </c>
    </row>
    <row r="1874" spans="1:12" s="10" customFormat="1" ht="18" customHeight="1">
      <c r="A1874" s="12"/>
      <c r="B1874" s="12" t="s">
        <v>6017</v>
      </c>
      <c r="C1874" s="11"/>
      <c r="D1874" s="11"/>
      <c r="E1874" s="11"/>
      <c r="F1874" s="11"/>
      <c r="G1874" s="9" t="s">
        <v>6171</v>
      </c>
      <c r="H1874" s="13"/>
      <c r="I1874" s="9" t="s">
        <v>6172</v>
      </c>
      <c r="J1874" s="25" t="e">
        <f>IF(shinsei_strtower14_STR_TOWER_NAME="","",shinsei_strtower14_STR_TOWER_NAME)</f>
        <v>#NAME?</v>
      </c>
    </row>
    <row r="1875" spans="1:12" s="10" customFormat="1" ht="18" customHeight="1">
      <c r="A1875" s="12"/>
      <c r="B1875" s="12" t="s">
        <v>6020</v>
      </c>
      <c r="C1875" s="12"/>
      <c r="D1875" s="12"/>
      <c r="E1875" s="11"/>
      <c r="F1875" s="11"/>
      <c r="G1875" s="9" t="s">
        <v>6173</v>
      </c>
      <c r="H1875" s="20"/>
      <c r="I1875" s="20" t="s">
        <v>6174</v>
      </c>
      <c r="J1875" s="25" t="e">
        <f>IF(shinsei_strtower14_JUDGE="","",shinsei_strtower14_JUDGE)</f>
        <v>#NAME?</v>
      </c>
      <c r="K1875" s="10" t="s">
        <v>5666</v>
      </c>
      <c r="L1875" s="10" t="s">
        <v>3879</v>
      </c>
    </row>
    <row r="1876" spans="1:12" s="10" customFormat="1" ht="18" customHeight="1">
      <c r="A1876" s="12"/>
      <c r="B1876" s="12" t="s">
        <v>4441</v>
      </c>
      <c r="C1876" s="12"/>
      <c r="D1876" s="12"/>
      <c r="E1876" s="11"/>
      <c r="F1876" s="11"/>
      <c r="G1876" s="9" t="s">
        <v>6175</v>
      </c>
      <c r="H1876" s="13"/>
      <c r="I1876" s="9" t="s">
        <v>6176</v>
      </c>
      <c r="J1876" s="25" t="e">
        <f>IF(shinsei_strtower14_STR_TOWER_YOUTO_TEXT="","",shinsei_strtower14_STR_TOWER_YOUTO_TEXT)</f>
        <v>#NAME?</v>
      </c>
      <c r="K1876" s="10" t="s">
        <v>3863</v>
      </c>
      <c r="L1876" s="10" t="s">
        <v>3879</v>
      </c>
    </row>
    <row r="1877" spans="1:12" s="10" customFormat="1" ht="18" customHeight="1">
      <c r="A1877" s="12"/>
      <c r="B1877" s="12" t="s">
        <v>3790</v>
      </c>
      <c r="C1877" s="12"/>
      <c r="D1877" s="12"/>
      <c r="E1877" s="11"/>
      <c r="F1877" s="11"/>
      <c r="G1877" s="9" t="s">
        <v>6177</v>
      </c>
      <c r="H1877" s="13"/>
      <c r="I1877" s="9" t="s">
        <v>6178</v>
      </c>
      <c r="J1877" s="25" t="e">
        <f>IF(shinsei_strtower14_KOUJI_TEXT="","",shinsei_strtower14_KOUJI_TEXT)</f>
        <v>#NAME?</v>
      </c>
      <c r="K1877" s="10" t="s">
        <v>4791</v>
      </c>
      <c r="L1877" s="10" t="s">
        <v>3879</v>
      </c>
    </row>
    <row r="1878" spans="1:12" s="10" customFormat="1" ht="18" customHeight="1">
      <c r="A1878" s="12"/>
      <c r="B1878" s="12" t="s">
        <v>7089</v>
      </c>
      <c r="C1878" s="11"/>
      <c r="D1878" s="11"/>
      <c r="E1878" s="11"/>
      <c r="F1878" s="11"/>
      <c r="G1878" s="9" t="s">
        <v>6179</v>
      </c>
      <c r="H1878" s="13"/>
      <c r="I1878" s="9" t="s">
        <v>6180</v>
      </c>
      <c r="J1878" s="25" t="e">
        <f>IF(shinsei_strtower14_KOUZOU_TEXT="","",shinsei_strtower14_KOUZOU_TEXT)</f>
        <v>#NAME?</v>
      </c>
    </row>
    <row r="1879" spans="1:12" s="10" customFormat="1" ht="18" customHeight="1">
      <c r="A1879" s="12"/>
      <c r="B1879" s="12" t="s">
        <v>5671</v>
      </c>
      <c r="C1879" s="12"/>
      <c r="D1879" s="12"/>
      <c r="E1879" s="11"/>
      <c r="F1879" s="11"/>
      <c r="G1879" s="9" t="s">
        <v>6181</v>
      </c>
      <c r="H1879" s="13"/>
      <c r="I1879" s="9" t="s">
        <v>6182</v>
      </c>
      <c r="J1879" s="25" t="e">
        <f>IF(shinsei_strtower14_KOUZOU_TEXT="","",shinsei_strtower14_KOUZOU_TEXT)</f>
        <v>#NAME?</v>
      </c>
    </row>
    <row r="1880" spans="1:12" s="10" customFormat="1" ht="18" customHeight="1">
      <c r="A1880" s="12"/>
      <c r="B1880" s="12" t="s">
        <v>3893</v>
      </c>
      <c r="C1880" s="11"/>
      <c r="D1880" s="11"/>
      <c r="E1880" s="11"/>
      <c r="F1880" s="11"/>
      <c r="G1880" s="9" t="s">
        <v>6183</v>
      </c>
      <c r="H1880" s="13"/>
      <c r="I1880" s="9" t="s">
        <v>6184</v>
      </c>
      <c r="J1880" s="25" t="e">
        <f>IF(shinsei_strtower14_KOUZOU_KEISAN="","",shinsei_strtower14_KOUZOU_KEISAN)</f>
        <v>#NAME?</v>
      </c>
    </row>
    <row r="1881" spans="1:12" s="10" customFormat="1" ht="18" customHeight="1">
      <c r="A1881" s="12"/>
      <c r="B1881" s="12" t="s">
        <v>3893</v>
      </c>
      <c r="C1881" s="12"/>
      <c r="D1881" s="12"/>
      <c r="E1881" s="11"/>
      <c r="F1881" s="11"/>
      <c r="G1881" s="9" t="s">
        <v>6185</v>
      </c>
      <c r="H1881" s="13"/>
      <c r="I1881" s="10" t="s">
        <v>6186</v>
      </c>
      <c r="J1881" s="25" t="e">
        <f>IF(shinsei_strtower14_KOUZOU_KEISAN_TEXT="","",shinsei_strtower14_KOUZOU_KEISAN_TEXT)</f>
        <v>#NAME?</v>
      </c>
    </row>
    <row r="1882" spans="1:12" s="10" customFormat="1" ht="18" customHeight="1">
      <c r="A1882" s="12"/>
      <c r="B1882" s="12" t="s">
        <v>3903</v>
      </c>
      <c r="C1882" s="12"/>
      <c r="D1882" s="12"/>
      <c r="E1882" s="11"/>
      <c r="F1882" s="11"/>
      <c r="G1882" s="9" t="s">
        <v>6187</v>
      </c>
      <c r="H1882" s="65"/>
      <c r="I1882" s="19" t="s">
        <v>6188</v>
      </c>
      <c r="J1882" s="168" t="e">
        <f>IF(shinsei_strtower14_MENSEKI="","",shinsei_strtower14_MENSEKI)</f>
        <v>#NAME?</v>
      </c>
      <c r="K1882" s="10" t="s">
        <v>3906</v>
      </c>
      <c r="L1882" s="10" t="s">
        <v>3906</v>
      </c>
    </row>
    <row r="1883" spans="1:12" ht="18" customHeight="1">
      <c r="A1883" s="12"/>
      <c r="B1883" s="12"/>
      <c r="C1883" s="12"/>
      <c r="D1883" s="12"/>
      <c r="E1883" s="12" t="s">
        <v>3907</v>
      </c>
      <c r="F1883" s="12"/>
      <c r="G1883" s="9"/>
      <c r="H1883" s="9"/>
      <c r="I1883" s="9" t="s">
        <v>6189</v>
      </c>
      <c r="J1883" s="168" t="e">
        <f>IF(shinsei_strtower14_MENSEKI="","",TEXT(shinsei_strtower14_MENSEKI,"#,##0.00_ ")&amp;"㎡")</f>
        <v>#NAME?</v>
      </c>
    </row>
    <row r="1884" spans="1:12" s="10" customFormat="1" ht="18" customHeight="1">
      <c r="A1884" s="12"/>
      <c r="B1884" s="12" t="s">
        <v>4390</v>
      </c>
      <c r="C1884" s="12"/>
      <c r="D1884" s="12"/>
      <c r="E1884" s="11"/>
      <c r="F1884" s="11"/>
      <c r="G1884" s="9" t="s">
        <v>6190</v>
      </c>
      <c r="H1884" s="93"/>
      <c r="I1884" s="9" t="s">
        <v>6191</v>
      </c>
      <c r="J1884" s="170" t="e">
        <f>IF(shinsei_strtower14_MAX_TAKASA="","",shinsei_strtower14_MAX_TAKASA)</f>
        <v>#NAME?</v>
      </c>
      <c r="K1884" s="10" t="s">
        <v>3911</v>
      </c>
      <c r="L1884" s="10" t="s">
        <v>3911</v>
      </c>
    </row>
    <row r="1885" spans="1:12" s="10" customFormat="1" ht="18" customHeight="1">
      <c r="A1885" s="12"/>
      <c r="B1885" s="12" t="s">
        <v>4388</v>
      </c>
      <c r="C1885" s="11"/>
      <c r="D1885" s="11"/>
      <c r="E1885" s="11"/>
      <c r="F1885" s="11"/>
      <c r="G1885" s="9" t="s">
        <v>6192</v>
      </c>
      <c r="H1885" s="93"/>
      <c r="I1885" s="9" t="s">
        <v>6193</v>
      </c>
      <c r="J1885" s="170" t="e">
        <f>IF(shinsei_strtower14_MAX_NOKI_TAKASA="","",shinsei_strtower14_MAX_NOKI_TAKASA)</f>
        <v>#NAME?</v>
      </c>
    </row>
    <row r="1886" spans="1:12" s="10" customFormat="1" ht="18" customHeight="1">
      <c r="A1886" s="12"/>
      <c r="B1886" s="12" t="s">
        <v>3782</v>
      </c>
      <c r="C1886" s="12"/>
      <c r="D1886" s="12"/>
      <c r="E1886" s="11"/>
      <c r="F1886" s="11"/>
      <c r="G1886" s="9"/>
      <c r="H1886" s="9"/>
      <c r="I1886" s="9"/>
    </row>
    <row r="1887" spans="1:12" s="10" customFormat="1" ht="18" customHeight="1">
      <c r="A1887" s="12"/>
      <c r="B1887" s="12"/>
      <c r="C1887" s="11" t="s">
        <v>3783</v>
      </c>
      <c r="D1887" s="12"/>
      <c r="G1887" s="9" t="s">
        <v>6194</v>
      </c>
      <c r="H1887" s="136"/>
      <c r="I1887" s="9" t="s">
        <v>6195</v>
      </c>
      <c r="J1887" s="171" t="e">
        <f>IF(shinsei_strtower14_KAISU_TIJYOU="","",shinsei_strtower14_KAISU_TIJYOU)</f>
        <v>#NAME?</v>
      </c>
      <c r="K1887" s="10" t="s">
        <v>5435</v>
      </c>
      <c r="L1887" s="10" t="s">
        <v>5435</v>
      </c>
    </row>
    <row r="1888" spans="1:12" s="10" customFormat="1" ht="18" customHeight="1">
      <c r="A1888" s="12"/>
      <c r="B1888" s="12"/>
      <c r="C1888" s="11" t="s">
        <v>3785</v>
      </c>
      <c r="D1888" s="12"/>
      <c r="G1888" s="9" t="s">
        <v>6196</v>
      </c>
      <c r="H1888" s="136"/>
      <c r="I1888" s="9" t="s">
        <v>6197</v>
      </c>
      <c r="J1888" s="171" t="e">
        <f>IF(shinsei_strtower14_KAISU_TIKA="","",shinsei_strtower14_KAISU_TIKA)</f>
        <v>#NAME?</v>
      </c>
      <c r="K1888" s="10" t="s">
        <v>6500</v>
      </c>
      <c r="L1888" s="10" t="s">
        <v>6500</v>
      </c>
    </row>
    <row r="1889" spans="1:12" s="10" customFormat="1" ht="18" customHeight="1">
      <c r="A1889" s="12"/>
      <c r="B1889" s="12"/>
      <c r="C1889" s="11" t="s">
        <v>3787</v>
      </c>
      <c r="D1889" s="12"/>
      <c r="G1889" s="9" t="s">
        <v>6198</v>
      </c>
      <c r="H1889" s="136"/>
      <c r="I1889" s="9" t="s">
        <v>6199</v>
      </c>
      <c r="J1889" s="171" t="e">
        <f>IF(shinsei_strtower14_KAISU_TOUYA="","",shinsei_strtower14_KAISU_TOUYA)</f>
        <v>#NAME?</v>
      </c>
      <c r="K1889" s="10" t="s">
        <v>3920</v>
      </c>
      <c r="L1889" s="10" t="s">
        <v>3920</v>
      </c>
    </row>
    <row r="1890" spans="1:12" s="10" customFormat="1" ht="18" customHeight="1">
      <c r="B1890" s="12" t="s">
        <v>3923</v>
      </c>
      <c r="G1890" s="9" t="s">
        <v>6200</v>
      </c>
      <c r="H1890" s="13"/>
      <c r="I1890" s="10" t="s">
        <v>6201</v>
      </c>
      <c r="J1890" s="25" t="e">
        <f>IF(shinsei_strtower14_BUILD_KUBUN="","",shinsei_strtower14_BUILD_KUBUN)</f>
        <v>#NAME?</v>
      </c>
    </row>
    <row r="1891" spans="1:12" s="10" customFormat="1" ht="18" customHeight="1">
      <c r="B1891" s="12" t="s">
        <v>3923</v>
      </c>
      <c r="C1891" s="12"/>
      <c r="D1891" s="12"/>
      <c r="G1891" s="9" t="s">
        <v>6202</v>
      </c>
      <c r="H1891" s="13"/>
      <c r="I1891" s="10" t="s">
        <v>6203</v>
      </c>
      <c r="J1891" s="25" t="e">
        <f>IF(shinsei_strtower14_BUILD_KUBUN_TEXT="","",shinsei_strtower14_BUILD_KUBUN_TEXT)</f>
        <v>#NAME?</v>
      </c>
      <c r="K1891" s="10" t="s">
        <v>3863</v>
      </c>
    </row>
    <row r="1892" spans="1:12" s="10" customFormat="1" ht="18" customHeight="1">
      <c r="A1892" s="149"/>
      <c r="B1892" s="149"/>
      <c r="C1892" s="149" t="s">
        <v>3801</v>
      </c>
      <c r="D1892" s="149"/>
      <c r="E1892" s="149"/>
      <c r="F1892" s="149"/>
      <c r="G1892" s="149"/>
      <c r="H1892" s="12"/>
      <c r="I1892" s="149" t="s">
        <v>6204</v>
      </c>
      <c r="J1892" s="20" t="e">
        <f>IF(shinsei_strtower14_BUILD_KUBUN_TEXT="建築基準法第20条第２号に掲げる建築物","■","□")</f>
        <v>#NAME?</v>
      </c>
    </row>
    <row r="1893" spans="1:12" s="10" customFormat="1" ht="18" customHeight="1">
      <c r="A1893" s="149"/>
      <c r="B1893" s="149"/>
      <c r="C1893" s="149" t="s">
        <v>3801</v>
      </c>
      <c r="D1893" s="149"/>
      <c r="E1893" s="149"/>
      <c r="F1893" s="149"/>
      <c r="G1893" s="149"/>
      <c r="H1893" s="12"/>
      <c r="I1893" s="149" t="s">
        <v>6205</v>
      </c>
      <c r="J1893" s="20" t="e">
        <f>IF(shinsei_strtower14_BUILD_KUBUN_TEXT="建築基準法第20条第３号に掲げる建築物","■","□")</f>
        <v>#NAME?</v>
      </c>
    </row>
    <row r="1894" spans="1:12" s="10" customFormat="1" ht="18" customHeight="1">
      <c r="A1894" s="12"/>
      <c r="B1894" s="12" t="s">
        <v>4724</v>
      </c>
      <c r="C1894" s="12"/>
      <c r="D1894" s="12"/>
      <c r="E1894" s="11"/>
      <c r="F1894" s="11"/>
      <c r="G1894" s="9" t="s">
        <v>6206</v>
      </c>
      <c r="H1894" s="13"/>
      <c r="I1894" s="9" t="s">
        <v>6207</v>
      </c>
      <c r="J1894" s="25" t="e">
        <f>IF(shinsei_strtower14_MENJYO_TEXT="","",shinsei_strtower14_MENJYO_TEXT)</f>
        <v>#NAME?</v>
      </c>
      <c r="K1894" s="10" t="s">
        <v>6056</v>
      </c>
    </row>
    <row r="1895" spans="1:12" s="10" customFormat="1" ht="18" customHeight="1">
      <c r="A1895" s="12"/>
      <c r="B1895" s="12" t="s">
        <v>3935</v>
      </c>
      <c r="C1895" s="12"/>
      <c r="D1895" s="12"/>
      <c r="E1895" s="11"/>
      <c r="F1895" s="11"/>
      <c r="G1895" s="9" t="s">
        <v>6208</v>
      </c>
      <c r="H1895" s="20"/>
      <c r="I1895" s="9" t="s">
        <v>6209</v>
      </c>
      <c r="J1895" s="25" t="e">
        <f>IF(shinsei_strtower14_PROGRAM_KIND="","",shinsei_strtower14_PROGRAM_KIND)</f>
        <v>#NAME?</v>
      </c>
      <c r="K1895" s="10" t="s">
        <v>5704</v>
      </c>
    </row>
    <row r="1896" spans="1:12" s="10" customFormat="1" ht="18" customHeight="1">
      <c r="B1896" s="12" t="s">
        <v>3939</v>
      </c>
      <c r="C1896" s="12"/>
      <c r="D1896" s="12"/>
      <c r="G1896" s="9" t="s">
        <v>6210</v>
      </c>
      <c r="H1896" s="13"/>
      <c r="I1896" s="10" t="s">
        <v>6211</v>
      </c>
      <c r="J1896" s="25" t="e">
        <f>IF(shinsei_strtower14_REI80_2_KOKUJI_TEXT="","",shinsei_strtower14_REI80_2_KOKUJI_TEXT)</f>
        <v>#NAME?</v>
      </c>
    </row>
    <row r="1897" spans="1:12" s="10" customFormat="1" ht="18" customHeight="1">
      <c r="B1897" s="12" t="s">
        <v>3943</v>
      </c>
      <c r="C1897" s="12"/>
      <c r="D1897" s="12"/>
      <c r="G1897" s="9" t="s">
        <v>6212</v>
      </c>
      <c r="H1897" s="13"/>
      <c r="I1897" s="10" t="s">
        <v>6213</v>
      </c>
      <c r="J1897" s="25" t="e">
        <f>IF(shinsei_strtower14_PROGRAM_KIND__nintei__box="■",2,IF(OR(shinsei_strtower14_PROGRAM_KIND__hyouka__box="■",shinsei_strtower14_PROGRAM_KIND__sonota__box="■"),1,0))</f>
        <v>#NAME?</v>
      </c>
      <c r="K1897" s="10" t="s">
        <v>3946</v>
      </c>
    </row>
    <row r="1898" spans="1:12" s="10" customFormat="1" ht="18" customHeight="1">
      <c r="B1898" s="12" t="s">
        <v>3947</v>
      </c>
      <c r="C1898" s="12"/>
      <c r="D1898" s="12"/>
      <c r="G1898" s="9" t="s">
        <v>6214</v>
      </c>
      <c r="H1898" s="13"/>
    </row>
    <row r="1899" spans="1:12" s="10" customFormat="1" ht="18" customHeight="1">
      <c r="B1899" s="12" t="s">
        <v>4305</v>
      </c>
      <c r="C1899" s="12"/>
      <c r="D1899" s="12"/>
      <c r="G1899" s="9" t="s">
        <v>6215</v>
      </c>
      <c r="H1899" s="13"/>
    </row>
    <row r="1900" spans="1:12" s="10" customFormat="1" ht="18" customHeight="1">
      <c r="B1900" s="105" t="s">
        <v>5711</v>
      </c>
      <c r="C1900" s="105"/>
      <c r="D1900" s="105"/>
      <c r="E1900" s="24"/>
      <c r="F1900" s="24"/>
      <c r="G1900" s="9"/>
      <c r="H1900" s="12"/>
    </row>
    <row r="1901" spans="1:12" s="10" customFormat="1" ht="18" customHeight="1">
      <c r="C1901" s="10" t="s">
        <v>3951</v>
      </c>
      <c r="D1901" s="12"/>
      <c r="G1901" s="9" t="s">
        <v>6216</v>
      </c>
      <c r="H1901" s="13"/>
      <c r="K1901" s="10" t="s">
        <v>3863</v>
      </c>
      <c r="L1901" s="10" t="s">
        <v>3879</v>
      </c>
    </row>
    <row r="1902" spans="1:12" s="10" customFormat="1" ht="18" customHeight="1">
      <c r="C1902" s="12" t="s">
        <v>6381</v>
      </c>
      <c r="D1902" s="12"/>
      <c r="E1902" s="12"/>
      <c r="F1902" s="12"/>
      <c r="G1902" s="9" t="s">
        <v>6217</v>
      </c>
      <c r="H1902" s="13"/>
    </row>
    <row r="1903" spans="1:12" s="10" customFormat="1" ht="18" customHeight="1">
      <c r="C1903" s="12" t="s">
        <v>3957</v>
      </c>
      <c r="D1903" s="12"/>
      <c r="G1903" s="9"/>
      <c r="H1903" s="9"/>
      <c r="I1903" s="10" t="s">
        <v>6218</v>
      </c>
      <c r="J1903" s="25" t="e">
        <f>IF(shinsei_strtower14_prgo01_NAME="","",IF(shinsei_strtower14_prgo01_NINTEI_NO="","無","有"))</f>
        <v>#NAME?</v>
      </c>
      <c r="K1903" s="10" t="s">
        <v>3959</v>
      </c>
      <c r="L1903" s="10" t="s">
        <v>3879</v>
      </c>
    </row>
    <row r="1904" spans="1:12" s="10" customFormat="1" ht="18" customHeight="1">
      <c r="C1904" s="12" t="s">
        <v>3960</v>
      </c>
      <c r="D1904" s="12"/>
      <c r="G1904" s="9" t="s">
        <v>6219</v>
      </c>
      <c r="H1904" s="13"/>
      <c r="I1904" s="10" t="s">
        <v>6220</v>
      </c>
      <c r="J1904" s="25" t="e">
        <f>IF(shinsei_strtower14_prgo01_NINTEI_NO="","",shinsei_strtower14_prgo01_NINTEI_NO)</f>
        <v>#NAME?</v>
      </c>
      <c r="K1904" s="10" t="s">
        <v>3863</v>
      </c>
      <c r="L1904" s="10" t="s">
        <v>3879</v>
      </c>
    </row>
    <row r="1905" spans="2:12" s="10" customFormat="1" ht="18" customHeight="1">
      <c r="C1905" s="12" t="s">
        <v>3964</v>
      </c>
      <c r="D1905" s="12"/>
      <c r="G1905" s="9" t="s">
        <v>6221</v>
      </c>
      <c r="H1905" s="74"/>
      <c r="I1905" s="10" t="s">
        <v>6222</v>
      </c>
      <c r="J1905" s="25" t="e">
        <f>IF(shinsei_strtower14_prgo01_NINTEI_DATE="","",TEXT(shinsei_strtower14_prgo01_NINTEI_DATE,"ggge年m月d日")&amp;"  ")</f>
        <v>#NAME?</v>
      </c>
    </row>
    <row r="1906" spans="2:12" s="10" customFormat="1" ht="18" customHeight="1">
      <c r="C1906" s="12" t="s">
        <v>3968</v>
      </c>
      <c r="D1906" s="12"/>
      <c r="G1906" s="9" t="s">
        <v>6223</v>
      </c>
      <c r="H1906" s="13"/>
    </row>
    <row r="1907" spans="2:12" s="10" customFormat="1" ht="18" customHeight="1">
      <c r="C1907" s="12" t="s">
        <v>3970</v>
      </c>
      <c r="D1907" s="12"/>
      <c r="G1907" s="9"/>
      <c r="H1907" s="12"/>
      <c r="I1907" s="9" t="s">
        <v>6224</v>
      </c>
      <c r="J1907" s="25" t="e">
        <f>IF(shinsei_strtower14_prgo01_NAME="","",shinsei_strtower14_prgo01_NAME)&amp;CHAR(10)&amp;IF(shinsei_strtower14_prgo01_VER="","","Ver."&amp;shinsei_strtower14_prgo01_VER&amp;CHAR(10))</f>
        <v>#NAME?</v>
      </c>
    </row>
    <row r="1908" spans="2:12" s="10" customFormat="1" ht="18" customHeight="1">
      <c r="C1908" s="12" t="s">
        <v>3972</v>
      </c>
      <c r="D1908" s="12"/>
      <c r="G1908" s="9"/>
      <c r="H1908" s="12"/>
      <c r="I1908" s="9" t="s">
        <v>6225</v>
      </c>
      <c r="J1908" s="25" t="e">
        <f>IF(shinsei_strtower14_prgo01_NAME="","",shinsei_strtower14_prgo01_NAME&amp;" ")&amp;IF(shinsei_strtower14_prgo01_VER="","","Ver."&amp;shinsei_strtower14_prgo01_VER&amp;"  ")</f>
        <v>#NAME?</v>
      </c>
    </row>
    <row r="1909" spans="2:12" s="10" customFormat="1" ht="18" customHeight="1">
      <c r="C1909" s="12" t="s">
        <v>3974</v>
      </c>
      <c r="D1909" s="12"/>
      <c r="G1909" s="9"/>
      <c r="H1909" s="12"/>
    </row>
    <row r="1910" spans="2:12" s="10" customFormat="1" ht="18" customHeight="1">
      <c r="D1910" s="12" t="s">
        <v>5965</v>
      </c>
      <c r="G1910" s="9"/>
      <c r="H1910" s="12"/>
      <c r="I1910" s="9" t="s">
        <v>6226</v>
      </c>
      <c r="J1910" s="173" t="e">
        <f>IF(cst_shinsei_strtower14_prgo01_NINTEI__umu="有",IF(shinsei_strtower14_prgo01_MAKER_NAME="","",shinsei_strtower14_prgo01_MAKER_NAME&amp;"  "),"")</f>
        <v>#NAME?</v>
      </c>
    </row>
    <row r="1911" spans="2:12" s="10" customFormat="1" ht="18" customHeight="1">
      <c r="B1911" s="12"/>
      <c r="D1911" s="12" t="s">
        <v>3972</v>
      </c>
      <c r="G1911" s="9"/>
      <c r="H1911" s="12"/>
      <c r="I1911" s="9" t="s">
        <v>6227</v>
      </c>
      <c r="J1911" s="25" t="e">
        <f>IF(cst_shinsei_strtower14_prgo01_NINTEI__umu="有",IF(shinsei_strtower14_prgo01_NAME="","",shinsei_strtower14_prgo01_NAME&amp;" ")&amp;IF(shinsei_strtower14_prgo01_VER="","","Ver."&amp;shinsei_strtower14_prgo01_VER&amp;"  "),"")</f>
        <v>#NAME?</v>
      </c>
    </row>
    <row r="1912" spans="2:12" s="10" customFormat="1" ht="18" customHeight="1">
      <c r="C1912" s="12" t="s">
        <v>3981</v>
      </c>
      <c r="D1912" s="12"/>
      <c r="G1912" s="9"/>
      <c r="H1912" s="12"/>
    </row>
    <row r="1913" spans="2:12" s="10" customFormat="1" ht="18" customHeight="1">
      <c r="B1913" s="12"/>
      <c r="D1913" s="12" t="s">
        <v>3976</v>
      </c>
      <c r="G1913" s="9"/>
      <c r="H1913" s="12"/>
      <c r="I1913" s="9" t="s">
        <v>6228</v>
      </c>
      <c r="J1913" s="173" t="e">
        <f>IF(cst_shinsei_strtower14_prgo01_NINTEI__umu="無",IF(shinsei_strtower14_prgo01_MAKER_NAME="","",shinsei_strtower14_prgo01_MAKER_NAME&amp;"  "),"")</f>
        <v>#NAME?</v>
      </c>
    </row>
    <row r="1914" spans="2:12" s="10" customFormat="1" ht="18" customHeight="1">
      <c r="B1914" s="12"/>
      <c r="D1914" s="12" t="s">
        <v>3972</v>
      </c>
      <c r="G1914" s="9"/>
      <c r="H1914" s="12"/>
      <c r="I1914" s="9" t="s">
        <v>6229</v>
      </c>
      <c r="J1914" s="25" t="e">
        <f>IF(cst_shinsei_strtower14_prgo01_NINTEI__umu="無",IF(shinsei_strtower14_prgo01_NAME="","",shinsei_strtower14_prgo01_NAME&amp;" ")&amp;IF(shinsei_strtower14_prgo01_VER="","","Ver."&amp;shinsei_strtower14_prgo01_VER&amp;"  "),"")</f>
        <v>#NAME?</v>
      </c>
    </row>
    <row r="1915" spans="2:12" s="10" customFormat="1" ht="18" customHeight="1">
      <c r="B1915" s="105" t="s">
        <v>6539</v>
      </c>
      <c r="C1915" s="105"/>
      <c r="D1915" s="105"/>
      <c r="E1915" s="24"/>
      <c r="F1915" s="24"/>
      <c r="G1915" s="9"/>
      <c r="H1915" s="12"/>
    </row>
    <row r="1916" spans="2:12" s="10" customFormat="1" ht="18" customHeight="1">
      <c r="C1916" s="10" t="s">
        <v>3951</v>
      </c>
      <c r="D1916" s="12"/>
      <c r="G1916" s="9" t="s">
        <v>6230</v>
      </c>
      <c r="H1916" s="13"/>
      <c r="K1916" s="10" t="s">
        <v>3863</v>
      </c>
      <c r="L1916" s="10" t="s">
        <v>3879</v>
      </c>
    </row>
    <row r="1917" spans="2:12" s="10" customFormat="1" ht="18" customHeight="1">
      <c r="C1917" s="12" t="s">
        <v>3954</v>
      </c>
      <c r="D1917" s="12"/>
      <c r="G1917" s="9" t="s">
        <v>6231</v>
      </c>
      <c r="H1917" s="13"/>
    </row>
    <row r="1918" spans="2:12" s="10" customFormat="1" ht="18" customHeight="1">
      <c r="C1918" s="12" t="s">
        <v>3957</v>
      </c>
      <c r="D1918" s="12"/>
      <c r="G1918" s="9"/>
      <c r="H1918" s="9"/>
      <c r="I1918" s="10" t="s">
        <v>6232</v>
      </c>
      <c r="J1918" s="25" t="e">
        <f>IF(shinsei_strtower14_prgo02_NAME="","",IF(shinsei_strtower14_prgo02_NINTEI_NO="","無","有"))</f>
        <v>#NAME?</v>
      </c>
      <c r="K1918" s="10" t="s">
        <v>2941</v>
      </c>
      <c r="L1918" s="10" t="s">
        <v>3879</v>
      </c>
    </row>
    <row r="1919" spans="2:12" s="10" customFormat="1" ht="18" customHeight="1">
      <c r="C1919" s="12" t="s">
        <v>3960</v>
      </c>
      <c r="D1919" s="12"/>
      <c r="G1919" s="9" t="s">
        <v>6233</v>
      </c>
      <c r="H1919" s="13"/>
      <c r="J1919" s="10" t="s">
        <v>3863</v>
      </c>
      <c r="K1919" s="10" t="s">
        <v>3879</v>
      </c>
    </row>
    <row r="1920" spans="2:12" s="10" customFormat="1" ht="18" customHeight="1">
      <c r="C1920" s="12" t="s">
        <v>3964</v>
      </c>
      <c r="D1920" s="12"/>
      <c r="G1920" s="9" t="s">
        <v>6234</v>
      </c>
      <c r="H1920" s="74"/>
      <c r="I1920" s="10" t="s">
        <v>6235</v>
      </c>
      <c r="J1920" s="25" t="e">
        <f>IF(shinsei_strtower14_prgo02_NINTEI_DATE="","",shinsei_strtower14_prgo02_NINTEI_DATE)</f>
        <v>#NAME?</v>
      </c>
    </row>
    <row r="1921" spans="2:12" s="10" customFormat="1" ht="18" customHeight="1">
      <c r="C1921" s="12" t="s">
        <v>3968</v>
      </c>
      <c r="D1921" s="12"/>
      <c r="G1921" s="9" t="s">
        <v>6236</v>
      </c>
      <c r="H1921" s="13"/>
    </row>
    <row r="1922" spans="2:12" s="10" customFormat="1" ht="18" customHeight="1">
      <c r="C1922" s="12" t="s">
        <v>3970</v>
      </c>
      <c r="D1922" s="12"/>
      <c r="G1922" s="9"/>
      <c r="H1922" s="12"/>
      <c r="I1922" s="9" t="s">
        <v>6237</v>
      </c>
      <c r="J1922" s="25" t="e">
        <f>IF(shinsei_strtower14_prgo02_NAME="","",shinsei_strtower14_prgo02_NAME)&amp;CHAR(10)&amp;IF(shinsei_strtower14_prgo02_VER="","","Ver."&amp;shinsei_strtower14_prgo02_VER&amp;CHAR(10))</f>
        <v>#NAME?</v>
      </c>
    </row>
    <row r="1923" spans="2:12" s="10" customFormat="1" ht="18" customHeight="1">
      <c r="C1923" s="12" t="s">
        <v>3972</v>
      </c>
      <c r="D1923" s="12"/>
      <c r="G1923" s="9"/>
      <c r="H1923" s="12"/>
      <c r="I1923" s="9" t="s">
        <v>6238</v>
      </c>
      <c r="J1923" s="25" t="e">
        <f>IF(shinsei_strtower14_prgo02_NAME="","",shinsei_strtower14_prgo02_NAME&amp;" ")&amp;IF(shinsei_strtower14_prgo02_VER="","","Ver."&amp;shinsei_strtower14_prgo02_VER&amp;"  ")</f>
        <v>#NAME?</v>
      </c>
    </row>
    <row r="1924" spans="2:12" s="10" customFormat="1" ht="18" customHeight="1">
      <c r="C1924" s="12" t="s">
        <v>3974</v>
      </c>
      <c r="D1924" s="12"/>
      <c r="G1924" s="9"/>
      <c r="H1924" s="12"/>
    </row>
    <row r="1925" spans="2:12" s="10" customFormat="1" ht="18" customHeight="1">
      <c r="D1925" s="12" t="s">
        <v>6239</v>
      </c>
      <c r="G1925" s="9"/>
      <c r="H1925" s="12"/>
      <c r="I1925" s="9" t="s">
        <v>6240</v>
      </c>
      <c r="J1925" s="173" t="e">
        <f>IF(cst_shinsei_strtower14_prgo02_NINTEI__umu="有",IF(shinsei_strtower14_prgo02_MAKER_NAME="","",shinsei_strtower14_prgo02_MAKER_NAME&amp;"  "),"")</f>
        <v>#NAME?</v>
      </c>
    </row>
    <row r="1926" spans="2:12" s="10" customFormat="1" ht="18" customHeight="1">
      <c r="D1926" s="12" t="s">
        <v>3972</v>
      </c>
      <c r="G1926" s="9"/>
      <c r="H1926" s="12"/>
      <c r="I1926" s="9" t="s">
        <v>6241</v>
      </c>
      <c r="J1926" s="25" t="e">
        <f>IF(cst_shinsei_strtower14_prgo02_NINTEI__umu="有",IF(shinsei_strtower14_prgo02_NAME="","",shinsei_strtower14_prgo02_NAME&amp;" ")&amp;IF(shinsei_strtower14_prgo02_VER="","","Ver."&amp;shinsei_strtower14_prgo02_VER&amp;"  "),"")</f>
        <v>#NAME?</v>
      </c>
    </row>
    <row r="1927" spans="2:12" s="10" customFormat="1" ht="18" customHeight="1">
      <c r="C1927" s="12" t="s">
        <v>3981</v>
      </c>
      <c r="D1927" s="12"/>
      <c r="G1927" s="9"/>
      <c r="H1927" s="12"/>
    </row>
    <row r="1928" spans="2:12" s="10" customFormat="1" ht="18" customHeight="1">
      <c r="D1928" s="12" t="s">
        <v>3975</v>
      </c>
      <c r="G1928" s="9"/>
      <c r="H1928" s="12"/>
      <c r="I1928" s="9" t="s">
        <v>6242</v>
      </c>
      <c r="J1928" s="173" t="e">
        <f>IF(cst_shinsei_strtower14_prgo02_NINTEI__umu="無",IF(shinsei_strtower14_prgo02_MAKER_NAME="","",shinsei_strtower14_prgo02_MAKER_NAME&amp;"  "),"")</f>
        <v>#NAME?</v>
      </c>
    </row>
    <row r="1929" spans="2:12" s="10" customFormat="1" ht="18" customHeight="1">
      <c r="D1929" s="12" t="s">
        <v>3972</v>
      </c>
      <c r="G1929" s="9"/>
      <c r="H1929" s="12"/>
      <c r="I1929" s="9" t="s">
        <v>6243</v>
      </c>
      <c r="J1929" s="25" t="e">
        <f>IF(cst_shinsei_strtower14_prgo02_NINTEI__umu="無",IF(shinsei_strtower14_prgo02_NAME="","",shinsei_strtower14_prgo02_NAME&amp;" ")&amp;IF(shinsei_strtower14_prgo02_VER="","","Ver."&amp;shinsei_strtower14_prgo02_VER&amp;"  "),"")</f>
        <v>#NAME?</v>
      </c>
    </row>
    <row r="1930" spans="2:12" s="10" customFormat="1" ht="18" customHeight="1">
      <c r="B1930" s="105" t="s">
        <v>4016</v>
      </c>
      <c r="C1930" s="105"/>
      <c r="D1930" s="105"/>
      <c r="E1930" s="24"/>
      <c r="F1930" s="24"/>
      <c r="G1930" s="9"/>
      <c r="H1930" s="12"/>
    </row>
    <row r="1931" spans="2:12" s="10" customFormat="1" ht="18" customHeight="1">
      <c r="C1931" s="10" t="s">
        <v>3951</v>
      </c>
      <c r="D1931" s="12"/>
      <c r="G1931" s="9" t="s">
        <v>6244</v>
      </c>
      <c r="H1931" s="13"/>
    </row>
    <row r="1932" spans="2:12" s="10" customFormat="1" ht="18" customHeight="1">
      <c r="C1932" s="12" t="s">
        <v>3954</v>
      </c>
      <c r="D1932" s="12"/>
      <c r="G1932" s="9" t="s">
        <v>6245</v>
      </c>
      <c r="H1932" s="13"/>
    </row>
    <row r="1933" spans="2:12" s="10" customFormat="1" ht="18" customHeight="1">
      <c r="C1933" s="12" t="s">
        <v>3957</v>
      </c>
      <c r="D1933" s="12"/>
      <c r="G1933" s="9"/>
      <c r="H1933" s="9"/>
      <c r="I1933" s="10" t="s">
        <v>6246</v>
      </c>
      <c r="J1933" s="25" t="e">
        <f>IF(shinsei_strtower14_prgo03_NAME="","",IF(shinsei_strtower14_prgo03_NINTEI_NO="","無","有"))</f>
        <v>#NAME?</v>
      </c>
      <c r="K1933" s="10" t="s">
        <v>2941</v>
      </c>
      <c r="L1933" s="10" t="s">
        <v>3879</v>
      </c>
    </row>
    <row r="1934" spans="2:12" s="10" customFormat="1" ht="18" customHeight="1">
      <c r="C1934" s="12" t="s">
        <v>3960</v>
      </c>
      <c r="D1934" s="12"/>
      <c r="G1934" s="9" t="s">
        <v>6247</v>
      </c>
      <c r="H1934" s="13"/>
      <c r="K1934" s="10" t="s">
        <v>3862</v>
      </c>
      <c r="L1934" s="10" t="s">
        <v>3879</v>
      </c>
    </row>
    <row r="1935" spans="2:12" s="10" customFormat="1" ht="18" customHeight="1">
      <c r="C1935" s="12" t="s">
        <v>3964</v>
      </c>
      <c r="D1935" s="12"/>
      <c r="G1935" s="9" t="s">
        <v>6248</v>
      </c>
      <c r="H1935" s="74"/>
      <c r="I1935" s="10" t="s">
        <v>6249</v>
      </c>
      <c r="J1935" s="25" t="e">
        <f>IF(shinsei_strtower14_prgo03_NINTEI_DATE="","",TEXT(shinsei_strtower14_prgo03_NINTEI_DATE,"ggge年m月d日")&amp;"  ")</f>
        <v>#NAME?</v>
      </c>
    </row>
    <row r="1936" spans="2:12" s="10" customFormat="1" ht="18" customHeight="1">
      <c r="C1936" s="12" t="s">
        <v>3967</v>
      </c>
      <c r="D1936" s="12"/>
      <c r="G1936" s="9" t="s">
        <v>6250</v>
      </c>
      <c r="H1936" s="13"/>
      <c r="I1936" s="9"/>
      <c r="J1936" s="9"/>
    </row>
    <row r="1937" spans="2:12" s="10" customFormat="1" ht="18" customHeight="1">
      <c r="C1937" s="12" t="s">
        <v>3970</v>
      </c>
      <c r="D1937" s="12"/>
      <c r="G1937" s="9"/>
      <c r="H1937" s="12"/>
      <c r="I1937" s="9" t="s">
        <v>6251</v>
      </c>
      <c r="J1937" s="25" t="e">
        <f>IF(shinsei_strtower14_prgo03_NAME="","",shinsei_strtower14_prgo03_NAME)&amp;CHAR(10)&amp;IF(shinsei_strtower14_prgo03_VER="","","Ver."&amp;shinsei_strtower14_prgo03_VER&amp;CHAR(10))</f>
        <v>#NAME?</v>
      </c>
    </row>
    <row r="1938" spans="2:12" s="10" customFormat="1" ht="18" customHeight="1">
      <c r="C1938" s="12" t="s">
        <v>3972</v>
      </c>
      <c r="D1938" s="12"/>
      <c r="G1938" s="9"/>
      <c r="H1938" s="12"/>
      <c r="I1938" s="9" t="s">
        <v>6252</v>
      </c>
      <c r="J1938" s="25" t="e">
        <f>IF(shinsei_strtower14_prgo03_NAME="","",shinsei_strtower14_prgo03_NAME&amp;" ")&amp;IF(shinsei_strtower14_prgo03_VER="","","Ver."&amp;shinsei_strtower14_prgo03_VER&amp;"  ")</f>
        <v>#NAME?</v>
      </c>
    </row>
    <row r="1939" spans="2:12" s="10" customFormat="1" ht="18" customHeight="1">
      <c r="C1939" s="12" t="s">
        <v>3974</v>
      </c>
      <c r="D1939" s="12"/>
      <c r="G1939" s="9"/>
      <c r="H1939" s="12"/>
    </row>
    <row r="1940" spans="2:12" s="10" customFormat="1" ht="18" customHeight="1">
      <c r="D1940" s="12" t="s">
        <v>3975</v>
      </c>
      <c r="G1940" s="9"/>
      <c r="H1940" s="12"/>
      <c r="I1940" s="9" t="s">
        <v>6253</v>
      </c>
      <c r="J1940" s="173" t="e">
        <f>IF(cst_shinsei_strtower14_prgo03_NINTEI__umu="有",IF(shinsei_strtower14_prgo03_MAKER_NAME="","",shinsei_strtower14_prgo03_MAKER_NAME&amp;"  "),"")</f>
        <v>#NAME?</v>
      </c>
    </row>
    <row r="1941" spans="2:12" s="10" customFormat="1" ht="18" customHeight="1">
      <c r="D1941" s="12" t="s">
        <v>3972</v>
      </c>
      <c r="G1941" s="9"/>
      <c r="H1941" s="12"/>
      <c r="I1941" s="9" t="s">
        <v>6254</v>
      </c>
      <c r="J1941" s="25" t="e">
        <f>IF(cst_shinsei_strtower14_prgo03_NINTEI__umu="有",IF(shinsei_strtower14_prgo03_NAME="","",shinsei_strtower14_prgo03_NAME&amp;" ")&amp;IF(shinsei_strtower14_prgo03_VER="","","Ver."&amp;shinsei_strtower14_prgo03_VER&amp;"  "),"")</f>
        <v>#NAME?</v>
      </c>
    </row>
    <row r="1942" spans="2:12" s="10" customFormat="1" ht="18" customHeight="1">
      <c r="C1942" s="12" t="s">
        <v>3981</v>
      </c>
      <c r="D1942" s="12"/>
      <c r="G1942" s="9"/>
      <c r="H1942" s="12"/>
    </row>
    <row r="1943" spans="2:12" s="10" customFormat="1" ht="18" customHeight="1">
      <c r="D1943" s="12" t="s">
        <v>3975</v>
      </c>
      <c r="G1943" s="9"/>
      <c r="H1943" s="12"/>
      <c r="I1943" s="9" t="s">
        <v>6255</v>
      </c>
      <c r="J1943" s="173" t="e">
        <f>IF(cst_shinsei_strtower14_prgo03_NINTEI__umu="無",IF(shinsei_strtower14_prgo03_MAKER_NAME="","",shinsei_strtower14_prgo03_MAKER_NAME&amp;"  "),"")</f>
        <v>#NAME?</v>
      </c>
    </row>
    <row r="1944" spans="2:12" s="10" customFormat="1" ht="18" customHeight="1">
      <c r="D1944" s="12" t="s">
        <v>3972</v>
      </c>
      <c r="G1944" s="9"/>
      <c r="H1944" s="12"/>
      <c r="I1944" s="9" t="s">
        <v>6256</v>
      </c>
      <c r="J1944" s="25" t="e">
        <f>IF(cst_shinsei_strtower14_prgo03_NINTEI__umu="無",IF(shinsei_strtower14_prgo03_NAME="","",shinsei_strtower14_prgo03_NAME&amp;" ")&amp;IF(shinsei_strtower14_prgo03_VER="","","Ver."&amp;shinsei_strtower14_prgo03_VER&amp;"  "),"")</f>
        <v>#NAME?</v>
      </c>
    </row>
    <row r="1945" spans="2:12" s="10" customFormat="1" ht="18" customHeight="1">
      <c r="B1945" s="105" t="s">
        <v>4031</v>
      </c>
      <c r="C1945" s="105"/>
      <c r="D1945" s="105"/>
      <c r="E1945" s="24"/>
      <c r="F1945" s="24"/>
      <c r="G1945" s="9"/>
      <c r="H1945" s="12"/>
    </row>
    <row r="1946" spans="2:12" s="10" customFormat="1" ht="18" customHeight="1">
      <c r="C1946" s="10" t="s">
        <v>3951</v>
      </c>
      <c r="D1946" s="12"/>
      <c r="G1946" s="9" t="s">
        <v>6257</v>
      </c>
      <c r="H1946" s="13"/>
    </row>
    <row r="1947" spans="2:12" s="10" customFormat="1" ht="18" customHeight="1">
      <c r="C1947" s="12" t="s">
        <v>3954</v>
      </c>
      <c r="D1947" s="12"/>
      <c r="G1947" s="9" t="s">
        <v>6258</v>
      </c>
      <c r="H1947" s="13"/>
    </row>
    <row r="1948" spans="2:12" s="10" customFormat="1" ht="18" customHeight="1">
      <c r="C1948" s="12" t="s">
        <v>3957</v>
      </c>
      <c r="D1948" s="12"/>
      <c r="G1948" s="9"/>
      <c r="H1948" s="9"/>
      <c r="I1948" s="10" t="s">
        <v>6259</v>
      </c>
      <c r="J1948" s="25" t="e">
        <f>IF(shinsei_strtower14_prgo04_NAME="","",IF(shinsei_strtower14_prgo04_NINTEI_NO="","無","有"))</f>
        <v>#NAME?</v>
      </c>
      <c r="K1948" s="10" t="s">
        <v>2941</v>
      </c>
      <c r="L1948" s="10" t="s">
        <v>3879</v>
      </c>
    </row>
    <row r="1949" spans="2:12" s="10" customFormat="1" ht="18" customHeight="1">
      <c r="C1949" s="12" t="s">
        <v>3960</v>
      </c>
      <c r="D1949" s="12"/>
      <c r="G1949" s="9" t="s">
        <v>6260</v>
      </c>
      <c r="H1949" s="13"/>
      <c r="K1949" s="10" t="s">
        <v>3862</v>
      </c>
      <c r="L1949" s="10" t="s">
        <v>3879</v>
      </c>
    </row>
    <row r="1950" spans="2:12" s="10" customFormat="1" ht="18" customHeight="1">
      <c r="C1950" s="12" t="s">
        <v>3964</v>
      </c>
      <c r="D1950" s="12"/>
      <c r="G1950" s="9" t="s">
        <v>6261</v>
      </c>
      <c r="H1950" s="74"/>
      <c r="I1950" s="10" t="s">
        <v>6262</v>
      </c>
      <c r="J1950" s="25" t="e">
        <f>IF(shinsei_strtower14_prgo04_NINTEI_DATE="","",TEXT(shinsei_strtower14_prgo04_NINTEI_DATE,"ggge年m月d日")&amp;"  ")</f>
        <v>#NAME?</v>
      </c>
    </row>
    <row r="1951" spans="2:12" s="10" customFormat="1" ht="18" customHeight="1">
      <c r="C1951" s="12" t="s">
        <v>3967</v>
      </c>
      <c r="D1951" s="12"/>
      <c r="G1951" s="9" t="s">
        <v>6263</v>
      </c>
      <c r="H1951" s="13"/>
      <c r="I1951" s="9"/>
      <c r="J1951" s="9"/>
    </row>
    <row r="1952" spans="2:12" s="10" customFormat="1" ht="18" customHeight="1">
      <c r="C1952" s="12" t="s">
        <v>3970</v>
      </c>
      <c r="D1952" s="12"/>
      <c r="G1952" s="9"/>
      <c r="H1952" s="12"/>
      <c r="I1952" s="9" t="s">
        <v>6264</v>
      </c>
      <c r="J1952" s="25" t="e">
        <f>IF(shinsei_strtower14_prgo04_NAME="","",shinsei_strtower14_prgo04_NAME)&amp;CHAR(10)&amp;IF(shinsei_strtower14_prgo04_VER="","","Ver."&amp;shinsei_strtower14_prgo04_VER&amp;CHAR(10))</f>
        <v>#NAME?</v>
      </c>
    </row>
    <row r="1953" spans="2:12" s="10" customFormat="1" ht="18" customHeight="1">
      <c r="C1953" s="12" t="s">
        <v>3972</v>
      </c>
      <c r="D1953" s="12"/>
      <c r="G1953" s="9"/>
      <c r="H1953" s="12"/>
      <c r="I1953" s="9" t="s">
        <v>6265</v>
      </c>
      <c r="J1953" s="25" t="e">
        <f>IF(shinsei_strtower14_prgo04_NAME="","",shinsei_strtower14_prgo04_NAME&amp;" ")&amp;IF(shinsei_strtower14_prgo04_VER="","","Ver."&amp;shinsei_strtower14_prgo04_VER&amp;"  ")</f>
        <v>#NAME?</v>
      </c>
    </row>
    <row r="1954" spans="2:12" s="10" customFormat="1" ht="18" customHeight="1">
      <c r="C1954" s="12" t="s">
        <v>3974</v>
      </c>
      <c r="D1954" s="12"/>
      <c r="G1954" s="9"/>
      <c r="H1954" s="12"/>
    </row>
    <row r="1955" spans="2:12" s="10" customFormat="1" ht="18" customHeight="1">
      <c r="D1955" s="12" t="s">
        <v>3975</v>
      </c>
      <c r="G1955" s="9"/>
      <c r="H1955" s="12"/>
      <c r="I1955" s="9" t="s">
        <v>6266</v>
      </c>
      <c r="J1955" s="173" t="e">
        <f>IF(cst_shinsei_strtower14_prgo04_NINTEI__umu="有",IF(shinsei_strtower14_prgo04_MAKER_NAME="","",shinsei_strtower14_prgo04_MAKER_NAME&amp;"  "),"")</f>
        <v>#NAME?</v>
      </c>
    </row>
    <row r="1956" spans="2:12" s="10" customFormat="1" ht="18" customHeight="1">
      <c r="D1956" s="12" t="s">
        <v>3972</v>
      </c>
      <c r="G1956" s="9"/>
      <c r="H1956" s="12"/>
      <c r="I1956" s="9" t="s">
        <v>6267</v>
      </c>
      <c r="J1956" s="25" t="e">
        <f>IF(cst_shinsei_strtower14_prgo04_NINTEI__umu="有",IF(shinsei_strtower14_prgo04_NAME="","",shinsei_strtower14_prgo04_NAME&amp;" ")&amp;IF(shinsei_strtower14_prgo04_VER="","","Ver."&amp;shinsei_strtower14_prgo04_VER&amp;"  "),"")</f>
        <v>#NAME?</v>
      </c>
    </row>
    <row r="1957" spans="2:12" s="10" customFormat="1" ht="18" customHeight="1">
      <c r="C1957" s="12" t="s">
        <v>3981</v>
      </c>
      <c r="D1957" s="12"/>
      <c r="G1957" s="9"/>
      <c r="H1957" s="12"/>
    </row>
    <row r="1958" spans="2:12" s="10" customFormat="1" ht="18" customHeight="1">
      <c r="D1958" s="12" t="s">
        <v>3975</v>
      </c>
      <c r="G1958" s="9"/>
      <c r="H1958" s="12"/>
      <c r="I1958" s="9" t="s">
        <v>6268</v>
      </c>
      <c r="J1958" s="173" t="e">
        <f>IF(cst_shinsei_strtower14_prgo04_NINTEI__umu="無",IF(shinsei_strtower14_prgo04_MAKER_NAME="","",shinsei_strtower14_prgo04_MAKER_NAME&amp;"  "),"")</f>
        <v>#NAME?</v>
      </c>
    </row>
    <row r="1959" spans="2:12" s="10" customFormat="1" ht="18" customHeight="1">
      <c r="D1959" s="12" t="s">
        <v>3972</v>
      </c>
      <c r="G1959" s="9"/>
      <c r="H1959" s="12"/>
      <c r="I1959" s="9" t="s">
        <v>6269</v>
      </c>
      <c r="J1959" s="25" t="e">
        <f>IF(cst_shinsei_strtower14_prgo04_NINTEI__umu="無",IF(shinsei_strtower14_prgo04_NAME="","",shinsei_strtower14_prgo04_NAME&amp;" ")&amp;IF(shinsei_strtower14_prgo04_VER="","","Ver."&amp;shinsei_strtower14_prgo04_VER&amp;"  "),"")</f>
        <v>#NAME?</v>
      </c>
    </row>
    <row r="1960" spans="2:12" s="10" customFormat="1" ht="18" customHeight="1">
      <c r="B1960" s="105" t="s">
        <v>4049</v>
      </c>
      <c r="C1960" s="105"/>
      <c r="D1960" s="105"/>
      <c r="E1960" s="24"/>
      <c r="F1960" s="24"/>
      <c r="G1960" s="9"/>
      <c r="H1960" s="12"/>
    </row>
    <row r="1961" spans="2:12" s="10" customFormat="1" ht="18" customHeight="1">
      <c r="C1961" s="10" t="s">
        <v>3951</v>
      </c>
      <c r="D1961" s="12"/>
      <c r="G1961" s="9" t="s">
        <v>6270</v>
      </c>
      <c r="H1961" s="13"/>
    </row>
    <row r="1962" spans="2:12" s="10" customFormat="1" ht="18" customHeight="1">
      <c r="C1962" s="12" t="s">
        <v>3954</v>
      </c>
      <c r="D1962" s="12"/>
      <c r="G1962" s="9" t="s">
        <v>6271</v>
      </c>
      <c r="H1962" s="13"/>
    </row>
    <row r="1963" spans="2:12" s="10" customFormat="1" ht="18" customHeight="1">
      <c r="C1963" s="12" t="s">
        <v>3957</v>
      </c>
      <c r="D1963" s="12"/>
      <c r="G1963" s="9"/>
      <c r="H1963" s="9"/>
      <c r="I1963" s="10" t="s">
        <v>6272</v>
      </c>
      <c r="J1963" s="25" t="e">
        <f>IF(shinsei_strtower14_prgo05_NAME="","",IF(shinsei_strtower14_prgo05_NINTEI_NO="","無","有"))</f>
        <v>#NAME?</v>
      </c>
      <c r="K1963" s="10" t="s">
        <v>2941</v>
      </c>
      <c r="L1963" s="10" t="s">
        <v>3879</v>
      </c>
    </row>
    <row r="1964" spans="2:12" s="10" customFormat="1" ht="18" customHeight="1">
      <c r="C1964" s="12" t="s">
        <v>3960</v>
      </c>
      <c r="D1964" s="12"/>
      <c r="G1964" s="9" t="s">
        <v>6273</v>
      </c>
      <c r="H1964" s="13"/>
      <c r="K1964" s="10" t="s">
        <v>3862</v>
      </c>
      <c r="L1964" s="10" t="s">
        <v>3879</v>
      </c>
    </row>
    <row r="1965" spans="2:12" s="10" customFormat="1" ht="18" customHeight="1">
      <c r="C1965" s="12" t="s">
        <v>3964</v>
      </c>
      <c r="D1965" s="12"/>
      <c r="G1965" s="9" t="s">
        <v>6274</v>
      </c>
      <c r="H1965" s="74"/>
      <c r="I1965" s="10" t="s">
        <v>6275</v>
      </c>
      <c r="J1965" s="25" t="e">
        <f>IF(shinsei_strtower14_prgo05_NINTEI_DATE="","",TEXT(shinsei_strtower14_prgo05_NINTEI_DATE,"ggge年m月d日")&amp;"  ")</f>
        <v>#NAME?</v>
      </c>
    </row>
    <row r="1966" spans="2:12" s="10" customFormat="1" ht="18" customHeight="1">
      <c r="C1966" s="12" t="s">
        <v>3967</v>
      </c>
      <c r="D1966" s="12"/>
      <c r="G1966" s="9" t="s">
        <v>6276</v>
      </c>
      <c r="H1966" s="13"/>
    </row>
    <row r="1967" spans="2:12" s="10" customFormat="1" ht="18" customHeight="1">
      <c r="C1967" s="12" t="s">
        <v>3970</v>
      </c>
      <c r="D1967" s="12"/>
      <c r="G1967" s="9"/>
      <c r="H1967" s="12"/>
      <c r="I1967" s="9" t="s">
        <v>6277</v>
      </c>
      <c r="J1967" s="25" t="e">
        <f>IF(shinsei_strtower14_prgo05_NAME="","",shinsei_strtower14_prgo05_NAME)&amp;CHAR(10)&amp;IF(shinsei_strtower14_prgo05_VER="","","Ver."&amp;shinsei_strtower14_prgo05_VER&amp;CHAR(10))</f>
        <v>#NAME?</v>
      </c>
    </row>
    <row r="1968" spans="2:12" s="10" customFormat="1" ht="18" customHeight="1">
      <c r="C1968" s="12" t="s">
        <v>3972</v>
      </c>
      <c r="D1968" s="12"/>
      <c r="G1968" s="9"/>
      <c r="H1968" s="12"/>
      <c r="I1968" s="9" t="s">
        <v>6278</v>
      </c>
      <c r="J1968" s="25" t="e">
        <f>IF(shinsei_strtower14_prgo05_NAME="","",shinsei_strtower14_prgo05_NAME&amp;" ")&amp;IF(shinsei_strtower14_prgo05_VER="","","Ver."&amp;shinsei_strtower14_prgo05_VER&amp;"  ")</f>
        <v>#NAME?</v>
      </c>
    </row>
    <row r="1969" spans="2:10" s="10" customFormat="1" ht="18" customHeight="1">
      <c r="C1969" s="12" t="s">
        <v>3974</v>
      </c>
      <c r="D1969" s="12"/>
      <c r="G1969" s="9"/>
      <c r="H1969" s="12"/>
    </row>
    <row r="1970" spans="2:10" s="10" customFormat="1" ht="18" customHeight="1">
      <c r="D1970" s="12" t="s">
        <v>6279</v>
      </c>
      <c r="G1970" s="9"/>
      <c r="H1970" s="12"/>
      <c r="I1970" s="9" t="s">
        <v>6280</v>
      </c>
      <c r="J1970" s="173" t="e">
        <f>IF(cst_shinsei_strtower14_prgo05_NINTEI__umu="有",IF(shinsei_strtower14_prgo05_MAKER_NAME="","",shinsei_strtower14_prgo05_MAKER_NAME&amp;"  "),"")</f>
        <v>#NAME?</v>
      </c>
    </row>
    <row r="1971" spans="2:10" s="10" customFormat="1" ht="18" customHeight="1">
      <c r="D1971" s="12" t="s">
        <v>3972</v>
      </c>
      <c r="G1971" s="9"/>
      <c r="H1971" s="12"/>
      <c r="I1971" s="9" t="s">
        <v>6281</v>
      </c>
      <c r="J1971" s="25" t="e">
        <f>IF(cst_shinsei_strtower14_prgo05_NINTEI__umu="有",IF(shinsei_strtower14_prgo05_NAME="","",shinsei_strtower14_prgo05_NAME&amp;" ")&amp;IF(shinsei_strtower14_prgo05_VER="","","Ver."&amp;shinsei_strtower14_prgo05_VER&amp;"  "),"")</f>
        <v>#NAME?</v>
      </c>
    </row>
    <row r="1972" spans="2:10" s="10" customFormat="1" ht="18" customHeight="1">
      <c r="C1972" s="12" t="s">
        <v>3981</v>
      </c>
      <c r="D1972" s="12"/>
      <c r="G1972" s="9"/>
      <c r="H1972" s="12"/>
    </row>
    <row r="1973" spans="2:10" s="10" customFormat="1" ht="18" customHeight="1">
      <c r="D1973" s="12" t="s">
        <v>3975</v>
      </c>
      <c r="G1973" s="9"/>
      <c r="H1973" s="12"/>
      <c r="I1973" s="9" t="s">
        <v>6282</v>
      </c>
      <c r="J1973" s="173" t="e">
        <f>IF(cst_shinsei_strtower14_prgo05_NINTEI__umu="無",IF(shinsei_strtower14_prgo05_MAKER_NAME="","",shinsei_strtower14_prgo05_MAKER_NAME&amp;"  "),"")</f>
        <v>#NAME?</v>
      </c>
    </row>
    <row r="1974" spans="2:10" s="10" customFormat="1" ht="18" customHeight="1">
      <c r="D1974" s="12" t="s">
        <v>3972</v>
      </c>
      <c r="G1974" s="9"/>
      <c r="H1974" s="12"/>
      <c r="I1974" s="9" t="s">
        <v>6283</v>
      </c>
      <c r="J1974" s="25" t="e">
        <f>IF(cst_shinsei_strtower14_prgo05_NINTEI__umu="無",IF(shinsei_strtower14_prgo05_NAME="","",shinsei_strtower14_prgo05_NAME&amp;" ")&amp;IF(shinsei_strtower14_prgo05_VER="","","Ver."&amp;shinsei_strtower14_prgo05_VER&amp;"  "),"")</f>
        <v>#NAME?</v>
      </c>
    </row>
    <row r="1975" spans="2:10" s="10" customFormat="1" ht="18" customHeight="1">
      <c r="B1975" s="13" t="s">
        <v>3827</v>
      </c>
      <c r="C1975" s="13"/>
      <c r="D1975" s="13"/>
      <c r="E1975" s="25"/>
      <c r="F1975" s="25"/>
      <c r="G1975" s="9"/>
      <c r="H1975" s="80"/>
      <c r="I1975" s="9"/>
      <c r="J1975" s="80"/>
    </row>
    <row r="1976" spans="2:10" s="10" customFormat="1" ht="18" customHeight="1">
      <c r="C1976" s="12" t="s">
        <v>3970</v>
      </c>
      <c r="D1976" s="12"/>
      <c r="G1976" s="9"/>
      <c r="H1976" s="80"/>
      <c r="I1976" s="166" t="s">
        <v>6284</v>
      </c>
      <c r="J1976" s="74" t="e">
        <f>cst_shinsei_strtower14_prgo01_NAME_VER&amp;cst_shinsei_strtower14_prgo02_NAME_VER&amp;cst_shinsei_strtower14_prgo03_NAME_VER&amp;cst_shinsei_strtower14_prgo04_NAME_VER&amp;cst_shinsei_strtower14_prgo05_NAME_VER</f>
        <v>#NAME?</v>
      </c>
    </row>
    <row r="1977" spans="2:10" s="10" customFormat="1" ht="18" customHeight="1">
      <c r="C1977" s="12" t="s">
        <v>3972</v>
      </c>
      <c r="D1977" s="12"/>
      <c r="G1977" s="9"/>
      <c r="H1977" s="80"/>
      <c r="I1977" s="166" t="s">
        <v>6285</v>
      </c>
      <c r="J1977" s="74" t="e">
        <f>cst_shinsei_strtower14_prgo01_NAME_VER__SP&amp;cst_shinsei_strtower14_prgo02_NAME_VER__SP&amp;cst_shinsei_strtower14_prgo03_NAME_VER__SP&amp;cst_shinsei_strtower14_prgo04_NAME_VER__SP&amp;cst_shinsei_strtower14_prgo05_NAME_VER__SP</f>
        <v>#NAME?</v>
      </c>
    </row>
    <row r="1978" spans="2:10" s="10" customFormat="1" ht="18" customHeight="1">
      <c r="B1978" s="13" t="s">
        <v>4068</v>
      </c>
      <c r="C1978" s="13"/>
      <c r="D1978" s="13"/>
      <c r="E1978" s="25"/>
      <c r="F1978" s="25"/>
      <c r="G1978" s="9"/>
      <c r="H1978" s="80"/>
      <c r="I1978" s="9"/>
      <c r="J1978" s="80"/>
    </row>
    <row r="1979" spans="2:10" s="10" customFormat="1" ht="18" customHeight="1">
      <c r="C1979" s="12" t="s">
        <v>3975</v>
      </c>
      <c r="D1979" s="12"/>
      <c r="G1979" s="9"/>
      <c r="H1979" s="80"/>
      <c r="I1979" s="166" t="s">
        <v>6286</v>
      </c>
      <c r="J1979" s="74" t="e">
        <f>cst_shinsei_strtower14_prgo01_MAKER__NINTEI_ari&amp;cst_shinsei_strtower14_prgo02_MAKER__NINTEI_ari&amp;cst_shinsei_strtower14_prgo03_MAKER__NINTEI_ari&amp;cst_shinsei_strtower14_prgo04_MAKER__NINTEI_ari&amp;cst_shinsei_strtower14_prgo05_MAKER__NINTEI_ari</f>
        <v>#NAME?</v>
      </c>
    </row>
    <row r="1980" spans="2:10" s="10" customFormat="1" ht="18" customHeight="1">
      <c r="C1980" s="12" t="s">
        <v>3972</v>
      </c>
      <c r="D1980" s="12"/>
      <c r="G1980" s="9"/>
      <c r="H1980" s="80"/>
      <c r="I1980" s="166" t="s">
        <v>6287</v>
      </c>
      <c r="J1980" s="173" t="e">
        <f>cst_shinsei_strtower14_prgo01_NAME_VER__NINTEI_ari&amp;cst_shinsei_strtower14_prgo02_NAME_VER__NINTEI_ari&amp;cst_shinsei_strtower14_prgo03_NAME_VER__NINTEI_ari&amp;cst_shinsei_strtower14_prgo04_NAME_VER__NINTEI_ari&amp;cst_shinsei_strtower14_prgo05_NAME_VER__NINTEI_ari</f>
        <v>#NAME?</v>
      </c>
    </row>
    <row r="1981" spans="2:10" s="10" customFormat="1" ht="18" customHeight="1">
      <c r="C1981" s="12" t="s">
        <v>3964</v>
      </c>
      <c r="D1981" s="12"/>
      <c r="G1981" s="9"/>
      <c r="H1981" s="80"/>
      <c r="I1981" s="166" t="s">
        <v>6288</v>
      </c>
      <c r="J1981" s="74" t="e">
        <f>cst_shinsei_strtower14_prgo01_NINTEI_DATE_dsp&amp;cst_shinsei_strtower14_prgo02_NINTEI_DATE_dsp&amp;cst_shinsei_strtower14_prgo03_NINTEI_DATE_dsp&amp;cst_shinsei_strtower14_prgo04_NINTEI_DATE_dsp&amp;cst_shinsei_strtower14_prgo05_NINTEI_DATE_dsp</f>
        <v>#NAME?</v>
      </c>
    </row>
    <row r="1982" spans="2:10" s="10" customFormat="1" ht="18" customHeight="1">
      <c r="B1982" s="13" t="s">
        <v>4072</v>
      </c>
      <c r="C1982" s="13"/>
      <c r="D1982" s="13"/>
      <c r="E1982" s="25"/>
      <c r="F1982" s="25"/>
      <c r="G1982" s="9"/>
      <c r="H1982" s="80"/>
      <c r="I1982" s="9"/>
      <c r="J1982" s="80"/>
    </row>
    <row r="1983" spans="2:10" s="10" customFormat="1" ht="18" customHeight="1">
      <c r="C1983" s="12" t="s">
        <v>3975</v>
      </c>
      <c r="D1983" s="12"/>
      <c r="G1983" s="9"/>
      <c r="H1983" s="80"/>
      <c r="I1983" s="166" t="s">
        <v>6289</v>
      </c>
      <c r="J1983" s="74" t="e">
        <f>cst_shinsei_strtower14_prgo01_MAKER__NINTEI_non&amp;cst_shinsei_strtower14_prgo02_MAKER__NINTEI_non&amp;cst_shinsei_strtower14_prgo03_MAKER__NINTEI_non&amp;cst_shinsei_strtower14_prgo04_MAKER__NINTEI_non&amp;cst_shinsei_strtower14_prgo05_MAKER__NINTEI_non</f>
        <v>#NAME?</v>
      </c>
    </row>
    <row r="1984" spans="2:10" s="10" customFormat="1" ht="18" customHeight="1">
      <c r="C1984" s="12" t="s">
        <v>3972</v>
      </c>
      <c r="D1984" s="12"/>
      <c r="G1984" s="9"/>
      <c r="H1984" s="80"/>
      <c r="I1984" s="166" t="s">
        <v>6290</v>
      </c>
      <c r="J1984" s="173" t="e">
        <f>cst_shinsei_strtower14_prgo01_NAME_VER__NINTEI_non&amp;cst_shinsei_strtower14_prgo02_NAME_VER__NINTEI_non&amp;cst_shinsei_strtower14_prgo03_NAME_VER__NINTEI_non&amp;cst_shinsei_strtower14_prgo04_NAME_VER__NINTEI_non&amp;cst_shinsei_strtower14_prgo05_NAME_VER__NINTEI_non</f>
        <v>#NAME?</v>
      </c>
    </row>
    <row r="1985" spans="1:12" s="10" customFormat="1" ht="18" customHeight="1">
      <c r="B1985" s="12" t="s">
        <v>4075</v>
      </c>
      <c r="G1985" s="9" t="s">
        <v>6291</v>
      </c>
      <c r="H1985" s="20"/>
      <c r="I1985" s="9" t="s">
        <v>6292</v>
      </c>
      <c r="J1985" s="20" t="e">
        <f>IF(shinsei_strtower14_DISK_FLAG="","",IF(shinsei_strtower14_DISK_FLAG=1,"有","無"))</f>
        <v>#NAME?</v>
      </c>
    </row>
    <row r="1986" spans="1:12" s="10" customFormat="1" ht="18" customHeight="1">
      <c r="A1986" s="9"/>
      <c r="B1986" s="9" t="s">
        <v>2955</v>
      </c>
      <c r="C1986" s="9"/>
      <c r="D1986" s="9"/>
      <c r="E1986" s="9"/>
      <c r="F1986" s="9"/>
      <c r="G1986" s="9" t="s">
        <v>6293</v>
      </c>
      <c r="H1986" s="136"/>
      <c r="I1986" s="19" t="s">
        <v>6294</v>
      </c>
      <c r="J1986" s="171" t="e">
        <f>IF(shinsei_strtower14_CHARGE="","",shinsei_strtower14_CHARGE)</f>
        <v>#NAME?</v>
      </c>
      <c r="K1986" s="9" t="s">
        <v>2528</v>
      </c>
      <c r="L1986" s="9" t="s">
        <v>2528</v>
      </c>
    </row>
    <row r="1987" spans="1:12" ht="18" customHeight="1">
      <c r="A1987" s="149"/>
      <c r="B1987" s="149"/>
      <c r="C1987" s="149"/>
      <c r="D1987" s="149"/>
      <c r="E1987" s="12" t="s">
        <v>3907</v>
      </c>
      <c r="F1987" s="12"/>
      <c r="G1987" s="149"/>
      <c r="I1987" s="100" t="s">
        <v>6295</v>
      </c>
      <c r="J1987" s="171" t="e">
        <f>IF(shinsei_strtower14_CHARGE="","",TEXT(shinsei_strtower14_CHARGE,"#,##0_ ")&amp;"円")</f>
        <v>#NAME?</v>
      </c>
      <c r="K1987" s="9"/>
      <c r="L1987" s="9"/>
    </row>
    <row r="1988" spans="1:12" ht="18" customHeight="1">
      <c r="A1988" s="149"/>
      <c r="B1988" s="149" t="s">
        <v>3041</v>
      </c>
      <c r="C1988" s="149"/>
      <c r="D1988" s="149"/>
      <c r="E1988" s="149"/>
      <c r="F1988" s="149"/>
      <c r="G1988" s="149" t="s">
        <v>6296</v>
      </c>
      <c r="H1988" s="136"/>
      <c r="I1988" s="100" t="s">
        <v>6297</v>
      </c>
      <c r="J1988" s="136" t="e">
        <f>IF(shinsei_strtower14_CHARGE_WARIMASHI="","",shinsei_strtower14_CHARGE_WARIMASHI)</f>
        <v>#NAME?</v>
      </c>
      <c r="K1988" s="9" t="s">
        <v>2528</v>
      </c>
      <c r="L1988" s="9" t="s">
        <v>2528</v>
      </c>
    </row>
    <row r="1989" spans="1:12" ht="18" customHeight="1">
      <c r="A1989" s="149"/>
      <c r="B1989" s="149" t="s">
        <v>3043</v>
      </c>
      <c r="C1989" s="149"/>
      <c r="D1989" s="149"/>
      <c r="E1989" s="149"/>
      <c r="F1989" s="149"/>
      <c r="G1989" s="149" t="s">
        <v>6298</v>
      </c>
      <c r="H1989" s="136"/>
      <c r="I1989" s="100" t="s">
        <v>6299</v>
      </c>
      <c r="J1989" s="136" t="e">
        <f>IF(shinsei_strtower14_CHARGE_TOTAL="","",shinsei_strtower14_CHARGE_TOTAL)</f>
        <v>#NAME?</v>
      </c>
      <c r="K1989" s="9" t="s">
        <v>2528</v>
      </c>
      <c r="L1989" s="9" t="s">
        <v>2528</v>
      </c>
    </row>
    <row r="1990" spans="1:12" ht="18" customHeight="1">
      <c r="A1990" s="149"/>
      <c r="B1990" s="149" t="s">
        <v>5637</v>
      </c>
      <c r="C1990" s="149"/>
      <c r="D1990" s="149"/>
      <c r="E1990" s="149"/>
      <c r="F1990" s="149"/>
      <c r="G1990" s="149" t="s">
        <v>6300</v>
      </c>
      <c r="H1990" s="13"/>
      <c r="I1990" s="176" t="s">
        <v>6301</v>
      </c>
      <c r="J1990" s="20" t="e">
        <f>IF(shinsei_strtower14_CHARGE_KEISAN_NOTE="","",shinsei_strtower14_CHARGE_KEISAN_NOTE)</f>
        <v>#NAME?</v>
      </c>
      <c r="K1990" s="10" t="s">
        <v>3862</v>
      </c>
      <c r="L1990" s="10" t="s">
        <v>3879</v>
      </c>
    </row>
    <row r="1991" spans="1:12" ht="18" customHeight="1">
      <c r="A1991" s="149"/>
      <c r="B1991" s="149"/>
      <c r="C1991" s="149"/>
      <c r="D1991" s="149"/>
      <c r="E1991" s="149" t="s">
        <v>5640</v>
      </c>
      <c r="F1991" s="149"/>
      <c r="G1991" s="149"/>
      <c r="I1991" s="100" t="s">
        <v>6302</v>
      </c>
      <c r="J1991" s="20" t="e">
        <f>IF(shinsei_INSPECTION_TYPE="計画変更",IF(shinsei_strtower14_CHARGE="","","延べ面積×1/2により算出"),IF(shinsei_strtower14_CHARGE_KEISAN_NOTE="","",shinsei_strtower14_CHARGE_KEISAN_NOTE))</f>
        <v>#NAME?</v>
      </c>
    </row>
    <row r="1992" spans="1:12" ht="18" customHeight="1">
      <c r="A1992" s="149"/>
      <c r="B1992" s="149" t="s">
        <v>5642</v>
      </c>
      <c r="C1992" s="149"/>
      <c r="D1992" s="149"/>
      <c r="E1992" s="149"/>
      <c r="F1992" s="149"/>
      <c r="G1992" s="149" t="s">
        <v>6303</v>
      </c>
      <c r="H1992" s="13"/>
      <c r="I1992" s="149" t="s">
        <v>6304</v>
      </c>
      <c r="J1992" s="20" t="e">
        <f>IF(shinsei_strtower14_KEISAN_X_ROUTE="","",shinsei_strtower14_KEISAN_X_ROUTE)</f>
        <v>#NAME?</v>
      </c>
    </row>
    <row r="1993" spans="1:12" ht="18" customHeight="1">
      <c r="A1993" s="149"/>
      <c r="B1993" s="149" t="s">
        <v>5645</v>
      </c>
      <c r="C1993" s="149"/>
      <c r="D1993" s="149"/>
      <c r="E1993" s="149"/>
      <c r="F1993" s="149"/>
      <c r="G1993" s="149" t="s">
        <v>6305</v>
      </c>
      <c r="H1993" s="13"/>
      <c r="I1993" s="149" t="s">
        <v>6306</v>
      </c>
      <c r="J1993" s="20" t="e">
        <f>IF(shinsei_strtower14_KEISAN_Y_ROUTE="","",shinsei_strtower14_KEISAN_Y_ROUTE)</f>
        <v>#NAME?</v>
      </c>
    </row>
    <row r="1994" spans="1:12" ht="18" customHeight="1">
      <c r="A1994" s="149"/>
      <c r="B1994" s="149"/>
      <c r="C1994" s="149" t="s">
        <v>3805</v>
      </c>
      <c r="D1994" s="149"/>
      <c r="E1994" s="149"/>
      <c r="F1994" s="149"/>
      <c r="G1994" s="149"/>
      <c r="H1994" s="12"/>
      <c r="I1994" s="149" t="s">
        <v>6307</v>
      </c>
      <c r="J1994" s="20" t="e">
        <f>IF(AND(cst_shinsei_strtower14_KEISAN_X_ROUTE="3",cst_shinsei_strtower14_KEISAN_Y_ROUTE="3"),"■","□")</f>
        <v>#NAME?</v>
      </c>
    </row>
    <row r="1995" spans="1:12" ht="18" customHeight="1">
      <c r="A1995" s="149"/>
      <c r="B1995" s="149" t="s">
        <v>5650</v>
      </c>
      <c r="C1995" s="149"/>
      <c r="D1995" s="149"/>
      <c r="E1995" s="149"/>
      <c r="F1995" s="149"/>
      <c r="G1995" s="149" t="s">
        <v>6308</v>
      </c>
      <c r="H1995" s="13"/>
      <c r="I1995" s="149" t="s">
        <v>6309</v>
      </c>
      <c r="J1995" s="20" t="e">
        <f>IF(shinsei_strtower14_PROGRAM_KIND_SONOTA="","",shinsei_strtower14_PROGRAM_KIND_SONOTA)</f>
        <v>#NAME?</v>
      </c>
    </row>
    <row r="1996" spans="1:12" ht="18" customHeight="1">
      <c r="A1996" s="149"/>
      <c r="B1996" s="149"/>
      <c r="C1996" s="149"/>
      <c r="D1996" s="149"/>
      <c r="E1996" s="149"/>
      <c r="F1996" s="149"/>
      <c r="G1996" s="149"/>
      <c r="I1996" s="149"/>
    </row>
    <row r="1997" spans="1:12" s="10" customFormat="1" ht="18" customHeight="1">
      <c r="A1997" s="162" t="s">
        <v>3112</v>
      </c>
      <c r="B1997" s="162"/>
      <c r="C1997" s="162"/>
      <c r="D1997" s="162"/>
      <c r="E1997" s="163"/>
      <c r="F1997" s="163"/>
      <c r="G1997" s="164"/>
      <c r="H1997" s="165"/>
      <c r="I1997" s="9"/>
    </row>
    <row r="1998" spans="1:12" s="10" customFormat="1" ht="18" customHeight="1">
      <c r="A1998" s="12"/>
      <c r="B1998" s="12" t="s">
        <v>3859</v>
      </c>
      <c r="C1998" s="12"/>
      <c r="D1998" s="12"/>
      <c r="E1998" s="11"/>
      <c r="F1998" s="11"/>
      <c r="G1998" s="10" t="s">
        <v>6310</v>
      </c>
      <c r="H1998" s="13"/>
      <c r="I1998" s="19" t="s">
        <v>6311</v>
      </c>
      <c r="J1998" s="25" t="e">
        <f>IF(shinsei_strtower15_TOWER_NO="","",shinsei_strtower15_TOWER_NO)</f>
        <v>#NAME?</v>
      </c>
      <c r="K1998" s="10" t="s">
        <v>3862</v>
      </c>
    </row>
    <row r="1999" spans="1:12" s="10" customFormat="1" ht="18" customHeight="1">
      <c r="A1999" s="12"/>
      <c r="B1999" s="12" t="s">
        <v>3864</v>
      </c>
      <c r="C1999" s="12"/>
      <c r="D1999" s="12"/>
      <c r="E1999" s="11"/>
      <c r="F1999" s="11"/>
      <c r="G1999" s="9" t="s">
        <v>6312</v>
      </c>
      <c r="H1999" s="13"/>
      <c r="I1999" s="19" t="s">
        <v>6313</v>
      </c>
      <c r="J1999" s="25" t="e">
        <f>IF(shinsei_strtower15_STR_TOWER_NO="","",shinsei_strtower15_STR_TOWER_NO)</f>
        <v>#NAME?</v>
      </c>
      <c r="K1999" s="10" t="s">
        <v>6314</v>
      </c>
      <c r="L1999" s="10" t="s">
        <v>3879</v>
      </c>
    </row>
    <row r="2000" spans="1:12" s="166" customFormat="1" ht="18" customHeight="1">
      <c r="B2000" s="12" t="s">
        <v>3868</v>
      </c>
      <c r="I2000" s="9" t="s">
        <v>6315</v>
      </c>
      <c r="J2000" s="167" t="e">
        <f>CONCATENATE(cst_shinsei_strtower15_TOWER_NO," - ",cst_shinsei_strtower15_STR_TOWER_NO)</f>
        <v>#NAME?</v>
      </c>
    </row>
    <row r="2001" spans="1:12" s="166" customFormat="1" ht="18" customHeight="1">
      <c r="B2001" s="12" t="s">
        <v>3870</v>
      </c>
      <c r="I2001" s="9" t="s">
        <v>6316</v>
      </c>
      <c r="J2001" s="167" t="e">
        <f>CONCATENATE(cst_shinsei_strtower15_STR_TOWER_NO," ／ ",cst_shinsei_STR_SHINSEI_TOWERS)</f>
        <v>#NAME?</v>
      </c>
    </row>
    <row r="2002" spans="1:12" s="10" customFormat="1" ht="18" customHeight="1">
      <c r="A2002" s="12"/>
      <c r="B2002" s="12" t="s">
        <v>3872</v>
      </c>
      <c r="C2002" s="11"/>
      <c r="D2002" s="11"/>
      <c r="E2002" s="11"/>
      <c r="F2002" s="11"/>
      <c r="G2002" s="9" t="s">
        <v>6317</v>
      </c>
      <c r="H2002" s="13"/>
      <c r="I2002" s="9" t="s">
        <v>6318</v>
      </c>
      <c r="J2002" s="25" t="e">
        <f>IF(shinsei_strtower15_STR_TOWER_NAME="","",shinsei_strtower15_STR_TOWER_NAME)</f>
        <v>#NAME?</v>
      </c>
    </row>
    <row r="2003" spans="1:12" s="10" customFormat="1" ht="18" customHeight="1">
      <c r="A2003" s="12"/>
      <c r="B2003" s="12" t="s">
        <v>5663</v>
      </c>
      <c r="C2003" s="12"/>
      <c r="D2003" s="12"/>
      <c r="E2003" s="11"/>
      <c r="F2003" s="11"/>
      <c r="G2003" s="9" t="s">
        <v>6319</v>
      </c>
      <c r="H2003" s="20"/>
      <c r="I2003" s="20" t="s">
        <v>6320</v>
      </c>
      <c r="J2003" s="25" t="e">
        <f>IF(shinsei_strtower15_JUDGE="","",shinsei_strtower15_JUDGE)</f>
        <v>#NAME?</v>
      </c>
      <c r="K2003" s="10" t="s">
        <v>5666</v>
      </c>
      <c r="L2003" s="10" t="s">
        <v>3879</v>
      </c>
    </row>
    <row r="2004" spans="1:12" s="10" customFormat="1" ht="18" customHeight="1">
      <c r="A2004" s="12"/>
      <c r="B2004" s="12" t="s">
        <v>4441</v>
      </c>
      <c r="C2004" s="12"/>
      <c r="D2004" s="12"/>
      <c r="E2004" s="11"/>
      <c r="F2004" s="11"/>
      <c r="G2004" s="9" t="s">
        <v>6321</v>
      </c>
      <c r="H2004" s="13"/>
      <c r="I2004" s="9" t="s">
        <v>6322</v>
      </c>
      <c r="J2004" s="25" t="e">
        <f>IF(shinsei_strtower15_STR_TOWER_YOUTO_TEXT="","",shinsei_strtower15_STR_TOWER_YOUTO_TEXT)</f>
        <v>#NAME?</v>
      </c>
      <c r="K2004" s="10" t="s">
        <v>6056</v>
      </c>
      <c r="L2004" s="10" t="s">
        <v>3879</v>
      </c>
    </row>
    <row r="2005" spans="1:12" s="10" customFormat="1" ht="18" customHeight="1">
      <c r="A2005" s="12"/>
      <c r="B2005" s="12" t="s">
        <v>3790</v>
      </c>
      <c r="C2005" s="12"/>
      <c r="D2005" s="12"/>
      <c r="E2005" s="11"/>
      <c r="F2005" s="11"/>
      <c r="G2005" s="9" t="s">
        <v>6323</v>
      </c>
      <c r="H2005" s="13"/>
      <c r="I2005" s="9" t="s">
        <v>7684</v>
      </c>
      <c r="J2005" s="25" t="e">
        <f>IF(shinsei_strtower15_KOUJI_TEXT="","",shinsei_strtower15_KOUJI_TEXT)</f>
        <v>#NAME?</v>
      </c>
      <c r="K2005" s="10" t="s">
        <v>3863</v>
      </c>
      <c r="L2005" s="10" t="s">
        <v>3879</v>
      </c>
    </row>
    <row r="2006" spans="1:12" s="10" customFormat="1" ht="18" customHeight="1">
      <c r="A2006" s="12"/>
      <c r="B2006" s="12" t="s">
        <v>5671</v>
      </c>
      <c r="C2006" s="11"/>
      <c r="D2006" s="11"/>
      <c r="E2006" s="11"/>
      <c r="F2006" s="11"/>
      <c r="G2006" s="9" t="s">
        <v>7685</v>
      </c>
      <c r="H2006" s="13"/>
      <c r="I2006" s="9" t="s">
        <v>7686</v>
      </c>
      <c r="J2006" s="25" t="e">
        <f>IF(shinsei_strtower15_KOUZOU_TEXT="","",shinsei_strtower15_KOUZOU_TEXT)</f>
        <v>#NAME?</v>
      </c>
    </row>
    <row r="2007" spans="1:12" s="10" customFormat="1" ht="18" customHeight="1">
      <c r="A2007" s="12"/>
      <c r="B2007" s="12" t="s">
        <v>5671</v>
      </c>
      <c r="C2007" s="12"/>
      <c r="D2007" s="12"/>
      <c r="E2007" s="11"/>
      <c r="F2007" s="11"/>
      <c r="G2007" s="9" t="s">
        <v>7687</v>
      </c>
      <c r="H2007" s="13"/>
      <c r="I2007" s="9" t="s">
        <v>7688</v>
      </c>
      <c r="J2007" s="25" t="e">
        <f>IF(shinsei_strtower15_KOUZOU_TEXT="","",shinsei_strtower15_KOUZOU_TEXT)</f>
        <v>#NAME?</v>
      </c>
    </row>
    <row r="2008" spans="1:12" s="10" customFormat="1" ht="18" customHeight="1">
      <c r="A2008" s="12"/>
      <c r="B2008" s="12" t="s">
        <v>3893</v>
      </c>
      <c r="C2008" s="11"/>
      <c r="D2008" s="11"/>
      <c r="E2008" s="11"/>
      <c r="F2008" s="11"/>
      <c r="G2008" s="9" t="s">
        <v>7689</v>
      </c>
      <c r="H2008" s="13"/>
      <c r="I2008" s="9" t="s">
        <v>7690</v>
      </c>
      <c r="J2008" s="25" t="e">
        <f>IF(shinsei_strtower15_KOUZOU_KEISAN="","",shinsei_strtower15_KOUZOU_KEISAN)</f>
        <v>#NAME?</v>
      </c>
    </row>
    <row r="2009" spans="1:12" s="10" customFormat="1" ht="18" customHeight="1">
      <c r="A2009" s="12"/>
      <c r="B2009" s="12" t="s">
        <v>3893</v>
      </c>
      <c r="C2009" s="12"/>
      <c r="D2009" s="12"/>
      <c r="E2009" s="11"/>
      <c r="F2009" s="11"/>
      <c r="G2009" s="9" t="s">
        <v>7691</v>
      </c>
      <c r="H2009" s="13"/>
      <c r="I2009" s="10" t="s">
        <v>7692</v>
      </c>
      <c r="J2009" s="25" t="e">
        <f>IF(shinsei_strtower15_KOUZOU_KEISAN_TEXT="","",shinsei_strtower15_KOUZOU_KEISAN_TEXT)</f>
        <v>#NAME?</v>
      </c>
    </row>
    <row r="2010" spans="1:12" s="10" customFormat="1" ht="18" customHeight="1">
      <c r="A2010" s="12"/>
      <c r="B2010" s="12" t="s">
        <v>3903</v>
      </c>
      <c r="C2010" s="12"/>
      <c r="D2010" s="12"/>
      <c r="E2010" s="11"/>
      <c r="F2010" s="11"/>
      <c r="G2010" s="9" t="s">
        <v>7693</v>
      </c>
      <c r="H2010" s="65"/>
      <c r="I2010" s="19" t="s">
        <v>7694</v>
      </c>
      <c r="J2010" s="168" t="e">
        <f>IF(shinsei_strtower15_MENSEKI="","",shinsei_strtower15_MENSEKI)</f>
        <v>#NAME?</v>
      </c>
      <c r="K2010" s="10" t="s">
        <v>3906</v>
      </c>
      <c r="L2010" s="10" t="s">
        <v>3906</v>
      </c>
    </row>
    <row r="2011" spans="1:12" ht="18" customHeight="1">
      <c r="A2011" s="12"/>
      <c r="B2011" s="12"/>
      <c r="C2011" s="12"/>
      <c r="D2011" s="12"/>
      <c r="E2011" s="12" t="s">
        <v>3907</v>
      </c>
      <c r="F2011" s="12"/>
      <c r="G2011" s="9"/>
      <c r="H2011" s="9"/>
      <c r="I2011" s="9" t="s">
        <v>7695</v>
      </c>
      <c r="J2011" s="168" t="e">
        <f>IF(shinsei_strtower15_MENSEKI="","",TEXT(shinsei_strtower15_MENSEKI,"#,##0.00_ ")&amp;"㎡")</f>
        <v>#NAME?</v>
      </c>
    </row>
    <row r="2012" spans="1:12" s="10" customFormat="1" ht="18" customHeight="1">
      <c r="A2012" s="12"/>
      <c r="B2012" s="12" t="s">
        <v>4390</v>
      </c>
      <c r="C2012" s="12"/>
      <c r="D2012" s="12"/>
      <c r="E2012" s="11"/>
      <c r="F2012" s="11"/>
      <c r="G2012" s="9" t="s">
        <v>7696</v>
      </c>
      <c r="H2012" s="93"/>
      <c r="I2012" s="9" t="s">
        <v>7697</v>
      </c>
      <c r="J2012" s="170" t="e">
        <f>IF(shinsei_strtower15_MAX_TAKASA="","",shinsei_strtower15_MAX_TAKASA)</f>
        <v>#NAME?</v>
      </c>
      <c r="K2012" s="10" t="s">
        <v>3911</v>
      </c>
      <c r="L2012" s="10" t="s">
        <v>3911</v>
      </c>
    </row>
    <row r="2013" spans="1:12" s="10" customFormat="1" ht="18" customHeight="1">
      <c r="A2013" s="12"/>
      <c r="B2013" s="12" t="s">
        <v>4388</v>
      </c>
      <c r="C2013" s="11"/>
      <c r="D2013" s="11"/>
      <c r="E2013" s="11"/>
      <c r="F2013" s="11"/>
      <c r="G2013" s="9" t="s">
        <v>7698</v>
      </c>
      <c r="H2013" s="93"/>
      <c r="I2013" s="9" t="s">
        <v>7699</v>
      </c>
      <c r="J2013" s="170" t="e">
        <f>IF(shinsei_strtower15_MAX_NOKI_TAKASA="","",shinsei_strtower15_MAX_NOKI_TAKASA)</f>
        <v>#NAME?</v>
      </c>
    </row>
    <row r="2014" spans="1:12" s="10" customFormat="1" ht="18" customHeight="1">
      <c r="A2014" s="12"/>
      <c r="B2014" s="12" t="s">
        <v>3782</v>
      </c>
      <c r="C2014" s="12"/>
      <c r="D2014" s="12"/>
      <c r="E2014" s="11"/>
      <c r="F2014" s="11"/>
      <c r="G2014" s="9"/>
      <c r="H2014" s="9"/>
      <c r="I2014" s="9"/>
    </row>
    <row r="2015" spans="1:12" s="10" customFormat="1" ht="18" customHeight="1">
      <c r="A2015" s="12"/>
      <c r="B2015" s="12"/>
      <c r="C2015" s="11" t="s">
        <v>3783</v>
      </c>
      <c r="D2015" s="12"/>
      <c r="G2015" s="9" t="s">
        <v>7700</v>
      </c>
      <c r="H2015" s="136"/>
      <c r="I2015" s="9" t="s">
        <v>7701</v>
      </c>
      <c r="J2015" s="171" t="e">
        <f>IF(shinsei_strtower15_KAISU_TIJYOU="","",shinsei_strtower15_KAISU_TIJYOU)</f>
        <v>#NAME?</v>
      </c>
      <c r="K2015" s="10" t="s">
        <v>7702</v>
      </c>
      <c r="L2015" s="10" t="s">
        <v>7702</v>
      </c>
    </row>
    <row r="2016" spans="1:12" s="10" customFormat="1" ht="18" customHeight="1">
      <c r="A2016" s="12"/>
      <c r="B2016" s="12"/>
      <c r="C2016" s="11" t="s">
        <v>3785</v>
      </c>
      <c r="D2016" s="12"/>
      <c r="G2016" s="9" t="s">
        <v>7703</v>
      </c>
      <c r="H2016" s="136"/>
      <c r="I2016" s="9" t="s">
        <v>7704</v>
      </c>
      <c r="J2016" s="171" t="e">
        <f>IF(shinsei_strtower15_KAISU_TIKA="","",shinsei_strtower15_KAISU_TIKA)</f>
        <v>#NAME?</v>
      </c>
      <c r="K2016" s="10" t="s">
        <v>3920</v>
      </c>
      <c r="L2016" s="10" t="s">
        <v>3920</v>
      </c>
    </row>
    <row r="2017" spans="1:12" s="10" customFormat="1" ht="18" customHeight="1">
      <c r="A2017" s="12"/>
      <c r="B2017" s="12"/>
      <c r="C2017" s="11" t="s">
        <v>3787</v>
      </c>
      <c r="D2017" s="12"/>
      <c r="G2017" s="9" t="s">
        <v>7705</v>
      </c>
      <c r="H2017" s="136"/>
      <c r="I2017" s="9" t="s">
        <v>7706</v>
      </c>
      <c r="J2017" s="171" t="e">
        <f>IF(shinsei_strtower15_KAISU_TOUYA="","",shinsei_strtower15_KAISU_TOUYA)</f>
        <v>#NAME?</v>
      </c>
      <c r="K2017" s="10" t="s">
        <v>3920</v>
      </c>
      <c r="L2017" s="10" t="s">
        <v>3920</v>
      </c>
    </row>
    <row r="2018" spans="1:12" s="10" customFormat="1" ht="18" customHeight="1">
      <c r="B2018" s="12" t="s">
        <v>3923</v>
      </c>
      <c r="G2018" s="9" t="s">
        <v>7707</v>
      </c>
      <c r="H2018" s="13"/>
      <c r="I2018" s="10" t="s">
        <v>7708</v>
      </c>
      <c r="J2018" s="25" t="e">
        <f>IF(shinsei_strtower15_BUILD_KUBUN="","",shinsei_strtower15_BUILD_KUBUN)</f>
        <v>#NAME?</v>
      </c>
    </row>
    <row r="2019" spans="1:12" s="10" customFormat="1" ht="18" customHeight="1">
      <c r="B2019" s="12" t="s">
        <v>3923</v>
      </c>
      <c r="C2019" s="12"/>
      <c r="D2019" s="12"/>
      <c r="G2019" s="9" t="s">
        <v>7709</v>
      </c>
      <c r="H2019" s="13"/>
      <c r="I2019" s="10" t="s">
        <v>7710</v>
      </c>
      <c r="J2019" s="25" t="e">
        <f>IF(shinsei_strtower15_BUILD_KUBUN_TEXT="","",shinsei_strtower15_BUILD_KUBUN_TEXT)</f>
        <v>#NAME?</v>
      </c>
      <c r="K2019" s="10" t="s">
        <v>3863</v>
      </c>
    </row>
    <row r="2020" spans="1:12" s="10" customFormat="1" ht="18" customHeight="1">
      <c r="A2020" s="149"/>
      <c r="B2020" s="149"/>
      <c r="C2020" s="149" t="s">
        <v>3801</v>
      </c>
      <c r="D2020" s="149"/>
      <c r="E2020" s="149"/>
      <c r="F2020" s="149"/>
      <c r="G2020" s="149"/>
      <c r="H2020" s="12"/>
      <c r="I2020" s="149" t="s">
        <v>7711</v>
      </c>
      <c r="J2020" s="20" t="e">
        <f>IF(shinsei_strtower15_BUILD_KUBUN_TEXT="建築基準法第20条第２号に掲げる建築物","■","□")</f>
        <v>#NAME?</v>
      </c>
    </row>
    <row r="2021" spans="1:12" s="10" customFormat="1" ht="18" customHeight="1">
      <c r="A2021" s="149"/>
      <c r="B2021" s="149"/>
      <c r="C2021" s="149" t="s">
        <v>3801</v>
      </c>
      <c r="D2021" s="149"/>
      <c r="E2021" s="149"/>
      <c r="F2021" s="149"/>
      <c r="G2021" s="149"/>
      <c r="H2021" s="12"/>
      <c r="I2021" s="149" t="s">
        <v>7712</v>
      </c>
      <c r="J2021" s="20" t="e">
        <f>IF(shinsei_strtower15_BUILD_KUBUN_TEXT="建築基準法第20条第３号に掲げる建築物","■","□")</f>
        <v>#NAME?</v>
      </c>
    </row>
    <row r="2022" spans="1:12" s="10" customFormat="1" ht="18" customHeight="1">
      <c r="A2022" s="12"/>
      <c r="B2022" s="12" t="s">
        <v>4724</v>
      </c>
      <c r="C2022" s="12"/>
      <c r="D2022" s="12"/>
      <c r="E2022" s="11"/>
      <c r="F2022" s="11"/>
      <c r="G2022" s="9" t="s">
        <v>7713</v>
      </c>
      <c r="H2022" s="13"/>
      <c r="I2022" s="9" t="s">
        <v>7714</v>
      </c>
      <c r="J2022" s="25" t="e">
        <f>IF(shinsei_strtower15_MENJYO_TEXT="","",shinsei_strtower15_MENJYO_TEXT)</f>
        <v>#NAME?</v>
      </c>
      <c r="K2022" s="10" t="s">
        <v>7715</v>
      </c>
    </row>
    <row r="2023" spans="1:12" s="10" customFormat="1" ht="18" customHeight="1">
      <c r="A2023" s="12"/>
      <c r="B2023" s="12" t="s">
        <v>3935</v>
      </c>
      <c r="C2023" s="12"/>
      <c r="D2023" s="12"/>
      <c r="E2023" s="11"/>
      <c r="F2023" s="11"/>
      <c r="G2023" s="9" t="s">
        <v>7716</v>
      </c>
      <c r="H2023" s="20"/>
      <c r="I2023" s="9" t="s">
        <v>7717</v>
      </c>
      <c r="J2023" s="25" t="e">
        <f>IF(shinsei_strtower15_PROGRAM_KIND="","",shinsei_strtower15_PROGRAM_KIND)</f>
        <v>#NAME?</v>
      </c>
      <c r="K2023" s="10" t="s">
        <v>5704</v>
      </c>
    </row>
    <row r="2024" spans="1:12" s="10" customFormat="1" ht="18" customHeight="1">
      <c r="B2024" s="12" t="s">
        <v>3939</v>
      </c>
      <c r="C2024" s="12"/>
      <c r="D2024" s="12"/>
      <c r="G2024" s="9" t="s">
        <v>7718</v>
      </c>
      <c r="H2024" s="13"/>
      <c r="I2024" s="10" t="s">
        <v>7719</v>
      </c>
      <c r="J2024" s="25" t="e">
        <f>IF(shinsei_strtower15_REI80_2_KOKUJI_TEXT="","",shinsei_strtower15_REI80_2_KOKUJI_TEXT)</f>
        <v>#NAME?</v>
      </c>
    </row>
    <row r="2025" spans="1:12" s="10" customFormat="1" ht="18" customHeight="1">
      <c r="B2025" s="12" t="s">
        <v>3943</v>
      </c>
      <c r="C2025" s="12"/>
      <c r="D2025" s="12"/>
      <c r="G2025" s="9" t="s">
        <v>7720</v>
      </c>
      <c r="H2025" s="13"/>
      <c r="I2025" s="10" t="s">
        <v>7721</v>
      </c>
      <c r="J2025" s="25" t="e">
        <f>IF(shinsei_strtower15_PROGRAM_KIND__nintei__box="■",2,IF(OR(shinsei_strtower15_PROGRAM_KIND__hyouka__box="■",shinsei_strtower15_PROGRAM_KIND__sonota__box="■"),1,0))</f>
        <v>#NAME?</v>
      </c>
      <c r="K2025" s="10" t="s">
        <v>3946</v>
      </c>
    </row>
    <row r="2026" spans="1:12" s="10" customFormat="1" ht="18" customHeight="1">
      <c r="B2026" s="12" t="s">
        <v>3947</v>
      </c>
      <c r="C2026" s="12"/>
      <c r="D2026" s="12"/>
      <c r="G2026" s="9" t="s">
        <v>7722</v>
      </c>
      <c r="H2026" s="13"/>
    </row>
    <row r="2027" spans="1:12" s="10" customFormat="1" ht="18" customHeight="1">
      <c r="B2027" s="12" t="s">
        <v>4305</v>
      </c>
      <c r="C2027" s="12"/>
      <c r="D2027" s="12"/>
      <c r="G2027" s="9" t="s">
        <v>7723</v>
      </c>
      <c r="H2027" s="13"/>
    </row>
    <row r="2028" spans="1:12" s="10" customFormat="1" ht="18" customHeight="1">
      <c r="B2028" s="105" t="s">
        <v>7724</v>
      </c>
      <c r="C2028" s="105"/>
      <c r="D2028" s="105"/>
      <c r="E2028" s="24"/>
      <c r="F2028" s="24"/>
      <c r="G2028" s="9"/>
      <c r="H2028" s="12"/>
    </row>
    <row r="2029" spans="1:12" s="10" customFormat="1" ht="18" customHeight="1">
      <c r="C2029" s="10" t="s">
        <v>3951</v>
      </c>
      <c r="D2029" s="12"/>
      <c r="G2029" s="9" t="s">
        <v>7725</v>
      </c>
      <c r="H2029" s="13"/>
      <c r="K2029" s="10" t="s">
        <v>7726</v>
      </c>
      <c r="L2029" s="10" t="s">
        <v>3879</v>
      </c>
    </row>
    <row r="2030" spans="1:12" s="10" customFormat="1" ht="18" customHeight="1">
      <c r="C2030" s="12" t="s">
        <v>7727</v>
      </c>
      <c r="D2030" s="12"/>
      <c r="E2030" s="12"/>
      <c r="F2030" s="12"/>
      <c r="G2030" s="9" t="s">
        <v>7728</v>
      </c>
      <c r="H2030" s="13"/>
    </row>
    <row r="2031" spans="1:12" s="10" customFormat="1" ht="18" customHeight="1">
      <c r="C2031" s="12" t="s">
        <v>3957</v>
      </c>
      <c r="D2031" s="12"/>
      <c r="G2031" s="9"/>
      <c r="H2031" s="9"/>
      <c r="I2031" s="10" t="s">
        <v>7729</v>
      </c>
      <c r="J2031" s="25" t="e">
        <f>IF(shinsei_strtower15_prgo01_NAME="","",IF(shinsei_strtower15_prgo01_NINTEI_NO="","無","有"))</f>
        <v>#NAME?</v>
      </c>
      <c r="K2031" s="10" t="s">
        <v>3959</v>
      </c>
      <c r="L2031" s="10" t="s">
        <v>3879</v>
      </c>
    </row>
    <row r="2032" spans="1:12" s="10" customFormat="1" ht="18" customHeight="1">
      <c r="C2032" s="12" t="s">
        <v>3960</v>
      </c>
      <c r="D2032" s="12"/>
      <c r="G2032" s="9" t="s">
        <v>7730</v>
      </c>
      <c r="H2032" s="13"/>
      <c r="I2032" s="10" t="s">
        <v>7731</v>
      </c>
      <c r="J2032" s="25" t="e">
        <f>IF(shinsei_strtower15_prgo01_NINTEI_NO="","",shinsei_strtower15_prgo01_NINTEI_NO)</f>
        <v>#NAME?</v>
      </c>
      <c r="K2032" s="10" t="s">
        <v>3863</v>
      </c>
      <c r="L2032" s="10" t="s">
        <v>3879</v>
      </c>
    </row>
    <row r="2033" spans="2:12" s="10" customFormat="1" ht="18" customHeight="1">
      <c r="C2033" s="12" t="s">
        <v>3964</v>
      </c>
      <c r="D2033" s="12"/>
      <c r="G2033" s="9" t="s">
        <v>7732</v>
      </c>
      <c r="H2033" s="74"/>
      <c r="I2033" s="10" t="s">
        <v>7733</v>
      </c>
      <c r="J2033" s="25" t="e">
        <f>IF(shinsei_strtower15_prgo01_NINTEI_DATE="","",TEXT(shinsei_strtower15_prgo01_NINTEI_DATE,"ggge年m月d日")&amp;"  ")</f>
        <v>#NAME?</v>
      </c>
    </row>
    <row r="2034" spans="2:12" s="10" customFormat="1" ht="18" customHeight="1">
      <c r="C2034" s="12" t="s">
        <v>5784</v>
      </c>
      <c r="D2034" s="12"/>
      <c r="G2034" s="9" t="s">
        <v>7734</v>
      </c>
      <c r="H2034" s="13"/>
    </row>
    <row r="2035" spans="2:12" s="10" customFormat="1" ht="18" customHeight="1">
      <c r="C2035" s="12" t="s">
        <v>3970</v>
      </c>
      <c r="D2035" s="12"/>
      <c r="G2035" s="9"/>
      <c r="H2035" s="12"/>
      <c r="I2035" s="9" t="s">
        <v>7735</v>
      </c>
      <c r="J2035" s="25" t="e">
        <f>IF(shinsei_strtower15_prgo01_NAME="","",shinsei_strtower15_prgo01_NAME)&amp;CHAR(10)&amp;IF(shinsei_strtower15_prgo01_VER="","","Ver."&amp;shinsei_strtower15_prgo01_VER&amp;CHAR(10))</f>
        <v>#NAME?</v>
      </c>
    </row>
    <row r="2036" spans="2:12" s="10" customFormat="1" ht="18" customHeight="1">
      <c r="C2036" s="12" t="s">
        <v>3972</v>
      </c>
      <c r="D2036" s="12"/>
      <c r="G2036" s="9"/>
      <c r="H2036" s="12"/>
      <c r="I2036" s="9" t="s">
        <v>7736</v>
      </c>
      <c r="J2036" s="25" t="e">
        <f>IF(shinsei_strtower15_prgo01_NAME="","",shinsei_strtower15_prgo01_NAME&amp;" ")&amp;IF(shinsei_strtower15_prgo01_VER="","","Ver."&amp;shinsei_strtower15_prgo01_VER&amp;"  ")</f>
        <v>#NAME?</v>
      </c>
    </row>
    <row r="2037" spans="2:12" s="10" customFormat="1" ht="18" customHeight="1">
      <c r="C2037" s="12" t="s">
        <v>3974</v>
      </c>
      <c r="D2037" s="12"/>
      <c r="G2037" s="9"/>
      <c r="H2037" s="12"/>
    </row>
    <row r="2038" spans="2:12" s="10" customFormat="1" ht="18" customHeight="1">
      <c r="D2038" s="12" t="s">
        <v>3976</v>
      </c>
      <c r="G2038" s="9"/>
      <c r="H2038" s="12"/>
      <c r="I2038" s="9" t="s">
        <v>7737</v>
      </c>
      <c r="J2038" s="173" t="e">
        <f>IF(cst_shinsei_strtower15_prgo01_NINTEI__umu="有",IF(shinsei_strtower15_prgo01_MAKER_NAME="","",shinsei_strtower15_prgo01_MAKER_NAME&amp;"  "),"")</f>
        <v>#NAME?</v>
      </c>
    </row>
    <row r="2039" spans="2:12" s="10" customFormat="1" ht="18" customHeight="1">
      <c r="B2039" s="12"/>
      <c r="D2039" s="12" t="s">
        <v>3972</v>
      </c>
      <c r="G2039" s="9"/>
      <c r="H2039" s="12"/>
      <c r="I2039" s="9" t="s">
        <v>7738</v>
      </c>
      <c r="J2039" s="25" t="e">
        <f>IF(cst_shinsei_strtower15_prgo01_NINTEI__umu="有",IF(shinsei_strtower15_prgo01_NAME="","",shinsei_strtower15_prgo01_NAME&amp;" ")&amp;IF(shinsei_strtower15_prgo01_VER="","","Ver."&amp;shinsei_strtower15_prgo01_VER&amp;"  "),"")</f>
        <v>#NAME?</v>
      </c>
    </row>
    <row r="2040" spans="2:12" s="10" customFormat="1" ht="18" customHeight="1">
      <c r="C2040" s="12" t="s">
        <v>3981</v>
      </c>
      <c r="D2040" s="12"/>
      <c r="G2040" s="9"/>
      <c r="H2040" s="12"/>
    </row>
    <row r="2041" spans="2:12" s="10" customFormat="1" ht="18" customHeight="1">
      <c r="B2041" s="12"/>
      <c r="D2041" s="12" t="s">
        <v>5965</v>
      </c>
      <c r="G2041" s="9"/>
      <c r="H2041" s="12"/>
      <c r="I2041" s="9" t="s">
        <v>7739</v>
      </c>
      <c r="J2041" s="173" t="e">
        <f>IF(cst_shinsei_strtower15_prgo01_NINTEI__umu="無",IF(shinsei_strtower15_prgo01_MAKER_NAME="","",shinsei_strtower15_prgo01_MAKER_NAME&amp;"  "),"")</f>
        <v>#NAME?</v>
      </c>
    </row>
    <row r="2042" spans="2:12" s="10" customFormat="1" ht="18" customHeight="1">
      <c r="B2042" s="12"/>
      <c r="D2042" s="12" t="s">
        <v>3972</v>
      </c>
      <c r="G2042" s="9"/>
      <c r="H2042" s="12"/>
      <c r="I2042" s="9" t="s">
        <v>7740</v>
      </c>
      <c r="J2042" s="25" t="e">
        <f>IF(cst_shinsei_strtower15_prgo01_NINTEI__umu="無",IF(shinsei_strtower15_prgo01_NAME="","",shinsei_strtower15_prgo01_NAME&amp;" ")&amp;IF(shinsei_strtower15_prgo01_VER="","","Ver."&amp;shinsei_strtower15_prgo01_VER&amp;"  "),"")</f>
        <v>#NAME?</v>
      </c>
    </row>
    <row r="2043" spans="2:12" s="10" customFormat="1" ht="18" customHeight="1">
      <c r="B2043" s="105" t="s">
        <v>7741</v>
      </c>
      <c r="C2043" s="105"/>
      <c r="D2043" s="105"/>
      <c r="E2043" s="24"/>
      <c r="F2043" s="24"/>
      <c r="G2043" s="9"/>
      <c r="H2043" s="12"/>
    </row>
    <row r="2044" spans="2:12" s="10" customFormat="1" ht="18" customHeight="1">
      <c r="C2044" s="10" t="s">
        <v>3951</v>
      </c>
      <c r="D2044" s="12"/>
      <c r="G2044" s="9" t="s">
        <v>7742</v>
      </c>
      <c r="H2044" s="13"/>
      <c r="K2044" s="10" t="s">
        <v>6056</v>
      </c>
      <c r="L2044" s="10" t="s">
        <v>3879</v>
      </c>
    </row>
    <row r="2045" spans="2:12" s="10" customFormat="1" ht="18" customHeight="1">
      <c r="C2045" s="12" t="s">
        <v>5970</v>
      </c>
      <c r="D2045" s="12"/>
      <c r="G2045" s="9" t="s">
        <v>7743</v>
      </c>
      <c r="H2045" s="13"/>
    </row>
    <row r="2046" spans="2:12" s="10" customFormat="1" ht="18" customHeight="1">
      <c r="C2046" s="12" t="s">
        <v>3957</v>
      </c>
      <c r="D2046" s="12"/>
      <c r="G2046" s="9"/>
      <c r="H2046" s="9"/>
      <c r="I2046" s="10" t="s">
        <v>7744</v>
      </c>
      <c r="J2046" s="25" t="e">
        <f>IF(shinsei_strtower15_prgo02_NAME="","",IF(shinsei_strtower15_prgo02_NINTEI_NO="","無","有"))</f>
        <v>#NAME?</v>
      </c>
      <c r="K2046" s="10" t="s">
        <v>2941</v>
      </c>
      <c r="L2046" s="10" t="s">
        <v>3879</v>
      </c>
    </row>
    <row r="2047" spans="2:12" s="10" customFormat="1" ht="18" customHeight="1">
      <c r="C2047" s="12" t="s">
        <v>3960</v>
      </c>
      <c r="D2047" s="12"/>
      <c r="G2047" s="9" t="s">
        <v>7745</v>
      </c>
      <c r="H2047" s="13"/>
      <c r="I2047" s="10" t="s">
        <v>7746</v>
      </c>
      <c r="J2047" s="25" t="e">
        <f>IF(shinsei_strtower15_prgo02_NINTEI_NO="","",shinsei_strtower15_prgo02_NINTEI_NO)</f>
        <v>#NAME?</v>
      </c>
      <c r="K2047" s="10" t="s">
        <v>3863</v>
      </c>
      <c r="L2047" s="10" t="s">
        <v>3879</v>
      </c>
    </row>
    <row r="2048" spans="2:12" s="10" customFormat="1" ht="18" customHeight="1">
      <c r="C2048" s="12" t="s">
        <v>3964</v>
      </c>
      <c r="D2048" s="12"/>
      <c r="G2048" s="9" t="s">
        <v>7747</v>
      </c>
      <c r="H2048" s="74"/>
      <c r="I2048" s="10" t="s">
        <v>7748</v>
      </c>
      <c r="J2048" s="25" t="e">
        <f>IF(shinsei_strtower15_prgo02_NINTEI_DATE="","",shinsei_strtower15_prgo02_NINTEI_DATE)</f>
        <v>#NAME?</v>
      </c>
    </row>
    <row r="2049" spans="2:12" s="10" customFormat="1" ht="18" customHeight="1">
      <c r="C2049" s="12" t="s">
        <v>7749</v>
      </c>
      <c r="D2049" s="12"/>
      <c r="G2049" s="9" t="s">
        <v>7750</v>
      </c>
      <c r="H2049" s="13"/>
    </row>
    <row r="2050" spans="2:12" s="10" customFormat="1" ht="18" customHeight="1">
      <c r="C2050" s="12" t="s">
        <v>3970</v>
      </c>
      <c r="D2050" s="12"/>
      <c r="G2050" s="9"/>
      <c r="H2050" s="12"/>
      <c r="I2050" s="9" t="s">
        <v>7751</v>
      </c>
      <c r="J2050" s="25" t="e">
        <f>IF(shinsei_strtower15_prgo02_NAME="","",shinsei_strtower15_prgo02_NAME)&amp;CHAR(10)&amp;IF(shinsei_strtower15_prgo02_VER="","","Ver."&amp;shinsei_strtower15_prgo02_VER&amp;CHAR(10))</f>
        <v>#NAME?</v>
      </c>
    </row>
    <row r="2051" spans="2:12" s="10" customFormat="1" ht="18" customHeight="1">
      <c r="C2051" s="12" t="s">
        <v>3972</v>
      </c>
      <c r="D2051" s="12"/>
      <c r="G2051" s="9"/>
      <c r="H2051" s="12"/>
      <c r="I2051" s="9" t="s">
        <v>7752</v>
      </c>
      <c r="J2051" s="25" t="e">
        <f>IF(shinsei_strtower15_prgo02_NAME="","",shinsei_strtower15_prgo02_NAME&amp;" ")&amp;IF(shinsei_strtower15_prgo02_VER="","","Ver."&amp;shinsei_strtower15_prgo02_VER&amp;"  ")</f>
        <v>#NAME?</v>
      </c>
    </row>
    <row r="2052" spans="2:12" s="10" customFormat="1" ht="18" customHeight="1">
      <c r="C2052" s="12" t="s">
        <v>3974</v>
      </c>
      <c r="D2052" s="12"/>
      <c r="G2052" s="9"/>
      <c r="H2052" s="12"/>
    </row>
    <row r="2053" spans="2:12" s="10" customFormat="1" ht="18" customHeight="1">
      <c r="D2053" s="12" t="s">
        <v>6376</v>
      </c>
      <c r="G2053" s="9"/>
      <c r="H2053" s="12"/>
      <c r="I2053" s="9" t="s">
        <v>7753</v>
      </c>
      <c r="J2053" s="173" t="e">
        <f>IF(cst_shinsei_strtower15_prgo02_NINTEI__umu="有",IF(shinsei_strtower15_prgo02_MAKER_NAME="","",shinsei_strtower15_prgo02_MAKER_NAME&amp;"  "),"")</f>
        <v>#NAME?</v>
      </c>
    </row>
    <row r="2054" spans="2:12" s="10" customFormat="1" ht="18" customHeight="1">
      <c r="D2054" s="12" t="s">
        <v>3972</v>
      </c>
      <c r="G2054" s="9"/>
      <c r="H2054" s="12"/>
      <c r="I2054" s="9" t="s">
        <v>7754</v>
      </c>
      <c r="J2054" s="25" t="e">
        <f>IF(cst_shinsei_strtower15_prgo02_NINTEI__umu="有",IF(shinsei_strtower15_prgo02_NAME="","",shinsei_strtower15_prgo02_NAME&amp;" ")&amp;IF(shinsei_strtower15_prgo02_VER="","","Ver."&amp;shinsei_strtower15_prgo02_VER&amp;"  "),"")</f>
        <v>#NAME?</v>
      </c>
    </row>
    <row r="2055" spans="2:12" s="10" customFormat="1" ht="18" customHeight="1">
      <c r="C2055" s="12" t="s">
        <v>3981</v>
      </c>
      <c r="D2055" s="12"/>
      <c r="G2055" s="9"/>
      <c r="H2055" s="12"/>
    </row>
    <row r="2056" spans="2:12" s="10" customFormat="1" ht="18" customHeight="1">
      <c r="D2056" s="12" t="s">
        <v>3976</v>
      </c>
      <c r="G2056" s="9"/>
      <c r="H2056" s="12"/>
      <c r="I2056" s="9" t="s">
        <v>7755</v>
      </c>
      <c r="J2056" s="173" t="e">
        <f>IF(cst_shinsei_strtower15_prgo02_NINTEI__umu="無",IF(shinsei_strtower15_prgo02_MAKER_NAME="","",shinsei_strtower15_prgo02_MAKER_NAME&amp;"  "),"")</f>
        <v>#NAME?</v>
      </c>
    </row>
    <row r="2057" spans="2:12" s="10" customFormat="1" ht="18" customHeight="1">
      <c r="D2057" s="12" t="s">
        <v>3972</v>
      </c>
      <c r="G2057" s="9"/>
      <c r="H2057" s="12"/>
      <c r="I2057" s="9" t="s">
        <v>7756</v>
      </c>
      <c r="J2057" s="25" t="e">
        <f>IF(cst_shinsei_strtower15_prgo02_NINTEI__umu="無",IF(shinsei_strtower15_prgo02_NAME="","",shinsei_strtower15_prgo02_NAME&amp;" ")&amp;IF(shinsei_strtower15_prgo02_VER="","","Ver."&amp;shinsei_strtower15_prgo02_VER&amp;"  "),"")</f>
        <v>#NAME?</v>
      </c>
    </row>
    <row r="2058" spans="2:12" s="10" customFormat="1" ht="18" customHeight="1">
      <c r="B2058" s="105" t="s">
        <v>5330</v>
      </c>
      <c r="C2058" s="105"/>
      <c r="D2058" s="105"/>
      <c r="E2058" s="24"/>
      <c r="F2058" s="24"/>
      <c r="G2058" s="9"/>
      <c r="H2058" s="12"/>
    </row>
    <row r="2059" spans="2:12" s="10" customFormat="1" ht="18" customHeight="1">
      <c r="C2059" s="10" t="s">
        <v>3951</v>
      </c>
      <c r="D2059" s="12"/>
      <c r="G2059" s="9" t="s">
        <v>7757</v>
      </c>
      <c r="H2059" s="13"/>
    </row>
    <row r="2060" spans="2:12" s="10" customFormat="1" ht="18" customHeight="1">
      <c r="C2060" s="12" t="s">
        <v>4034</v>
      </c>
      <c r="D2060" s="12"/>
      <c r="G2060" s="9" t="s">
        <v>7758</v>
      </c>
      <c r="H2060" s="13"/>
    </row>
    <row r="2061" spans="2:12" s="10" customFormat="1" ht="18" customHeight="1">
      <c r="C2061" s="12" t="s">
        <v>3957</v>
      </c>
      <c r="D2061" s="12"/>
      <c r="G2061" s="9"/>
      <c r="H2061" s="9"/>
      <c r="I2061" s="10" t="s">
        <v>7759</v>
      </c>
      <c r="J2061" s="25" t="e">
        <f>IF(shinsei_strtower15_prgo03_NAME="","",IF(shinsei_strtower15_prgo03_NINTEI_NO="","無","有"))</f>
        <v>#NAME?</v>
      </c>
      <c r="K2061" s="10" t="s">
        <v>2941</v>
      </c>
      <c r="L2061" s="10" t="s">
        <v>3879</v>
      </c>
    </row>
    <row r="2062" spans="2:12" s="10" customFormat="1" ht="18" customHeight="1">
      <c r="C2062" s="12" t="s">
        <v>3960</v>
      </c>
      <c r="D2062" s="12"/>
      <c r="G2062" s="9" t="s">
        <v>7760</v>
      </c>
      <c r="H2062" s="13"/>
      <c r="K2062" s="10" t="s">
        <v>7715</v>
      </c>
      <c r="L2062" s="10" t="s">
        <v>3879</v>
      </c>
    </row>
    <row r="2063" spans="2:12" s="10" customFormat="1" ht="18" customHeight="1">
      <c r="C2063" s="12" t="s">
        <v>3964</v>
      </c>
      <c r="D2063" s="12"/>
      <c r="G2063" s="9" t="s">
        <v>7761</v>
      </c>
      <c r="H2063" s="74"/>
      <c r="I2063" s="10" t="s">
        <v>7762</v>
      </c>
      <c r="J2063" s="25" t="e">
        <f>IF(shinsei_strtower15_prgo03_NINTEI_DATE="","",TEXT(shinsei_strtower15_prgo03_NINTEI_DATE,"ggge年m月d日")&amp;"  ")</f>
        <v>#NAME?</v>
      </c>
    </row>
    <row r="2064" spans="2:12" s="10" customFormat="1" ht="18" customHeight="1">
      <c r="C2064" s="12" t="s">
        <v>3968</v>
      </c>
      <c r="D2064" s="12"/>
      <c r="G2064" s="9" t="s">
        <v>7763</v>
      </c>
      <c r="H2064" s="13"/>
      <c r="I2064" s="9"/>
      <c r="J2064" s="9"/>
    </row>
    <row r="2065" spans="2:12" s="10" customFormat="1" ht="18" customHeight="1">
      <c r="C2065" s="12" t="s">
        <v>3970</v>
      </c>
      <c r="D2065" s="12"/>
      <c r="G2065" s="9"/>
      <c r="H2065" s="12"/>
      <c r="I2065" s="9" t="s">
        <v>7764</v>
      </c>
      <c r="J2065" s="25" t="e">
        <f>IF(shinsei_strtower15_prgo03_NAME="","",shinsei_strtower15_prgo03_NAME)&amp;CHAR(10)&amp;IF(shinsei_strtower15_prgo03_VER="","","Ver."&amp;shinsei_strtower15_prgo03_VER&amp;CHAR(10))</f>
        <v>#NAME?</v>
      </c>
    </row>
    <row r="2066" spans="2:12" s="10" customFormat="1" ht="18" customHeight="1">
      <c r="C2066" s="12" t="s">
        <v>3972</v>
      </c>
      <c r="D2066" s="12"/>
      <c r="G2066" s="9"/>
      <c r="H2066" s="12"/>
      <c r="I2066" s="9" t="s">
        <v>7765</v>
      </c>
      <c r="J2066" s="25" t="e">
        <f>IF(shinsei_strtower15_prgo03_NAME="","",shinsei_strtower15_prgo03_NAME&amp;" ")&amp;IF(shinsei_strtower15_prgo03_VER="","","Ver."&amp;shinsei_strtower15_prgo03_VER&amp;"  ")</f>
        <v>#NAME?</v>
      </c>
    </row>
    <row r="2067" spans="2:12" s="10" customFormat="1" ht="18" customHeight="1">
      <c r="C2067" s="12" t="s">
        <v>3974</v>
      </c>
      <c r="D2067" s="12"/>
      <c r="G2067" s="9"/>
      <c r="H2067" s="12"/>
    </row>
    <row r="2068" spans="2:12" s="10" customFormat="1" ht="18" customHeight="1">
      <c r="D2068" s="12" t="s">
        <v>6376</v>
      </c>
      <c r="G2068" s="9"/>
      <c r="H2068" s="12"/>
      <c r="I2068" s="9" t="s">
        <v>7766</v>
      </c>
      <c r="J2068" s="173" t="e">
        <f>IF(cst_shinsei_strtower15_prgo03_NINTEI__umu="有",IF(shinsei_strtower15_prgo03_MAKER_NAME="","",shinsei_strtower15_prgo03_MAKER_NAME&amp;"  "),"")</f>
        <v>#NAME?</v>
      </c>
    </row>
    <row r="2069" spans="2:12" s="10" customFormat="1" ht="18" customHeight="1">
      <c r="D2069" s="12" t="s">
        <v>3972</v>
      </c>
      <c r="G2069" s="9"/>
      <c r="H2069" s="12"/>
      <c r="I2069" s="9" t="s">
        <v>7767</v>
      </c>
      <c r="J2069" s="25" t="e">
        <f>IF(cst_shinsei_strtower15_prgo03_NINTEI__umu="有",IF(shinsei_strtower15_prgo03_NAME="","",shinsei_strtower15_prgo03_NAME&amp;" ")&amp;IF(shinsei_strtower15_prgo03_VER="","","Ver."&amp;shinsei_strtower15_prgo03_VER&amp;"  "),"")</f>
        <v>#NAME?</v>
      </c>
    </row>
    <row r="2070" spans="2:12" s="10" customFormat="1" ht="18" customHeight="1">
      <c r="C2070" s="12" t="s">
        <v>3981</v>
      </c>
      <c r="D2070" s="12"/>
      <c r="G2070" s="9"/>
      <c r="H2070" s="12"/>
    </row>
    <row r="2071" spans="2:12" s="10" customFormat="1" ht="18" customHeight="1">
      <c r="D2071" s="12" t="s">
        <v>3976</v>
      </c>
      <c r="G2071" s="9"/>
      <c r="H2071" s="12"/>
      <c r="I2071" s="9" t="s">
        <v>7768</v>
      </c>
      <c r="J2071" s="173" t="e">
        <f>IF(cst_shinsei_strtower15_prgo03_NINTEI__umu="無",IF(shinsei_strtower15_prgo03_MAKER_NAME="","",shinsei_strtower15_prgo03_MAKER_NAME&amp;"  "),"")</f>
        <v>#NAME?</v>
      </c>
    </row>
    <row r="2072" spans="2:12" s="10" customFormat="1" ht="18" customHeight="1">
      <c r="D2072" s="12" t="s">
        <v>3972</v>
      </c>
      <c r="G2072" s="9"/>
      <c r="H2072" s="12"/>
      <c r="I2072" s="9" t="s">
        <v>7769</v>
      </c>
      <c r="J2072" s="25" t="e">
        <f>IF(cst_shinsei_strtower15_prgo03_NINTEI__umu="無",IF(shinsei_strtower15_prgo03_NAME="","",shinsei_strtower15_prgo03_NAME&amp;" ")&amp;IF(shinsei_strtower15_prgo03_VER="","","Ver."&amp;shinsei_strtower15_prgo03_VER&amp;"  "),"")</f>
        <v>#NAME?</v>
      </c>
    </row>
    <row r="2073" spans="2:12" s="10" customFormat="1" ht="18" customHeight="1">
      <c r="B2073" s="105" t="s">
        <v>4032</v>
      </c>
      <c r="C2073" s="105"/>
      <c r="D2073" s="105"/>
      <c r="E2073" s="24"/>
      <c r="F2073" s="24"/>
      <c r="G2073" s="9"/>
      <c r="H2073" s="12"/>
    </row>
    <row r="2074" spans="2:12" s="10" customFormat="1" ht="18" customHeight="1">
      <c r="C2074" s="10" t="s">
        <v>3951</v>
      </c>
      <c r="D2074" s="12"/>
      <c r="G2074" s="9" t="s">
        <v>7770</v>
      </c>
      <c r="H2074" s="13"/>
    </row>
    <row r="2075" spans="2:12" s="10" customFormat="1" ht="18" customHeight="1">
      <c r="C2075" s="12" t="s">
        <v>4034</v>
      </c>
      <c r="D2075" s="12"/>
      <c r="G2075" s="9" t="s">
        <v>7771</v>
      </c>
      <c r="H2075" s="13"/>
    </row>
    <row r="2076" spans="2:12" s="10" customFormat="1" ht="18" customHeight="1">
      <c r="C2076" s="12" t="s">
        <v>3957</v>
      </c>
      <c r="D2076" s="12"/>
      <c r="G2076" s="9"/>
      <c r="H2076" s="9"/>
      <c r="I2076" s="10" t="s">
        <v>7772</v>
      </c>
      <c r="J2076" s="25" t="e">
        <f>IF(shinsei_strtower15_prgo04_NAME="","",IF(shinsei_strtower15_prgo04_NINTEI_NO="","無","有"))</f>
        <v>#NAME?</v>
      </c>
      <c r="K2076" s="10" t="s">
        <v>2941</v>
      </c>
      <c r="L2076" s="10" t="s">
        <v>3879</v>
      </c>
    </row>
    <row r="2077" spans="2:12" s="10" customFormat="1" ht="18" customHeight="1">
      <c r="C2077" s="12" t="s">
        <v>3960</v>
      </c>
      <c r="D2077" s="12"/>
      <c r="G2077" s="9" t="s">
        <v>7773</v>
      </c>
      <c r="H2077" s="13"/>
      <c r="K2077" s="10" t="s">
        <v>3863</v>
      </c>
      <c r="L2077" s="10" t="s">
        <v>3879</v>
      </c>
    </row>
    <row r="2078" spans="2:12" s="10" customFormat="1" ht="18" customHeight="1">
      <c r="C2078" s="12" t="s">
        <v>3964</v>
      </c>
      <c r="D2078" s="12"/>
      <c r="G2078" s="9" t="s">
        <v>7774</v>
      </c>
      <c r="H2078" s="74"/>
      <c r="I2078" s="10" t="s">
        <v>7775</v>
      </c>
      <c r="J2078" s="25" t="e">
        <f>IF(shinsei_strtower15_prgo04_NINTEI_DATE="","",TEXT(shinsei_strtower15_prgo04_NINTEI_DATE,"ggge年m月d日")&amp;"  ")</f>
        <v>#NAME?</v>
      </c>
    </row>
    <row r="2079" spans="2:12" s="10" customFormat="1" ht="18" customHeight="1">
      <c r="C2079" s="12" t="s">
        <v>7303</v>
      </c>
      <c r="D2079" s="12"/>
      <c r="G2079" s="9" t="s">
        <v>7776</v>
      </c>
      <c r="H2079" s="13"/>
      <c r="I2079" s="9"/>
      <c r="J2079" s="9"/>
    </row>
    <row r="2080" spans="2:12" s="10" customFormat="1" ht="18" customHeight="1">
      <c r="C2080" s="12" t="s">
        <v>3970</v>
      </c>
      <c r="D2080" s="12"/>
      <c r="G2080" s="9"/>
      <c r="H2080" s="12"/>
      <c r="I2080" s="9" t="s">
        <v>7777</v>
      </c>
      <c r="J2080" s="25" t="e">
        <f>IF(shinsei_strtower15_prgo04_NAME="","",shinsei_strtower15_prgo04_NAME)&amp;CHAR(10)&amp;IF(shinsei_strtower15_prgo04_VER="","","Ver."&amp;shinsei_strtower15_prgo04_VER&amp;CHAR(10))</f>
        <v>#NAME?</v>
      </c>
    </row>
    <row r="2081" spans="2:12" s="10" customFormat="1" ht="18" customHeight="1">
      <c r="C2081" s="12" t="s">
        <v>3972</v>
      </c>
      <c r="D2081" s="12"/>
      <c r="G2081" s="9"/>
      <c r="H2081" s="12"/>
      <c r="I2081" s="9" t="s">
        <v>7778</v>
      </c>
      <c r="J2081" s="25" t="e">
        <f>IF(shinsei_strtower15_prgo04_NAME="","",shinsei_strtower15_prgo04_NAME&amp;" ")&amp;IF(shinsei_strtower15_prgo04_VER="","","Ver."&amp;shinsei_strtower15_prgo04_VER&amp;"  ")</f>
        <v>#NAME?</v>
      </c>
    </row>
    <row r="2082" spans="2:12" s="10" customFormat="1" ht="18" customHeight="1">
      <c r="C2082" s="12" t="s">
        <v>3974</v>
      </c>
      <c r="D2082" s="12"/>
      <c r="G2082" s="9"/>
      <c r="H2082" s="12"/>
    </row>
    <row r="2083" spans="2:12" s="10" customFormat="1" ht="18" customHeight="1">
      <c r="D2083" s="12" t="s">
        <v>6566</v>
      </c>
      <c r="G2083" s="9"/>
      <c r="H2083" s="12"/>
      <c r="I2083" s="9" t="s">
        <v>7779</v>
      </c>
      <c r="J2083" s="173" t="e">
        <f>IF(cst_shinsei_strtower15_prgo04_NINTEI__umu="有",IF(shinsei_strtower15_prgo04_MAKER_NAME="","",shinsei_strtower15_prgo04_MAKER_NAME&amp;"  "),"")</f>
        <v>#NAME?</v>
      </c>
    </row>
    <row r="2084" spans="2:12" s="10" customFormat="1" ht="18" customHeight="1">
      <c r="D2084" s="12" t="s">
        <v>3972</v>
      </c>
      <c r="G2084" s="9"/>
      <c r="H2084" s="12"/>
      <c r="I2084" s="9" t="s">
        <v>7780</v>
      </c>
      <c r="J2084" s="25" t="e">
        <f>IF(cst_shinsei_strtower15_prgo04_NINTEI__umu="有",IF(shinsei_strtower15_prgo04_NAME="","",shinsei_strtower15_prgo04_NAME&amp;" ")&amp;IF(shinsei_strtower15_prgo04_VER="","","Ver."&amp;shinsei_strtower15_prgo04_VER&amp;"  "),"")</f>
        <v>#NAME?</v>
      </c>
    </row>
    <row r="2085" spans="2:12" s="10" customFormat="1" ht="18" customHeight="1">
      <c r="C2085" s="12" t="s">
        <v>3981</v>
      </c>
      <c r="D2085" s="12"/>
      <c r="G2085" s="9"/>
      <c r="H2085" s="12"/>
    </row>
    <row r="2086" spans="2:12" s="10" customFormat="1" ht="18" customHeight="1">
      <c r="D2086" s="12" t="s">
        <v>5965</v>
      </c>
      <c r="G2086" s="9"/>
      <c r="H2086" s="12"/>
      <c r="I2086" s="9" t="s">
        <v>7781</v>
      </c>
      <c r="J2086" s="173" t="e">
        <f>IF(cst_shinsei_strtower15_prgo04_NINTEI__umu="無",IF(shinsei_strtower15_prgo04_MAKER_NAME="","",shinsei_strtower15_prgo04_MAKER_NAME&amp;"  "),"")</f>
        <v>#NAME?</v>
      </c>
    </row>
    <row r="2087" spans="2:12" s="10" customFormat="1" ht="18" customHeight="1">
      <c r="D2087" s="12" t="s">
        <v>3972</v>
      </c>
      <c r="G2087" s="9"/>
      <c r="H2087" s="12"/>
      <c r="I2087" s="9" t="s">
        <v>7782</v>
      </c>
      <c r="J2087" s="25" t="e">
        <f>IF(cst_shinsei_strtower15_prgo04_NINTEI__umu="無",IF(shinsei_strtower15_prgo04_NAME="","",shinsei_strtower15_prgo04_NAME&amp;" ")&amp;IF(shinsei_strtower15_prgo04_VER="","","Ver."&amp;shinsei_strtower15_prgo04_VER&amp;"  "),"")</f>
        <v>#NAME?</v>
      </c>
    </row>
    <row r="2088" spans="2:12" s="10" customFormat="1" ht="18" customHeight="1">
      <c r="B2088" s="105" t="s">
        <v>5968</v>
      </c>
      <c r="C2088" s="105"/>
      <c r="D2088" s="105"/>
      <c r="E2088" s="24"/>
      <c r="F2088" s="24"/>
      <c r="G2088" s="9"/>
      <c r="H2088" s="12"/>
    </row>
    <row r="2089" spans="2:12" s="10" customFormat="1" ht="18" customHeight="1">
      <c r="C2089" s="10" t="s">
        <v>3951</v>
      </c>
      <c r="D2089" s="12"/>
      <c r="G2089" s="9" t="s">
        <v>7783</v>
      </c>
      <c r="H2089" s="13"/>
    </row>
    <row r="2090" spans="2:12" s="10" customFormat="1" ht="18" customHeight="1">
      <c r="C2090" s="12" t="s">
        <v>5970</v>
      </c>
      <c r="D2090" s="12"/>
      <c r="G2090" s="9" t="s">
        <v>7784</v>
      </c>
      <c r="H2090" s="13"/>
    </row>
    <row r="2091" spans="2:12" s="10" customFormat="1" ht="18" customHeight="1">
      <c r="C2091" s="12" t="s">
        <v>3957</v>
      </c>
      <c r="D2091" s="12"/>
      <c r="G2091" s="9"/>
      <c r="H2091" s="9"/>
      <c r="I2091" s="10" t="s">
        <v>7785</v>
      </c>
      <c r="J2091" s="25" t="e">
        <f>IF(shinsei_strtower15_prgo05_NAME="","",IF(shinsei_strtower15_prgo05_NINTEI_NO="","無","有"))</f>
        <v>#NAME?</v>
      </c>
      <c r="K2091" s="10" t="s">
        <v>2941</v>
      </c>
      <c r="L2091" s="10" t="s">
        <v>3879</v>
      </c>
    </row>
    <row r="2092" spans="2:12" s="10" customFormat="1" ht="18" customHeight="1">
      <c r="C2092" s="12" t="s">
        <v>3960</v>
      </c>
      <c r="D2092" s="12"/>
      <c r="G2092" s="9" t="s">
        <v>7786</v>
      </c>
      <c r="H2092" s="13"/>
      <c r="K2092" s="10" t="s">
        <v>3862</v>
      </c>
      <c r="L2092" s="10" t="s">
        <v>3879</v>
      </c>
    </row>
    <row r="2093" spans="2:12" s="10" customFormat="1" ht="18" customHeight="1">
      <c r="C2093" s="12" t="s">
        <v>3964</v>
      </c>
      <c r="D2093" s="12"/>
      <c r="G2093" s="9" t="s">
        <v>7787</v>
      </c>
      <c r="H2093" s="74"/>
      <c r="I2093" s="10" t="s">
        <v>7788</v>
      </c>
      <c r="J2093" s="25" t="e">
        <f>IF(shinsei_strtower15_prgo05_NINTEI_DATE="","",TEXT(shinsei_strtower15_prgo05_NINTEI_DATE,"ggge年m月d日")&amp;"  ")</f>
        <v>#NAME?</v>
      </c>
    </row>
    <row r="2094" spans="2:12" s="10" customFormat="1" ht="18" customHeight="1">
      <c r="C2094" s="12" t="s">
        <v>3967</v>
      </c>
      <c r="D2094" s="12"/>
      <c r="G2094" s="9" t="s">
        <v>7789</v>
      </c>
      <c r="H2094" s="13"/>
    </row>
    <row r="2095" spans="2:12" s="10" customFormat="1" ht="18" customHeight="1">
      <c r="C2095" s="12" t="s">
        <v>3970</v>
      </c>
      <c r="D2095" s="12"/>
      <c r="G2095" s="9"/>
      <c r="H2095" s="12"/>
      <c r="I2095" s="9" t="s">
        <v>7790</v>
      </c>
      <c r="J2095" s="25" t="e">
        <f>IF(shinsei_strtower15_prgo05_NAME="","",shinsei_strtower15_prgo05_NAME)&amp;CHAR(10)&amp;IF(shinsei_strtower15_prgo05_VER="","","Ver."&amp;shinsei_strtower15_prgo05_VER&amp;CHAR(10))</f>
        <v>#NAME?</v>
      </c>
    </row>
    <row r="2096" spans="2:12" s="10" customFormat="1" ht="18" customHeight="1">
      <c r="C2096" s="12" t="s">
        <v>3972</v>
      </c>
      <c r="D2096" s="12"/>
      <c r="G2096" s="9"/>
      <c r="H2096" s="12"/>
      <c r="I2096" s="9" t="s">
        <v>7791</v>
      </c>
      <c r="J2096" s="25" t="e">
        <f>IF(shinsei_strtower15_prgo05_NAME="","",shinsei_strtower15_prgo05_NAME&amp;" ")&amp;IF(shinsei_strtower15_prgo05_VER="","","Ver."&amp;shinsei_strtower15_prgo05_VER&amp;"  ")</f>
        <v>#NAME?</v>
      </c>
    </row>
    <row r="2097" spans="2:10" s="10" customFormat="1" ht="18" customHeight="1">
      <c r="C2097" s="12" t="s">
        <v>3974</v>
      </c>
      <c r="D2097" s="12"/>
      <c r="G2097" s="9"/>
      <c r="H2097" s="12"/>
    </row>
    <row r="2098" spans="2:10" s="10" customFormat="1" ht="18" customHeight="1">
      <c r="D2098" s="12" t="s">
        <v>3975</v>
      </c>
      <c r="G2098" s="9"/>
      <c r="H2098" s="12"/>
      <c r="I2098" s="9" t="s">
        <v>7792</v>
      </c>
      <c r="J2098" s="173" t="e">
        <f>IF(cst_shinsei_strtower15_prgo05_NINTEI__umu="有",IF(shinsei_strtower15_prgo05_MAKER_NAME="","",shinsei_strtower15_prgo05_MAKER_NAME&amp;"  "),"")</f>
        <v>#NAME?</v>
      </c>
    </row>
    <row r="2099" spans="2:10" s="10" customFormat="1" ht="18" customHeight="1">
      <c r="D2099" s="12" t="s">
        <v>3972</v>
      </c>
      <c r="G2099" s="9"/>
      <c r="H2099" s="12"/>
      <c r="I2099" s="9" t="s">
        <v>7793</v>
      </c>
      <c r="J2099" s="25" t="e">
        <f>IF(cst_shinsei_strtower15_prgo05_NINTEI__umu="有",IF(shinsei_strtower15_prgo05_NAME="","",shinsei_strtower15_prgo05_NAME&amp;" ")&amp;IF(shinsei_strtower15_prgo05_VER="","","Ver."&amp;shinsei_strtower15_prgo05_VER&amp;"  "),"")</f>
        <v>#NAME?</v>
      </c>
    </row>
    <row r="2100" spans="2:10" s="10" customFormat="1" ht="18" customHeight="1">
      <c r="C2100" s="12" t="s">
        <v>3981</v>
      </c>
      <c r="D2100" s="12"/>
      <c r="G2100" s="9"/>
      <c r="H2100" s="12"/>
    </row>
    <row r="2101" spans="2:10" s="10" customFormat="1" ht="18" customHeight="1">
      <c r="D2101" s="12" t="s">
        <v>6279</v>
      </c>
      <c r="G2101" s="9"/>
      <c r="H2101" s="12"/>
      <c r="I2101" s="9" t="s">
        <v>7794</v>
      </c>
      <c r="J2101" s="173" t="e">
        <f>IF(cst_shinsei_strtower15_prgo05_NINTEI__umu="無",IF(shinsei_strtower15_prgo05_MAKER_NAME="","",shinsei_strtower15_prgo05_MAKER_NAME&amp;"  "),"")</f>
        <v>#NAME?</v>
      </c>
    </row>
    <row r="2102" spans="2:10" s="10" customFormat="1" ht="18" customHeight="1">
      <c r="D2102" s="12" t="s">
        <v>3972</v>
      </c>
      <c r="G2102" s="9"/>
      <c r="H2102" s="12"/>
      <c r="I2102" s="9" t="s">
        <v>7795</v>
      </c>
      <c r="J2102" s="25" t="e">
        <f>IF(cst_shinsei_strtower15_prgo05_NINTEI__umu="無",IF(shinsei_strtower15_prgo05_NAME="","",shinsei_strtower15_prgo05_NAME&amp;" ")&amp;IF(shinsei_strtower15_prgo05_VER="","","Ver."&amp;shinsei_strtower15_prgo05_VER&amp;"  "),"")</f>
        <v>#NAME?</v>
      </c>
    </row>
    <row r="2103" spans="2:10" s="10" customFormat="1" ht="18" customHeight="1">
      <c r="B2103" s="13" t="s">
        <v>7796</v>
      </c>
      <c r="C2103" s="13"/>
      <c r="D2103" s="13"/>
      <c r="E2103" s="25"/>
      <c r="F2103" s="25"/>
      <c r="G2103" s="9"/>
      <c r="H2103" s="80"/>
      <c r="I2103" s="9"/>
      <c r="J2103" s="80"/>
    </row>
    <row r="2104" spans="2:10" s="10" customFormat="1" ht="18" customHeight="1">
      <c r="C2104" s="12" t="s">
        <v>3970</v>
      </c>
      <c r="D2104" s="12"/>
      <c r="G2104" s="9"/>
      <c r="H2104" s="80"/>
      <c r="I2104" s="166" t="s">
        <v>7797</v>
      </c>
      <c r="J2104" s="74" t="e">
        <f>cst_shinsei_strtower15_prgo01_NAME_VER&amp;cst_shinsei_strtower15_prgo02_NAME_VER&amp;cst_shinsei_strtower15_prgo03_NAME_VER&amp;cst_shinsei_strtower15_prgo04_NAME_VER&amp;cst_shinsei_strtower15_prgo05_NAME_VER</f>
        <v>#NAME?</v>
      </c>
    </row>
    <row r="2105" spans="2:10" s="10" customFormat="1" ht="18" customHeight="1">
      <c r="C2105" s="12" t="s">
        <v>3972</v>
      </c>
      <c r="D2105" s="12"/>
      <c r="G2105" s="9"/>
      <c r="H2105" s="80"/>
      <c r="I2105" s="166" t="s">
        <v>7798</v>
      </c>
      <c r="J2105" s="74" t="e">
        <f>cst_shinsei_strtower15_prgo01_NAME_VER__SP&amp;cst_shinsei_strtower15_prgo02_NAME_VER__SP&amp;cst_shinsei_strtower15_prgo03_NAME_VER__SP&amp;cst_shinsei_strtower15_prgo04_NAME_VER__SP&amp;cst_shinsei_strtower15_prgo05_NAME_VER__SP</f>
        <v>#NAME?</v>
      </c>
    </row>
    <row r="2106" spans="2:10" s="10" customFormat="1" ht="18" customHeight="1">
      <c r="B2106" s="13" t="s">
        <v>4068</v>
      </c>
      <c r="C2106" s="13"/>
      <c r="D2106" s="13"/>
      <c r="E2106" s="25"/>
      <c r="F2106" s="25"/>
      <c r="G2106" s="9"/>
      <c r="H2106" s="80"/>
      <c r="I2106" s="9"/>
      <c r="J2106" s="80"/>
    </row>
    <row r="2107" spans="2:10" s="10" customFormat="1" ht="18" customHeight="1">
      <c r="C2107" s="12" t="s">
        <v>6279</v>
      </c>
      <c r="D2107" s="12"/>
      <c r="G2107" s="9"/>
      <c r="H2107" s="80"/>
      <c r="I2107" s="166" t="s">
        <v>7799</v>
      </c>
      <c r="J2107" s="74" t="e">
        <f>cst_shinsei_strtower15_prgo01_MAKER__NINTEI_ari&amp;cst_shinsei_strtower15_prgo02_MAKER__NINTEI_ari&amp;cst_shinsei_strtower15_prgo03_MAKER__NINTEI_ari&amp;cst_shinsei_strtower15_prgo04_MAKER__NINTEI_ari&amp;cst_shinsei_strtower15_prgo05_MAKER__NINTEI_ari</f>
        <v>#NAME?</v>
      </c>
    </row>
    <row r="2108" spans="2:10" s="10" customFormat="1" ht="18" customHeight="1">
      <c r="C2108" s="12" t="s">
        <v>3972</v>
      </c>
      <c r="D2108" s="12"/>
      <c r="G2108" s="9"/>
      <c r="H2108" s="80"/>
      <c r="I2108" s="166" t="s">
        <v>7800</v>
      </c>
      <c r="J2108" s="173" t="e">
        <f>cst_shinsei_strtower15_prgo01_NAME_VER__NINTEI_ari&amp;cst_shinsei_strtower15_prgo02_NAME_VER__NINTEI_ari&amp;cst_shinsei_strtower15_prgo03_NAME_VER__NINTEI_ari&amp;cst_shinsei_strtower15_prgo04_NAME_VER__NINTEI_ari&amp;cst_shinsei_strtower15_prgo05_NAME_VER__NINTEI_ari</f>
        <v>#NAME?</v>
      </c>
    </row>
    <row r="2109" spans="2:10" s="10" customFormat="1" ht="18" customHeight="1">
      <c r="C2109" s="12" t="s">
        <v>3964</v>
      </c>
      <c r="D2109" s="12"/>
      <c r="G2109" s="9"/>
      <c r="H2109" s="80"/>
      <c r="I2109" s="166" t="s">
        <v>7801</v>
      </c>
      <c r="J2109" s="74" t="e">
        <f>cst_shinsei_strtower15_prgo01_NINTEI_DATE_dsp&amp;cst_shinsei_strtower15_prgo02_NINTEI_DATE_dsp&amp;cst_shinsei_strtower15_prgo03_NINTEI_DATE_dsp&amp;cst_shinsei_strtower15_prgo04_NINTEI_DATE_dsp&amp;cst_shinsei_strtower15_prgo05_NINTEI_DATE_dsp</f>
        <v>#NAME?</v>
      </c>
    </row>
    <row r="2110" spans="2:10" s="10" customFormat="1" ht="18" customHeight="1">
      <c r="B2110" s="13" t="s">
        <v>4072</v>
      </c>
      <c r="C2110" s="13"/>
      <c r="D2110" s="13"/>
      <c r="E2110" s="25"/>
      <c r="F2110" s="25"/>
      <c r="G2110" s="9"/>
      <c r="H2110" s="80"/>
      <c r="I2110" s="9"/>
      <c r="J2110" s="80"/>
    </row>
    <row r="2111" spans="2:10" s="10" customFormat="1" ht="18" customHeight="1">
      <c r="C2111" s="12" t="s">
        <v>3975</v>
      </c>
      <c r="D2111" s="12"/>
      <c r="G2111" s="9"/>
      <c r="H2111" s="80"/>
      <c r="I2111" s="166" t="s">
        <v>7802</v>
      </c>
      <c r="J2111" s="74" t="e">
        <f>cst_shinsei_strtower15_prgo01_MAKER__NINTEI_non&amp;cst_shinsei_strtower15_prgo02_MAKER__NINTEI_non&amp;cst_shinsei_strtower15_prgo03_MAKER__NINTEI_non&amp;cst_shinsei_strtower15_prgo04_MAKER__NINTEI_non&amp;cst_shinsei_strtower15_prgo05_MAKER__NINTEI_non</f>
        <v>#NAME?</v>
      </c>
    </row>
    <row r="2112" spans="2:10" s="10" customFormat="1" ht="18" customHeight="1">
      <c r="C2112" s="12" t="s">
        <v>3972</v>
      </c>
      <c r="D2112" s="12"/>
      <c r="G2112" s="9"/>
      <c r="H2112" s="80"/>
      <c r="I2112" s="166" t="s">
        <v>7803</v>
      </c>
      <c r="J2112" s="173" t="e">
        <f>cst_shinsei_strtower15_prgo01_NAME_VER__NINTEI_non&amp;cst_shinsei_strtower15_prgo02_NAME_VER__NINTEI_non&amp;cst_shinsei_strtower15_prgo03_NAME_VER__NINTEI_non&amp;cst_shinsei_strtower15_prgo04_NAME_VER__NINTEI_non&amp;cst_shinsei_strtower15_prgo05_NAME_VER__NINTEI_non</f>
        <v>#NAME?</v>
      </c>
    </row>
    <row r="2113" spans="1:12" s="10" customFormat="1" ht="18" customHeight="1">
      <c r="B2113" s="12" t="s">
        <v>4075</v>
      </c>
      <c r="G2113" s="9" t="s">
        <v>7804</v>
      </c>
      <c r="H2113" s="20"/>
      <c r="I2113" s="9" t="s">
        <v>7805</v>
      </c>
      <c r="J2113" s="20" t="e">
        <f>IF(shinsei_strtower15_DISK_FLAG="","",IF(shinsei_strtower15_DISK_FLAG=1,"有","無"))</f>
        <v>#NAME?</v>
      </c>
    </row>
    <row r="2114" spans="1:12" s="10" customFormat="1" ht="18" customHeight="1">
      <c r="A2114" s="9"/>
      <c r="B2114" s="9" t="s">
        <v>2955</v>
      </c>
      <c r="C2114" s="9"/>
      <c r="D2114" s="9"/>
      <c r="E2114" s="9"/>
      <c r="F2114" s="9"/>
      <c r="G2114" s="9" t="s">
        <v>7806</v>
      </c>
      <c r="H2114" s="136"/>
      <c r="I2114" s="19" t="s">
        <v>7807</v>
      </c>
      <c r="J2114" s="171" t="e">
        <f>IF(shinsei_strtower15_CHARGE="","",shinsei_strtower15_CHARGE)</f>
        <v>#NAME?</v>
      </c>
      <c r="K2114" s="9" t="s">
        <v>2528</v>
      </c>
      <c r="L2114" s="9" t="s">
        <v>2528</v>
      </c>
    </row>
    <row r="2115" spans="1:12" ht="18" customHeight="1">
      <c r="A2115" s="149"/>
      <c r="B2115" s="149"/>
      <c r="C2115" s="149"/>
      <c r="D2115" s="149"/>
      <c r="E2115" s="12" t="s">
        <v>3907</v>
      </c>
      <c r="F2115" s="12"/>
      <c r="G2115" s="149"/>
      <c r="I2115" s="100" t="s">
        <v>7808</v>
      </c>
      <c r="J2115" s="171" t="e">
        <f>IF(shinsei_strtower15_CHARGE="","",TEXT(shinsei_strtower15_CHARGE,"#,##0_ ")&amp;"円")</f>
        <v>#NAME?</v>
      </c>
      <c r="K2115" s="9"/>
      <c r="L2115" s="9"/>
    </row>
    <row r="2116" spans="1:12" ht="18" customHeight="1">
      <c r="A2116" s="149"/>
      <c r="B2116" s="149" t="s">
        <v>3041</v>
      </c>
      <c r="C2116" s="149"/>
      <c r="D2116" s="149"/>
      <c r="E2116" s="149"/>
      <c r="F2116" s="149"/>
      <c r="G2116" s="149" t="s">
        <v>7809</v>
      </c>
      <c r="H2116" s="136"/>
      <c r="I2116" s="100" t="s">
        <v>7810</v>
      </c>
      <c r="J2116" s="136" t="e">
        <f>IF(shinsei_strtower15_CHARGE_WARIMASHI="","",shinsei_strtower15_CHARGE_WARIMASHI)</f>
        <v>#NAME?</v>
      </c>
      <c r="K2116" s="9" t="s">
        <v>2528</v>
      </c>
      <c r="L2116" s="9" t="s">
        <v>2528</v>
      </c>
    </row>
    <row r="2117" spans="1:12" ht="18" customHeight="1">
      <c r="A2117" s="149"/>
      <c r="B2117" s="149" t="s">
        <v>3043</v>
      </c>
      <c r="C2117" s="149"/>
      <c r="D2117" s="149"/>
      <c r="E2117" s="149"/>
      <c r="F2117" s="149"/>
      <c r="G2117" s="149" t="s">
        <v>7811</v>
      </c>
      <c r="H2117" s="136"/>
      <c r="I2117" s="100" t="s">
        <v>7812</v>
      </c>
      <c r="J2117" s="136" t="e">
        <f>IF(shinsei_strtower15_CHARGE_TOTAL="","",shinsei_strtower15_CHARGE_TOTAL)</f>
        <v>#NAME?</v>
      </c>
      <c r="K2117" s="9" t="s">
        <v>2528</v>
      </c>
      <c r="L2117" s="9" t="s">
        <v>2528</v>
      </c>
    </row>
    <row r="2118" spans="1:12" ht="18" customHeight="1">
      <c r="A2118" s="149"/>
      <c r="B2118" s="149" t="s">
        <v>5637</v>
      </c>
      <c r="C2118" s="149"/>
      <c r="D2118" s="149"/>
      <c r="E2118" s="149"/>
      <c r="F2118" s="149"/>
      <c r="G2118" s="149" t="s">
        <v>7813</v>
      </c>
      <c r="H2118" s="13"/>
      <c r="I2118" s="176" t="s">
        <v>7814</v>
      </c>
      <c r="J2118" s="20" t="e">
        <f>IF(shinsei_strtower15_CHARGE_KEISAN_NOTE="","",shinsei_strtower15_CHARGE_KEISAN_NOTE)</f>
        <v>#NAME?</v>
      </c>
      <c r="K2118" s="10" t="s">
        <v>3862</v>
      </c>
      <c r="L2118" s="10" t="s">
        <v>3879</v>
      </c>
    </row>
    <row r="2119" spans="1:12" ht="18" customHeight="1">
      <c r="A2119" s="149"/>
      <c r="B2119" s="149"/>
      <c r="C2119" s="149"/>
      <c r="D2119" s="149"/>
      <c r="E2119" s="149" t="s">
        <v>5640</v>
      </c>
      <c r="F2119" s="149"/>
      <c r="G2119" s="149"/>
      <c r="I2119" s="100" t="s">
        <v>7815</v>
      </c>
      <c r="J2119" s="20" t="e">
        <f>IF(shinsei_INSPECTION_TYPE="計画変更",IF(shinsei_strtower15_CHARGE="","","延べ面積×1/2により算出"),IF(shinsei_strtower15_CHARGE_KEISAN_NOTE="","",shinsei_strtower15_CHARGE_KEISAN_NOTE))</f>
        <v>#NAME?</v>
      </c>
    </row>
    <row r="2120" spans="1:12" ht="18" customHeight="1">
      <c r="A2120" s="149"/>
      <c r="B2120" s="149" t="s">
        <v>5642</v>
      </c>
      <c r="C2120" s="149"/>
      <c r="D2120" s="149"/>
      <c r="E2120" s="149"/>
      <c r="F2120" s="149"/>
      <c r="G2120" s="149" t="s">
        <v>7816</v>
      </c>
      <c r="H2120" s="13"/>
      <c r="I2120" s="149" t="s">
        <v>7817</v>
      </c>
      <c r="J2120" s="20" t="e">
        <f>IF(shinsei_strtower15_KEISAN_X_ROUTE="","",shinsei_strtower15_KEISAN_X_ROUTE)</f>
        <v>#NAME?</v>
      </c>
    </row>
    <row r="2121" spans="1:12" ht="18" customHeight="1">
      <c r="A2121" s="149"/>
      <c r="B2121" s="149" t="s">
        <v>5645</v>
      </c>
      <c r="C2121" s="149"/>
      <c r="D2121" s="149"/>
      <c r="E2121" s="149"/>
      <c r="F2121" s="149"/>
      <c r="G2121" s="149" t="s">
        <v>7818</v>
      </c>
      <c r="H2121" s="13"/>
      <c r="I2121" s="149" t="s">
        <v>7819</v>
      </c>
      <c r="J2121" s="20" t="e">
        <f>IF(shinsei_strtower15_KEISAN_Y_ROUTE="","",shinsei_strtower15_KEISAN_Y_ROUTE)</f>
        <v>#NAME?</v>
      </c>
    </row>
    <row r="2122" spans="1:12" ht="18" customHeight="1">
      <c r="A2122" s="149"/>
      <c r="B2122" s="149"/>
      <c r="C2122" s="149" t="s">
        <v>3805</v>
      </c>
      <c r="D2122" s="149"/>
      <c r="E2122" s="149"/>
      <c r="F2122" s="149"/>
      <c r="G2122" s="149"/>
      <c r="H2122" s="12"/>
      <c r="I2122" s="149" t="s">
        <v>7820</v>
      </c>
      <c r="J2122" s="20" t="e">
        <f>IF(AND(cst_shinsei_strtower15_KEISAN_X_ROUTE="3",cst_shinsei_strtower15_KEISAN_Y_ROUTE="3"),"■","□")</f>
        <v>#NAME?</v>
      </c>
    </row>
    <row r="2123" spans="1:12" ht="18" customHeight="1">
      <c r="A2123" s="149"/>
      <c r="B2123" s="149" t="s">
        <v>5650</v>
      </c>
      <c r="C2123" s="149"/>
      <c r="D2123" s="149"/>
      <c r="E2123" s="149"/>
      <c r="F2123" s="149"/>
      <c r="G2123" s="149" t="s">
        <v>7821</v>
      </c>
      <c r="H2123" s="13"/>
      <c r="I2123" s="149" t="s">
        <v>7822</v>
      </c>
      <c r="J2123" s="20" t="e">
        <f>IF(shinsei_strtower15_PROGRAM_KIND_SONOTA="","",shinsei_strtower15_PROGRAM_KIND_SONOTA)</f>
        <v>#NAME?</v>
      </c>
    </row>
    <row r="2124" spans="1:12" ht="18" customHeight="1">
      <c r="A2124" s="149"/>
      <c r="B2124" s="149"/>
      <c r="C2124" s="149"/>
      <c r="D2124" s="149"/>
      <c r="E2124" s="149"/>
      <c r="F2124" s="149"/>
      <c r="G2124" s="149"/>
      <c r="I2124" s="149"/>
    </row>
    <row r="2125" spans="1:12" s="10" customFormat="1" ht="18" customHeight="1">
      <c r="A2125" s="162" t="s">
        <v>3117</v>
      </c>
      <c r="B2125" s="162"/>
      <c r="C2125" s="162"/>
      <c r="D2125" s="162"/>
      <c r="E2125" s="163"/>
      <c r="F2125" s="163"/>
      <c r="G2125" s="164"/>
      <c r="H2125" s="165"/>
      <c r="I2125" s="9"/>
    </row>
    <row r="2126" spans="1:12" s="10" customFormat="1" ht="18" customHeight="1">
      <c r="A2126" s="12"/>
      <c r="B2126" s="12" t="s">
        <v>3859</v>
      </c>
      <c r="C2126" s="12"/>
      <c r="D2126" s="12"/>
      <c r="E2126" s="11"/>
      <c r="F2126" s="11"/>
      <c r="G2126" s="10" t="s">
        <v>7823</v>
      </c>
      <c r="H2126" s="13"/>
      <c r="I2126" s="19" t="s">
        <v>7824</v>
      </c>
      <c r="J2126" s="25" t="e">
        <f>IF(shinsei_strtower16_TOWER_NO="","",shinsei_strtower16_TOWER_NO)</f>
        <v>#NAME?</v>
      </c>
      <c r="K2126" s="10" t="s">
        <v>3862</v>
      </c>
    </row>
    <row r="2127" spans="1:12" s="10" customFormat="1" ht="18" customHeight="1">
      <c r="A2127" s="12"/>
      <c r="B2127" s="12" t="s">
        <v>3864</v>
      </c>
      <c r="C2127" s="12"/>
      <c r="D2127" s="12"/>
      <c r="E2127" s="11"/>
      <c r="F2127" s="11"/>
      <c r="G2127" s="9" t="s">
        <v>7825</v>
      </c>
      <c r="H2127" s="13"/>
      <c r="I2127" s="19" t="s">
        <v>7826</v>
      </c>
      <c r="J2127" s="25" t="e">
        <f>IF(shinsei_strtower16_STR_TOWER_NO="","",shinsei_strtower16_STR_TOWER_NO)</f>
        <v>#NAME?</v>
      </c>
      <c r="K2127" s="10" t="s">
        <v>3862</v>
      </c>
      <c r="L2127" s="10" t="s">
        <v>3879</v>
      </c>
    </row>
    <row r="2128" spans="1:12" s="166" customFormat="1" ht="18" customHeight="1">
      <c r="B2128" s="12" t="s">
        <v>3868</v>
      </c>
      <c r="I2128" s="9" t="s">
        <v>7827</v>
      </c>
      <c r="J2128" s="167" t="e">
        <f>CONCATENATE(cst_shinsei_strtower16_TOWER_NO," - ",cst_shinsei_strtower16_STR_TOWER_NO)</f>
        <v>#NAME?</v>
      </c>
    </row>
    <row r="2129" spans="1:12" s="166" customFormat="1" ht="18" customHeight="1">
      <c r="B2129" s="12" t="s">
        <v>3870</v>
      </c>
      <c r="I2129" s="9" t="s">
        <v>7828</v>
      </c>
      <c r="J2129" s="167" t="e">
        <f>CONCATENATE(cst_shinsei_strtower16_STR_TOWER_NO," ／ ",cst_shinsei_STR_SHINSEI_TOWERS)</f>
        <v>#NAME?</v>
      </c>
    </row>
    <row r="2130" spans="1:12" s="10" customFormat="1" ht="18" customHeight="1">
      <c r="A2130" s="12"/>
      <c r="B2130" s="12" t="s">
        <v>3872</v>
      </c>
      <c r="C2130" s="11"/>
      <c r="D2130" s="11"/>
      <c r="E2130" s="11"/>
      <c r="F2130" s="11"/>
      <c r="G2130" s="9" t="s">
        <v>7829</v>
      </c>
      <c r="H2130" s="13"/>
      <c r="I2130" s="9" t="s">
        <v>7830</v>
      </c>
      <c r="J2130" s="25" t="e">
        <f>IF(shinsei_strtower16_STR_TOWER_NAME="","",shinsei_strtower16_STR_TOWER_NAME)</f>
        <v>#NAME?</v>
      </c>
    </row>
    <row r="2131" spans="1:12" s="10" customFormat="1" ht="18" customHeight="1">
      <c r="A2131" s="12"/>
      <c r="B2131" s="12" t="s">
        <v>3875</v>
      </c>
      <c r="C2131" s="12"/>
      <c r="D2131" s="12"/>
      <c r="E2131" s="11"/>
      <c r="F2131" s="11"/>
      <c r="G2131" s="9" t="s">
        <v>7831</v>
      </c>
      <c r="H2131" s="20"/>
      <c r="I2131" s="20" t="s">
        <v>7832</v>
      </c>
      <c r="J2131" s="25" t="e">
        <f>IF(shinsei_strtower16_JUDGE="","",shinsei_strtower16_JUDGE)</f>
        <v>#NAME?</v>
      </c>
      <c r="K2131" s="10" t="s">
        <v>7833</v>
      </c>
      <c r="L2131" s="10" t="s">
        <v>3879</v>
      </c>
    </row>
    <row r="2132" spans="1:12" s="10" customFormat="1" ht="18" customHeight="1">
      <c r="A2132" s="12"/>
      <c r="B2132" s="12" t="s">
        <v>4441</v>
      </c>
      <c r="C2132" s="12"/>
      <c r="D2132" s="12"/>
      <c r="E2132" s="11"/>
      <c r="F2132" s="11"/>
      <c r="G2132" s="9" t="s">
        <v>7834</v>
      </c>
      <c r="H2132" s="13"/>
      <c r="I2132" s="9" t="s">
        <v>7835</v>
      </c>
      <c r="J2132" s="25" t="e">
        <f>IF(shinsei_strtower16_STR_TOWER_YOUTO_TEXT="","",shinsei_strtower16_STR_TOWER_YOUTO_TEXT)</f>
        <v>#NAME?</v>
      </c>
      <c r="K2132" s="10" t="s">
        <v>3862</v>
      </c>
      <c r="L2132" s="10" t="s">
        <v>3879</v>
      </c>
    </row>
    <row r="2133" spans="1:12" s="10" customFormat="1" ht="18" customHeight="1">
      <c r="A2133" s="12"/>
      <c r="B2133" s="12" t="s">
        <v>3790</v>
      </c>
      <c r="C2133" s="12"/>
      <c r="D2133" s="12"/>
      <c r="E2133" s="11"/>
      <c r="F2133" s="11"/>
      <c r="G2133" s="9" t="s">
        <v>7836</v>
      </c>
      <c r="H2133" s="13"/>
      <c r="I2133" s="9" t="s">
        <v>7837</v>
      </c>
      <c r="J2133" s="25" t="e">
        <f>IF(shinsei_strtower16_KOUJI_TEXT="","",shinsei_strtower16_KOUJI_TEXT)</f>
        <v>#NAME?</v>
      </c>
      <c r="K2133" s="10" t="s">
        <v>3862</v>
      </c>
      <c r="L2133" s="10" t="s">
        <v>3879</v>
      </c>
    </row>
    <row r="2134" spans="1:12" s="10" customFormat="1" ht="18" customHeight="1">
      <c r="A2134" s="12"/>
      <c r="B2134" s="12" t="s">
        <v>3888</v>
      </c>
      <c r="C2134" s="11"/>
      <c r="D2134" s="11"/>
      <c r="E2134" s="11"/>
      <c r="F2134" s="11"/>
      <c r="G2134" s="9" t="s">
        <v>7838</v>
      </c>
      <c r="H2134" s="13"/>
      <c r="I2134" s="9" t="s">
        <v>7839</v>
      </c>
      <c r="J2134" s="25" t="e">
        <f>IF(shinsei_strtower16_KOUZOU_TEXT="","",shinsei_strtower16_KOUZOU_TEXT)</f>
        <v>#NAME?</v>
      </c>
    </row>
    <row r="2135" spans="1:12" s="10" customFormat="1" ht="18" customHeight="1">
      <c r="A2135" s="12"/>
      <c r="B2135" s="12" t="s">
        <v>3888</v>
      </c>
      <c r="C2135" s="12"/>
      <c r="D2135" s="12"/>
      <c r="E2135" s="11"/>
      <c r="F2135" s="11"/>
      <c r="G2135" s="9" t="s">
        <v>7840</v>
      </c>
      <c r="H2135" s="13"/>
      <c r="I2135" s="9" t="s">
        <v>7841</v>
      </c>
      <c r="J2135" s="25" t="e">
        <f>IF(shinsei_strtower16_KOUZOU_TEXT="","",shinsei_strtower16_KOUZOU_TEXT)</f>
        <v>#NAME?</v>
      </c>
    </row>
    <row r="2136" spans="1:12" s="10" customFormat="1" ht="18" customHeight="1">
      <c r="A2136" s="12"/>
      <c r="B2136" s="12" t="s">
        <v>3893</v>
      </c>
      <c r="C2136" s="11"/>
      <c r="D2136" s="11"/>
      <c r="E2136" s="11"/>
      <c r="F2136" s="11"/>
      <c r="G2136" s="9" t="s">
        <v>7842</v>
      </c>
      <c r="H2136" s="13"/>
      <c r="I2136" s="9" t="s">
        <v>7843</v>
      </c>
      <c r="J2136" s="25" t="e">
        <f>IF(shinsei_strtower16_KOUZOU_KEISAN="","",shinsei_strtower16_KOUZOU_KEISAN)</f>
        <v>#NAME?</v>
      </c>
    </row>
    <row r="2137" spans="1:12" s="10" customFormat="1" ht="18" customHeight="1">
      <c r="A2137" s="12"/>
      <c r="B2137" s="12" t="s">
        <v>3893</v>
      </c>
      <c r="C2137" s="12"/>
      <c r="D2137" s="12"/>
      <c r="E2137" s="11"/>
      <c r="F2137" s="11"/>
      <c r="G2137" s="9" t="s">
        <v>7844</v>
      </c>
      <c r="H2137" s="13"/>
      <c r="I2137" s="10" t="s">
        <v>7845</v>
      </c>
      <c r="J2137" s="25" t="e">
        <f>IF(shinsei_strtower16_KOUZOU_KEISAN_TEXT="","",shinsei_strtower16_KOUZOU_KEISAN_TEXT)</f>
        <v>#NAME?</v>
      </c>
    </row>
    <row r="2138" spans="1:12" s="10" customFormat="1" ht="18" customHeight="1">
      <c r="A2138" s="12"/>
      <c r="B2138" s="12" t="s">
        <v>3902</v>
      </c>
      <c r="C2138" s="12"/>
      <c r="D2138" s="12"/>
      <c r="E2138" s="11"/>
      <c r="F2138" s="11"/>
      <c r="G2138" s="9" t="s">
        <v>7846</v>
      </c>
      <c r="H2138" s="65"/>
      <c r="I2138" s="19" t="s">
        <v>7847</v>
      </c>
      <c r="J2138" s="168" t="e">
        <f>IF(shinsei_strtower16_MENSEKI="","",shinsei_strtower16_MENSEKI)</f>
        <v>#NAME?</v>
      </c>
      <c r="K2138" s="10" t="s">
        <v>3906</v>
      </c>
      <c r="L2138" s="10" t="s">
        <v>3906</v>
      </c>
    </row>
    <row r="2139" spans="1:12" ht="18" customHeight="1">
      <c r="A2139" s="12"/>
      <c r="B2139" s="12"/>
      <c r="C2139" s="12"/>
      <c r="D2139" s="12"/>
      <c r="E2139" s="12" t="s">
        <v>3907</v>
      </c>
      <c r="F2139" s="12"/>
      <c r="G2139" s="9"/>
      <c r="H2139" s="9"/>
      <c r="I2139" s="9" t="s">
        <v>7848</v>
      </c>
      <c r="J2139" s="168" t="e">
        <f>IF(shinsei_strtower16_MENSEKI="","",TEXT(shinsei_strtower16_MENSEKI,"#,##0.00_ ")&amp;"㎡")</f>
        <v>#NAME?</v>
      </c>
    </row>
    <row r="2140" spans="1:12" s="10" customFormat="1" ht="18" customHeight="1">
      <c r="A2140" s="12"/>
      <c r="B2140" s="12" t="s">
        <v>4390</v>
      </c>
      <c r="C2140" s="12"/>
      <c r="D2140" s="12"/>
      <c r="E2140" s="11"/>
      <c r="F2140" s="11"/>
      <c r="G2140" s="9" t="s">
        <v>7849</v>
      </c>
      <c r="H2140" s="93"/>
      <c r="I2140" s="9" t="s">
        <v>7850</v>
      </c>
      <c r="J2140" s="170" t="e">
        <f>IF(shinsei_strtower16_MAX_TAKASA="","",shinsei_strtower16_MAX_TAKASA)</f>
        <v>#NAME?</v>
      </c>
      <c r="K2140" s="10" t="s">
        <v>3911</v>
      </c>
      <c r="L2140" s="10" t="s">
        <v>3911</v>
      </c>
    </row>
    <row r="2141" spans="1:12" s="10" customFormat="1" ht="18" customHeight="1">
      <c r="A2141" s="12"/>
      <c r="B2141" s="12" t="s">
        <v>4388</v>
      </c>
      <c r="C2141" s="11"/>
      <c r="D2141" s="11"/>
      <c r="E2141" s="11"/>
      <c r="F2141" s="11"/>
      <c r="G2141" s="9" t="s">
        <v>7851</v>
      </c>
      <c r="H2141" s="93"/>
      <c r="I2141" s="9" t="s">
        <v>7852</v>
      </c>
      <c r="J2141" s="170" t="e">
        <f>IF(shinsei_strtower16_MAX_NOKI_TAKASA="","",shinsei_strtower16_MAX_NOKI_TAKASA)</f>
        <v>#NAME?</v>
      </c>
    </row>
    <row r="2142" spans="1:12" s="10" customFormat="1" ht="18" customHeight="1">
      <c r="A2142" s="12"/>
      <c r="B2142" s="12" t="s">
        <v>3782</v>
      </c>
      <c r="C2142" s="12"/>
      <c r="D2142" s="12"/>
      <c r="E2142" s="11"/>
      <c r="F2142" s="11"/>
      <c r="G2142" s="9"/>
      <c r="H2142" s="9"/>
      <c r="I2142" s="9"/>
    </row>
    <row r="2143" spans="1:12" s="10" customFormat="1" ht="18" customHeight="1">
      <c r="A2143" s="12"/>
      <c r="B2143" s="12"/>
      <c r="C2143" s="11" t="s">
        <v>3783</v>
      </c>
      <c r="D2143" s="12"/>
      <c r="G2143" s="9" t="s">
        <v>7853</v>
      </c>
      <c r="H2143" s="136"/>
      <c r="I2143" s="9" t="s">
        <v>7854</v>
      </c>
      <c r="J2143" s="171" t="e">
        <f>IF(shinsei_strtower16_KAISU_TIJYOU="","",shinsei_strtower16_KAISU_TIJYOU)</f>
        <v>#NAME?</v>
      </c>
      <c r="K2143" s="10" t="s">
        <v>7855</v>
      </c>
      <c r="L2143" s="10" t="s">
        <v>7855</v>
      </c>
    </row>
    <row r="2144" spans="1:12" s="10" customFormat="1" ht="18" customHeight="1">
      <c r="A2144" s="12"/>
      <c r="B2144" s="12"/>
      <c r="C2144" s="11" t="s">
        <v>3785</v>
      </c>
      <c r="D2144" s="12"/>
      <c r="G2144" s="9" t="s">
        <v>7856</v>
      </c>
      <c r="H2144" s="136"/>
      <c r="I2144" s="9" t="s">
        <v>7857</v>
      </c>
      <c r="J2144" s="171" t="e">
        <f>IF(shinsei_strtower16_KAISU_TIKA="","",shinsei_strtower16_KAISU_TIKA)</f>
        <v>#NAME?</v>
      </c>
      <c r="K2144" s="10" t="s">
        <v>3916</v>
      </c>
      <c r="L2144" s="10" t="s">
        <v>3916</v>
      </c>
    </row>
    <row r="2145" spans="1:12" s="10" customFormat="1" ht="18" customHeight="1">
      <c r="A2145" s="12"/>
      <c r="B2145" s="12"/>
      <c r="C2145" s="11" t="s">
        <v>3787</v>
      </c>
      <c r="D2145" s="12"/>
      <c r="G2145" s="9" t="s">
        <v>7858</v>
      </c>
      <c r="H2145" s="136"/>
      <c r="I2145" s="9" t="s">
        <v>7859</v>
      </c>
      <c r="J2145" s="171" t="e">
        <f>IF(shinsei_strtower16_KAISU_TOUYA="","",shinsei_strtower16_KAISU_TOUYA)</f>
        <v>#NAME?</v>
      </c>
      <c r="K2145" s="10" t="s">
        <v>3916</v>
      </c>
      <c r="L2145" s="10" t="s">
        <v>3916</v>
      </c>
    </row>
    <row r="2146" spans="1:12" s="10" customFormat="1" ht="18" customHeight="1">
      <c r="B2146" s="12" t="s">
        <v>3923</v>
      </c>
      <c r="G2146" s="9" t="s">
        <v>7860</v>
      </c>
      <c r="H2146" s="13"/>
      <c r="I2146" s="10" t="s">
        <v>7861</v>
      </c>
      <c r="J2146" s="25" t="e">
        <f>IF(shinsei_strtower16_BUILD_KUBUN="","",shinsei_strtower16_BUILD_KUBUN)</f>
        <v>#NAME?</v>
      </c>
    </row>
    <row r="2147" spans="1:12" s="10" customFormat="1" ht="18" customHeight="1">
      <c r="B2147" s="12" t="s">
        <v>3923</v>
      </c>
      <c r="C2147" s="12"/>
      <c r="D2147" s="12"/>
      <c r="G2147" s="9" t="s">
        <v>7862</v>
      </c>
      <c r="H2147" s="13"/>
      <c r="I2147" s="10" t="s">
        <v>7863</v>
      </c>
      <c r="J2147" s="25" t="e">
        <f>IF(shinsei_strtower16_BUILD_KUBUN_TEXT="","",shinsei_strtower16_BUILD_KUBUN_TEXT)</f>
        <v>#NAME?</v>
      </c>
      <c r="K2147" s="10" t="s">
        <v>3862</v>
      </c>
    </row>
    <row r="2148" spans="1:12" s="10" customFormat="1" ht="18" customHeight="1">
      <c r="A2148" s="149"/>
      <c r="B2148" s="149"/>
      <c r="C2148" s="149" t="s">
        <v>3801</v>
      </c>
      <c r="D2148" s="149"/>
      <c r="E2148" s="149"/>
      <c r="F2148" s="149"/>
      <c r="G2148" s="149"/>
      <c r="H2148" s="12"/>
      <c r="I2148" s="149" t="s">
        <v>7864</v>
      </c>
      <c r="J2148" s="20" t="e">
        <f>IF(shinsei_strtower16_BUILD_KUBUN_TEXT="建築基準法第20条第２号に掲げる建築物","■","□")</f>
        <v>#NAME?</v>
      </c>
    </row>
    <row r="2149" spans="1:12" s="10" customFormat="1" ht="18" customHeight="1">
      <c r="A2149" s="149"/>
      <c r="B2149" s="149"/>
      <c r="C2149" s="149" t="s">
        <v>3801</v>
      </c>
      <c r="D2149" s="149"/>
      <c r="E2149" s="149"/>
      <c r="F2149" s="149"/>
      <c r="G2149" s="149"/>
      <c r="H2149" s="12"/>
      <c r="I2149" s="149" t="s">
        <v>7865</v>
      </c>
      <c r="J2149" s="20" t="e">
        <f>IF(shinsei_strtower16_BUILD_KUBUN_TEXT="建築基準法第20条第３号に掲げる建築物","■","□")</f>
        <v>#NAME?</v>
      </c>
    </row>
    <row r="2150" spans="1:12" s="10" customFormat="1" ht="18" customHeight="1">
      <c r="A2150" s="12"/>
      <c r="B2150" s="12" t="s">
        <v>3932</v>
      </c>
      <c r="C2150" s="12"/>
      <c r="D2150" s="12"/>
      <c r="E2150" s="11"/>
      <c r="F2150" s="11"/>
      <c r="G2150" s="9" t="s">
        <v>7866</v>
      </c>
      <c r="H2150" s="13"/>
      <c r="I2150" s="9" t="s">
        <v>7867</v>
      </c>
      <c r="J2150" s="25" t="e">
        <f>IF(shinsei_strtower16_MENJYO_TEXT="","",shinsei_strtower16_MENJYO_TEXT)</f>
        <v>#NAME?</v>
      </c>
      <c r="K2150" s="10" t="s">
        <v>3862</v>
      </c>
    </row>
    <row r="2151" spans="1:12" s="10" customFormat="1" ht="18" customHeight="1">
      <c r="A2151" s="12"/>
      <c r="B2151" s="12" t="s">
        <v>3935</v>
      </c>
      <c r="C2151" s="12"/>
      <c r="D2151" s="12"/>
      <c r="E2151" s="11"/>
      <c r="F2151" s="11"/>
      <c r="G2151" s="9" t="s">
        <v>7868</v>
      </c>
      <c r="H2151" s="20"/>
      <c r="I2151" s="9" t="s">
        <v>7869</v>
      </c>
      <c r="J2151" s="25" t="e">
        <f>IF(shinsei_strtower16_PROGRAM_KIND="","",shinsei_strtower16_PROGRAM_KIND)</f>
        <v>#NAME?</v>
      </c>
      <c r="K2151" s="10" t="s">
        <v>5704</v>
      </c>
    </row>
    <row r="2152" spans="1:12" s="10" customFormat="1" ht="18" customHeight="1">
      <c r="B2152" s="12" t="s">
        <v>3939</v>
      </c>
      <c r="C2152" s="12"/>
      <c r="D2152" s="12"/>
      <c r="G2152" s="9" t="s">
        <v>7870</v>
      </c>
      <c r="H2152" s="13"/>
      <c r="I2152" s="10" t="s">
        <v>7871</v>
      </c>
      <c r="J2152" s="25" t="e">
        <f>IF(shinsei_strtower16_REI80_2_KOKUJI_TEXT="","",shinsei_strtower16_REI80_2_KOKUJI_TEXT)</f>
        <v>#NAME?</v>
      </c>
    </row>
    <row r="2153" spans="1:12" s="10" customFormat="1" ht="18" customHeight="1">
      <c r="B2153" s="12" t="s">
        <v>3943</v>
      </c>
      <c r="C2153" s="12"/>
      <c r="D2153" s="12"/>
      <c r="G2153" s="9" t="s">
        <v>7872</v>
      </c>
      <c r="H2153" s="13"/>
      <c r="I2153" s="10" t="s">
        <v>7873</v>
      </c>
      <c r="J2153" s="25" t="e">
        <f>IF(shinsei_strtower16_PROGRAM_KIND__nintei__box="■",2,IF(OR(shinsei_strtower16_PROGRAM_KIND__hyouka__box="■",shinsei_strtower16_PROGRAM_KIND__sonota__box="■"),1,0))</f>
        <v>#NAME?</v>
      </c>
      <c r="K2153" s="10" t="s">
        <v>3946</v>
      </c>
    </row>
    <row r="2154" spans="1:12" s="10" customFormat="1" ht="18" customHeight="1">
      <c r="B2154" s="12" t="s">
        <v>3947</v>
      </c>
      <c r="C2154" s="12"/>
      <c r="D2154" s="12"/>
      <c r="G2154" s="9" t="s">
        <v>7874</v>
      </c>
      <c r="H2154" s="13"/>
    </row>
    <row r="2155" spans="1:12" s="10" customFormat="1" ht="18" customHeight="1">
      <c r="B2155" s="12" t="s">
        <v>4305</v>
      </c>
      <c r="C2155" s="12"/>
      <c r="D2155" s="12"/>
      <c r="G2155" s="9" t="s">
        <v>7875</v>
      </c>
      <c r="H2155" s="13"/>
    </row>
    <row r="2156" spans="1:12" s="10" customFormat="1" ht="18" customHeight="1">
      <c r="B2156" s="105" t="s">
        <v>3950</v>
      </c>
      <c r="C2156" s="105"/>
      <c r="D2156" s="105"/>
      <c r="E2156" s="24"/>
      <c r="F2156" s="24"/>
      <c r="G2156" s="9"/>
      <c r="H2156" s="12"/>
    </row>
    <row r="2157" spans="1:12" s="10" customFormat="1" ht="18" customHeight="1">
      <c r="C2157" s="10" t="s">
        <v>3951</v>
      </c>
      <c r="D2157" s="12"/>
      <c r="G2157" s="9" t="s">
        <v>7876</v>
      </c>
      <c r="H2157" s="13"/>
      <c r="K2157" s="10" t="s">
        <v>3862</v>
      </c>
      <c r="L2157" s="10" t="s">
        <v>3879</v>
      </c>
    </row>
    <row r="2158" spans="1:12" s="10" customFormat="1" ht="18" customHeight="1">
      <c r="C2158" s="12" t="s">
        <v>3954</v>
      </c>
      <c r="D2158" s="12"/>
      <c r="E2158" s="12"/>
      <c r="F2158" s="12"/>
      <c r="G2158" s="9" t="s">
        <v>7877</v>
      </c>
      <c r="H2158" s="13"/>
    </row>
    <row r="2159" spans="1:12" s="10" customFormat="1" ht="18" customHeight="1">
      <c r="C2159" s="12" t="s">
        <v>3957</v>
      </c>
      <c r="D2159" s="12"/>
      <c r="G2159" s="9"/>
      <c r="H2159" s="9"/>
      <c r="I2159" s="10" t="s">
        <v>7878</v>
      </c>
      <c r="J2159" s="25" t="e">
        <f>IF(shinsei_strtower16_prgo01_NAME="","",IF(shinsei_strtower16_prgo01_NINTEI_NO="","無","有"))</f>
        <v>#NAME?</v>
      </c>
      <c r="K2159" s="10" t="s">
        <v>3959</v>
      </c>
      <c r="L2159" s="10" t="s">
        <v>3879</v>
      </c>
    </row>
    <row r="2160" spans="1:12" s="10" customFormat="1" ht="18" customHeight="1">
      <c r="C2160" s="12" t="s">
        <v>3960</v>
      </c>
      <c r="D2160" s="12"/>
      <c r="G2160" s="9" t="s">
        <v>7879</v>
      </c>
      <c r="H2160" s="13"/>
      <c r="I2160" s="10" t="s">
        <v>7880</v>
      </c>
      <c r="J2160" s="25" t="e">
        <f>IF(shinsei_strtower16_prgo01_NINTEI_NO="","",shinsei_strtower16_prgo01_NINTEI_NO)</f>
        <v>#NAME?</v>
      </c>
      <c r="K2160" s="10" t="s">
        <v>3862</v>
      </c>
      <c r="L2160" s="10" t="s">
        <v>3879</v>
      </c>
    </row>
    <row r="2161" spans="2:12" s="10" customFormat="1" ht="18" customHeight="1">
      <c r="C2161" s="12" t="s">
        <v>3964</v>
      </c>
      <c r="D2161" s="12"/>
      <c r="G2161" s="9" t="s">
        <v>7881</v>
      </c>
      <c r="H2161" s="74"/>
      <c r="I2161" s="10" t="s">
        <v>7882</v>
      </c>
      <c r="J2161" s="25" t="e">
        <f>IF(shinsei_strtower16_prgo01_NINTEI_DATE="","",TEXT(shinsei_strtower16_prgo01_NINTEI_DATE,"ggge年m月d日")&amp;"  ")</f>
        <v>#NAME?</v>
      </c>
    </row>
    <row r="2162" spans="2:12" s="10" customFormat="1" ht="18" customHeight="1">
      <c r="C2162" s="12" t="s">
        <v>3967</v>
      </c>
      <c r="D2162" s="12"/>
      <c r="G2162" s="9" t="s">
        <v>7883</v>
      </c>
      <c r="H2162" s="13"/>
    </row>
    <row r="2163" spans="2:12" s="10" customFormat="1" ht="18" customHeight="1">
      <c r="C2163" s="12" t="s">
        <v>3970</v>
      </c>
      <c r="D2163" s="12"/>
      <c r="G2163" s="9"/>
      <c r="H2163" s="12"/>
      <c r="I2163" s="9" t="s">
        <v>7884</v>
      </c>
      <c r="J2163" s="25" t="e">
        <f>IF(shinsei_strtower16_prgo01_NAME="","",shinsei_strtower16_prgo01_NAME)&amp;CHAR(10)&amp;IF(shinsei_strtower16_prgo01_VER="","","Ver."&amp;shinsei_strtower16_prgo01_VER&amp;CHAR(10))</f>
        <v>#NAME?</v>
      </c>
    </row>
    <row r="2164" spans="2:12" s="10" customFormat="1" ht="18" customHeight="1">
      <c r="C2164" s="12" t="s">
        <v>3972</v>
      </c>
      <c r="D2164" s="12"/>
      <c r="G2164" s="9"/>
      <c r="H2164" s="12"/>
      <c r="I2164" s="9" t="s">
        <v>7885</v>
      </c>
      <c r="J2164" s="25" t="e">
        <f>IF(shinsei_strtower16_prgo01_NAME="","",shinsei_strtower16_prgo01_NAME&amp;" ")&amp;IF(shinsei_strtower16_prgo01_VER="","","Ver."&amp;shinsei_strtower16_prgo01_VER&amp;"  ")</f>
        <v>#NAME?</v>
      </c>
    </row>
    <row r="2165" spans="2:12" s="10" customFormat="1" ht="18" customHeight="1">
      <c r="C2165" s="12" t="s">
        <v>3974</v>
      </c>
      <c r="D2165" s="12"/>
      <c r="G2165" s="9"/>
      <c r="H2165" s="12"/>
    </row>
    <row r="2166" spans="2:12" s="10" customFormat="1" ht="18" customHeight="1">
      <c r="D2166" s="12" t="s">
        <v>3975</v>
      </c>
      <c r="G2166" s="9"/>
      <c r="H2166" s="12"/>
      <c r="I2166" s="9" t="s">
        <v>7886</v>
      </c>
      <c r="J2166" s="173" t="e">
        <f>IF(cst_shinsei_strtower16_prgo01_NINTEI__umu="有",IF(shinsei_strtower16_prgo01_MAKER_NAME="","",shinsei_strtower16_prgo01_MAKER_NAME&amp;"  "),"")</f>
        <v>#NAME?</v>
      </c>
    </row>
    <row r="2167" spans="2:12" s="10" customFormat="1" ht="18" customHeight="1">
      <c r="B2167" s="12"/>
      <c r="D2167" s="12" t="s">
        <v>3972</v>
      </c>
      <c r="G2167" s="9"/>
      <c r="H2167" s="12"/>
      <c r="I2167" s="9" t="s">
        <v>7887</v>
      </c>
      <c r="J2167" s="25" t="e">
        <f>IF(cst_shinsei_strtower16_prgo01_NINTEI__umu="有",IF(shinsei_strtower16_prgo01_NAME="","",shinsei_strtower16_prgo01_NAME&amp;" ")&amp;IF(shinsei_strtower16_prgo01_VER="","","Ver."&amp;shinsei_strtower16_prgo01_VER&amp;"  "),"")</f>
        <v>#NAME?</v>
      </c>
    </row>
    <row r="2168" spans="2:12" s="10" customFormat="1" ht="18" customHeight="1">
      <c r="C2168" s="12" t="s">
        <v>3981</v>
      </c>
      <c r="D2168" s="12"/>
      <c r="G2168" s="9"/>
      <c r="H2168" s="12"/>
    </row>
    <row r="2169" spans="2:12" s="10" customFormat="1" ht="18" customHeight="1">
      <c r="B2169" s="12"/>
      <c r="D2169" s="12" t="s">
        <v>3975</v>
      </c>
      <c r="G2169" s="9"/>
      <c r="H2169" s="12"/>
      <c r="I2169" s="9" t="s">
        <v>7888</v>
      </c>
      <c r="J2169" s="173" t="e">
        <f>IF(cst_shinsei_strtower16_prgo01_NINTEI__umu="無",IF(shinsei_strtower16_prgo01_MAKER_NAME="","",shinsei_strtower16_prgo01_MAKER_NAME&amp;"  "),"")</f>
        <v>#NAME?</v>
      </c>
    </row>
    <row r="2170" spans="2:12" s="10" customFormat="1" ht="18" customHeight="1">
      <c r="B2170" s="12"/>
      <c r="D2170" s="12" t="s">
        <v>3972</v>
      </c>
      <c r="G2170" s="9"/>
      <c r="H2170" s="12"/>
      <c r="I2170" s="9" t="s">
        <v>7889</v>
      </c>
      <c r="J2170" s="25" t="e">
        <f>IF(cst_shinsei_strtower16_prgo01_NINTEI__umu="無",IF(shinsei_strtower16_prgo01_NAME="","",shinsei_strtower16_prgo01_NAME&amp;" ")&amp;IF(shinsei_strtower16_prgo01_VER="","","Ver."&amp;shinsei_strtower16_prgo01_VER&amp;"  "),"")</f>
        <v>#NAME?</v>
      </c>
    </row>
    <row r="2171" spans="2:12" s="10" customFormat="1" ht="18" customHeight="1">
      <c r="B2171" s="105" t="s">
        <v>4000</v>
      </c>
      <c r="C2171" s="105"/>
      <c r="D2171" s="105"/>
      <c r="E2171" s="24"/>
      <c r="F2171" s="24"/>
      <c r="G2171" s="9"/>
      <c r="H2171" s="12"/>
    </row>
    <row r="2172" spans="2:12" s="10" customFormat="1" ht="18" customHeight="1">
      <c r="C2172" s="10" t="s">
        <v>3951</v>
      </c>
      <c r="D2172" s="12"/>
      <c r="G2172" s="9" t="s">
        <v>7890</v>
      </c>
      <c r="H2172" s="13"/>
      <c r="K2172" s="10" t="s">
        <v>3862</v>
      </c>
      <c r="L2172" s="10" t="s">
        <v>3879</v>
      </c>
    </row>
    <row r="2173" spans="2:12" s="10" customFormat="1" ht="18" customHeight="1">
      <c r="C2173" s="12" t="s">
        <v>3954</v>
      </c>
      <c r="D2173" s="12"/>
      <c r="G2173" s="9" t="s">
        <v>7891</v>
      </c>
      <c r="H2173" s="13"/>
    </row>
    <row r="2174" spans="2:12" s="10" customFormat="1" ht="18" customHeight="1">
      <c r="C2174" s="12" t="s">
        <v>3957</v>
      </c>
      <c r="D2174" s="12"/>
      <c r="G2174" s="9"/>
      <c r="H2174" s="9"/>
      <c r="I2174" s="10" t="s">
        <v>7892</v>
      </c>
      <c r="J2174" s="25" t="e">
        <f>IF(shinsei_strtower16_prgo02_NAME="","",IF(shinsei_strtower16_prgo02_NINTEI_NO="","無","有"))</f>
        <v>#NAME?</v>
      </c>
      <c r="K2174" s="10" t="s">
        <v>2941</v>
      </c>
      <c r="L2174" s="10" t="s">
        <v>3879</v>
      </c>
    </row>
    <row r="2175" spans="2:12" s="10" customFormat="1" ht="18" customHeight="1">
      <c r="C2175" s="12" t="s">
        <v>3960</v>
      </c>
      <c r="D2175" s="12"/>
      <c r="G2175" s="9" t="s">
        <v>7893</v>
      </c>
      <c r="H2175" s="13"/>
      <c r="I2175" s="10" t="s">
        <v>7894</v>
      </c>
      <c r="J2175" s="25" t="e">
        <f>IF(shinsei_strtower16_prgo02_NINTEI_NO="","",shinsei_strtower16_prgo02_NINTEI_NO)</f>
        <v>#NAME?</v>
      </c>
      <c r="K2175" s="10" t="s">
        <v>3862</v>
      </c>
      <c r="L2175" s="10" t="s">
        <v>3879</v>
      </c>
    </row>
    <row r="2176" spans="2:12" s="10" customFormat="1" ht="18" customHeight="1">
      <c r="C2176" s="12" t="s">
        <v>3964</v>
      </c>
      <c r="D2176" s="12"/>
      <c r="G2176" s="9" t="s">
        <v>7895</v>
      </c>
      <c r="H2176" s="74"/>
      <c r="I2176" s="10" t="s">
        <v>7896</v>
      </c>
      <c r="J2176" s="25" t="e">
        <f>IF(shinsei_strtower16_prgo02_NINTEI_DATE="","",shinsei_strtower16_prgo02_NINTEI_DATE)</f>
        <v>#NAME?</v>
      </c>
    </row>
    <row r="2177" spans="2:12" s="10" customFormat="1" ht="18" customHeight="1">
      <c r="C2177" s="12" t="s">
        <v>3967</v>
      </c>
      <c r="D2177" s="12"/>
      <c r="G2177" s="9" t="s">
        <v>7897</v>
      </c>
      <c r="H2177" s="13"/>
    </row>
    <row r="2178" spans="2:12" s="10" customFormat="1" ht="18" customHeight="1">
      <c r="C2178" s="12" t="s">
        <v>3970</v>
      </c>
      <c r="D2178" s="12"/>
      <c r="G2178" s="9"/>
      <c r="H2178" s="12"/>
      <c r="I2178" s="9" t="s">
        <v>7898</v>
      </c>
      <c r="J2178" s="25" t="e">
        <f>IF(shinsei_strtower16_prgo02_NAME="","",shinsei_strtower16_prgo02_NAME)&amp;CHAR(10)&amp;IF(shinsei_strtower16_prgo02_VER="","","Ver."&amp;shinsei_strtower16_prgo02_VER&amp;CHAR(10))</f>
        <v>#NAME?</v>
      </c>
    </row>
    <row r="2179" spans="2:12" s="10" customFormat="1" ht="18" customHeight="1">
      <c r="C2179" s="12" t="s">
        <v>3972</v>
      </c>
      <c r="D2179" s="12"/>
      <c r="G2179" s="9"/>
      <c r="H2179" s="12"/>
      <c r="I2179" s="9" t="s">
        <v>7899</v>
      </c>
      <c r="J2179" s="25" t="e">
        <f>IF(shinsei_strtower16_prgo02_NAME="","",shinsei_strtower16_prgo02_NAME&amp;" ")&amp;IF(shinsei_strtower16_prgo02_VER="","","Ver."&amp;shinsei_strtower16_prgo02_VER&amp;"  ")</f>
        <v>#NAME?</v>
      </c>
    </row>
    <row r="2180" spans="2:12" s="10" customFormat="1" ht="18" customHeight="1">
      <c r="C2180" s="12" t="s">
        <v>3974</v>
      </c>
      <c r="D2180" s="12"/>
      <c r="G2180" s="9"/>
      <c r="H2180" s="12"/>
    </row>
    <row r="2181" spans="2:12" s="10" customFormat="1" ht="18" customHeight="1">
      <c r="D2181" s="12" t="s">
        <v>3975</v>
      </c>
      <c r="G2181" s="9"/>
      <c r="H2181" s="12"/>
      <c r="I2181" s="9" t="s">
        <v>7900</v>
      </c>
      <c r="J2181" s="173" t="e">
        <f>IF(cst_shinsei_strtower16_prgo02_NINTEI__umu="有",IF(shinsei_strtower16_prgo02_MAKER_NAME="","",shinsei_strtower16_prgo02_MAKER_NAME&amp;"  "),"")</f>
        <v>#NAME?</v>
      </c>
    </row>
    <row r="2182" spans="2:12" s="10" customFormat="1" ht="18" customHeight="1">
      <c r="D2182" s="12" t="s">
        <v>3972</v>
      </c>
      <c r="G2182" s="9"/>
      <c r="H2182" s="12"/>
      <c r="I2182" s="9" t="s">
        <v>7901</v>
      </c>
      <c r="J2182" s="25" t="e">
        <f>IF(cst_shinsei_strtower16_prgo02_NINTEI__umu="有",IF(shinsei_strtower16_prgo02_NAME="","",shinsei_strtower16_prgo02_NAME&amp;" ")&amp;IF(shinsei_strtower16_prgo02_VER="","","Ver."&amp;shinsei_strtower16_prgo02_VER&amp;"  "),"")</f>
        <v>#NAME?</v>
      </c>
    </row>
    <row r="2183" spans="2:12" s="10" customFormat="1" ht="18" customHeight="1">
      <c r="C2183" s="12" t="s">
        <v>3981</v>
      </c>
      <c r="D2183" s="12"/>
      <c r="G2183" s="9"/>
      <c r="H2183" s="12"/>
    </row>
    <row r="2184" spans="2:12" s="10" customFormat="1" ht="18" customHeight="1">
      <c r="D2184" s="12" t="s">
        <v>3975</v>
      </c>
      <c r="G2184" s="9"/>
      <c r="H2184" s="12"/>
      <c r="I2184" s="9" t="s">
        <v>7902</v>
      </c>
      <c r="J2184" s="173" t="e">
        <f>IF(cst_shinsei_strtower16_prgo02_NINTEI__umu="無",IF(shinsei_strtower16_prgo02_MAKER_NAME="","",shinsei_strtower16_prgo02_MAKER_NAME&amp;"  "),"")</f>
        <v>#NAME?</v>
      </c>
    </row>
    <row r="2185" spans="2:12" s="10" customFormat="1" ht="18" customHeight="1">
      <c r="D2185" s="12" t="s">
        <v>3972</v>
      </c>
      <c r="G2185" s="9"/>
      <c r="H2185" s="12"/>
      <c r="I2185" s="9" t="s">
        <v>7903</v>
      </c>
      <c r="J2185" s="25" t="e">
        <f>IF(cst_shinsei_strtower16_prgo02_NINTEI__umu="無",IF(shinsei_strtower16_prgo02_NAME="","",shinsei_strtower16_prgo02_NAME&amp;" ")&amp;IF(shinsei_strtower16_prgo02_VER="","","Ver."&amp;shinsei_strtower16_prgo02_VER&amp;"  "),"")</f>
        <v>#NAME?</v>
      </c>
    </row>
    <row r="2186" spans="2:12" s="10" customFormat="1" ht="18" customHeight="1">
      <c r="B2186" s="105" t="s">
        <v>4016</v>
      </c>
      <c r="C2186" s="105"/>
      <c r="D2186" s="105"/>
      <c r="E2186" s="24"/>
      <c r="F2186" s="24"/>
      <c r="G2186" s="9"/>
      <c r="H2186" s="12"/>
    </row>
    <row r="2187" spans="2:12" s="10" customFormat="1" ht="18" customHeight="1">
      <c r="C2187" s="10" t="s">
        <v>3951</v>
      </c>
      <c r="D2187" s="12"/>
      <c r="G2187" s="9" t="s">
        <v>7904</v>
      </c>
      <c r="H2187" s="13"/>
    </row>
    <row r="2188" spans="2:12" s="10" customFormat="1" ht="18" customHeight="1">
      <c r="C2188" s="12" t="s">
        <v>3954</v>
      </c>
      <c r="D2188" s="12"/>
      <c r="G2188" s="9" t="s">
        <v>7905</v>
      </c>
      <c r="H2188" s="13"/>
    </row>
    <row r="2189" spans="2:12" s="10" customFormat="1" ht="18" customHeight="1">
      <c r="C2189" s="12" t="s">
        <v>3957</v>
      </c>
      <c r="D2189" s="12"/>
      <c r="G2189" s="9"/>
      <c r="H2189" s="9"/>
      <c r="I2189" s="10" t="s">
        <v>7906</v>
      </c>
      <c r="J2189" s="25" t="e">
        <f>IF(shinsei_strtower16_prgo03_NAME="","",IF(shinsei_strtower16_prgo03_NINTEI_NO="","無","有"))</f>
        <v>#NAME?</v>
      </c>
      <c r="K2189" s="10" t="s">
        <v>2941</v>
      </c>
      <c r="L2189" s="10" t="s">
        <v>3879</v>
      </c>
    </row>
    <row r="2190" spans="2:12" s="10" customFormat="1" ht="18" customHeight="1">
      <c r="C2190" s="12" t="s">
        <v>3960</v>
      </c>
      <c r="D2190" s="12"/>
      <c r="G2190" s="9" t="s">
        <v>7907</v>
      </c>
      <c r="H2190" s="13"/>
      <c r="K2190" s="10" t="s">
        <v>3862</v>
      </c>
      <c r="L2190" s="10" t="s">
        <v>3879</v>
      </c>
    </row>
    <row r="2191" spans="2:12" s="10" customFormat="1" ht="18" customHeight="1">
      <c r="C2191" s="12" t="s">
        <v>3964</v>
      </c>
      <c r="D2191" s="12"/>
      <c r="G2191" s="9" t="s">
        <v>7908</v>
      </c>
      <c r="H2191" s="74"/>
      <c r="I2191" s="10" t="s">
        <v>7909</v>
      </c>
      <c r="J2191" s="25" t="e">
        <f>IF(shinsei_strtower16_prgo03_NINTEI_DATE="","",TEXT(shinsei_strtower16_prgo03_NINTEI_DATE,"ggge年m月d日")&amp;"  ")</f>
        <v>#NAME?</v>
      </c>
    </row>
    <row r="2192" spans="2:12" s="10" customFormat="1" ht="18" customHeight="1">
      <c r="C2192" s="12" t="s">
        <v>3967</v>
      </c>
      <c r="D2192" s="12"/>
      <c r="G2192" s="9" t="s">
        <v>7910</v>
      </c>
      <c r="H2192" s="13"/>
      <c r="I2192" s="9"/>
      <c r="J2192" s="9"/>
    </row>
    <row r="2193" spans="2:12" s="10" customFormat="1" ht="18" customHeight="1">
      <c r="C2193" s="12" t="s">
        <v>3970</v>
      </c>
      <c r="D2193" s="12"/>
      <c r="G2193" s="9"/>
      <c r="H2193" s="12"/>
      <c r="I2193" s="9" t="s">
        <v>7911</v>
      </c>
      <c r="J2193" s="25" t="e">
        <f>IF(shinsei_strtower16_prgo03_NAME="","",shinsei_strtower16_prgo03_NAME)&amp;CHAR(10)&amp;IF(shinsei_strtower16_prgo03_VER="","","Ver."&amp;shinsei_strtower16_prgo03_VER&amp;CHAR(10))</f>
        <v>#NAME?</v>
      </c>
    </row>
    <row r="2194" spans="2:12" s="10" customFormat="1" ht="18" customHeight="1">
      <c r="C2194" s="12" t="s">
        <v>3972</v>
      </c>
      <c r="D2194" s="12"/>
      <c r="G2194" s="9"/>
      <c r="H2194" s="12"/>
      <c r="I2194" s="9" t="s">
        <v>7912</v>
      </c>
      <c r="J2194" s="25" t="e">
        <f>IF(shinsei_strtower16_prgo03_NAME="","",shinsei_strtower16_prgo03_NAME&amp;" ")&amp;IF(shinsei_strtower16_prgo03_VER="","","Ver."&amp;shinsei_strtower16_prgo03_VER&amp;"  ")</f>
        <v>#NAME?</v>
      </c>
    </row>
    <row r="2195" spans="2:12" s="10" customFormat="1" ht="18" customHeight="1">
      <c r="C2195" s="12" t="s">
        <v>3974</v>
      </c>
      <c r="D2195" s="12"/>
      <c r="G2195" s="9"/>
      <c r="H2195" s="12"/>
    </row>
    <row r="2196" spans="2:12" s="10" customFormat="1" ht="18" customHeight="1">
      <c r="D2196" s="12" t="s">
        <v>3975</v>
      </c>
      <c r="G2196" s="9"/>
      <c r="H2196" s="12"/>
      <c r="I2196" s="9" t="s">
        <v>7913</v>
      </c>
      <c r="J2196" s="173" t="e">
        <f>IF(cst_shinsei_strtower16_prgo03_NINTEI__umu="有",IF(shinsei_strtower16_prgo03_MAKER_NAME="","",shinsei_strtower16_prgo03_MAKER_NAME&amp;"  "),"")</f>
        <v>#NAME?</v>
      </c>
    </row>
    <row r="2197" spans="2:12" s="10" customFormat="1" ht="18" customHeight="1">
      <c r="D2197" s="12" t="s">
        <v>3972</v>
      </c>
      <c r="G2197" s="9"/>
      <c r="H2197" s="12"/>
      <c r="I2197" s="9" t="s">
        <v>7914</v>
      </c>
      <c r="J2197" s="25" t="e">
        <f>IF(cst_shinsei_strtower16_prgo03_NINTEI__umu="有",IF(shinsei_strtower16_prgo03_NAME="","",shinsei_strtower16_prgo03_NAME&amp;" ")&amp;IF(shinsei_strtower16_prgo03_VER="","","Ver."&amp;shinsei_strtower16_prgo03_VER&amp;"  "),"")</f>
        <v>#NAME?</v>
      </c>
    </row>
    <row r="2198" spans="2:12" s="10" customFormat="1" ht="18" customHeight="1">
      <c r="C2198" s="12" t="s">
        <v>3981</v>
      </c>
      <c r="D2198" s="12"/>
      <c r="G2198" s="9"/>
      <c r="H2198" s="12"/>
    </row>
    <row r="2199" spans="2:12" s="10" customFormat="1" ht="18" customHeight="1">
      <c r="D2199" s="12" t="s">
        <v>3975</v>
      </c>
      <c r="G2199" s="9"/>
      <c r="H2199" s="12"/>
      <c r="I2199" s="9" t="s">
        <v>7915</v>
      </c>
      <c r="J2199" s="173" t="e">
        <f>IF(cst_shinsei_strtower16_prgo03_NINTEI__umu="無",IF(shinsei_strtower16_prgo03_MAKER_NAME="","",shinsei_strtower16_prgo03_MAKER_NAME&amp;"  "),"")</f>
        <v>#NAME?</v>
      </c>
    </row>
    <row r="2200" spans="2:12" s="10" customFormat="1" ht="18" customHeight="1">
      <c r="D2200" s="12" t="s">
        <v>3972</v>
      </c>
      <c r="G2200" s="9"/>
      <c r="H2200" s="12"/>
      <c r="I2200" s="9" t="s">
        <v>7916</v>
      </c>
      <c r="J2200" s="25" t="e">
        <f>IF(cst_shinsei_strtower16_prgo03_NINTEI__umu="無",IF(shinsei_strtower16_prgo03_NAME="","",shinsei_strtower16_prgo03_NAME&amp;" ")&amp;IF(shinsei_strtower16_prgo03_VER="","","Ver."&amp;shinsei_strtower16_prgo03_VER&amp;"  "),"")</f>
        <v>#NAME?</v>
      </c>
    </row>
    <row r="2201" spans="2:12" s="10" customFormat="1" ht="18" customHeight="1">
      <c r="B2201" s="105" t="s">
        <v>4031</v>
      </c>
      <c r="C2201" s="105"/>
      <c r="D2201" s="105"/>
      <c r="E2201" s="24"/>
      <c r="F2201" s="24"/>
      <c r="G2201" s="9"/>
      <c r="H2201" s="12"/>
    </row>
    <row r="2202" spans="2:12" s="10" customFormat="1" ht="18" customHeight="1">
      <c r="C2202" s="10" t="s">
        <v>3951</v>
      </c>
      <c r="D2202" s="12"/>
      <c r="G2202" s="9" t="s">
        <v>7917</v>
      </c>
      <c r="H2202" s="13"/>
    </row>
    <row r="2203" spans="2:12" s="10" customFormat="1" ht="18" customHeight="1">
      <c r="C2203" s="12" t="s">
        <v>3954</v>
      </c>
      <c r="D2203" s="12"/>
      <c r="G2203" s="9" t="s">
        <v>7918</v>
      </c>
      <c r="H2203" s="13"/>
    </row>
    <row r="2204" spans="2:12" s="10" customFormat="1" ht="18" customHeight="1">
      <c r="C2204" s="12" t="s">
        <v>3957</v>
      </c>
      <c r="D2204" s="12"/>
      <c r="G2204" s="9"/>
      <c r="H2204" s="9"/>
      <c r="I2204" s="10" t="s">
        <v>7919</v>
      </c>
      <c r="J2204" s="25" t="e">
        <f>IF(shinsei_strtower16_prgo04_NAME="","",IF(shinsei_strtower16_prgo04_NINTEI_NO="","無","有"))</f>
        <v>#NAME?</v>
      </c>
      <c r="K2204" s="10" t="s">
        <v>2941</v>
      </c>
      <c r="L2204" s="10" t="s">
        <v>3879</v>
      </c>
    </row>
    <row r="2205" spans="2:12" s="10" customFormat="1" ht="18" customHeight="1">
      <c r="C2205" s="12" t="s">
        <v>3960</v>
      </c>
      <c r="D2205" s="12"/>
      <c r="G2205" s="9" t="s">
        <v>7920</v>
      </c>
      <c r="H2205" s="13"/>
      <c r="K2205" s="10" t="s">
        <v>7921</v>
      </c>
      <c r="L2205" s="10" t="s">
        <v>3879</v>
      </c>
    </row>
    <row r="2206" spans="2:12" s="10" customFormat="1" ht="18" customHeight="1">
      <c r="C2206" s="12" t="s">
        <v>3964</v>
      </c>
      <c r="D2206" s="12"/>
      <c r="G2206" s="9" t="s">
        <v>7922</v>
      </c>
      <c r="H2206" s="74"/>
      <c r="I2206" s="10" t="s">
        <v>7923</v>
      </c>
      <c r="J2206" s="25" t="e">
        <f>IF(shinsei_strtower16_prgo04_NINTEI_DATE="","",TEXT(shinsei_strtower16_prgo04_NINTEI_DATE,"ggge年m月d日")&amp;"  ")</f>
        <v>#NAME?</v>
      </c>
    </row>
    <row r="2207" spans="2:12" s="10" customFormat="1" ht="18" customHeight="1">
      <c r="C2207" s="12" t="s">
        <v>3967</v>
      </c>
      <c r="D2207" s="12"/>
      <c r="G2207" s="9" t="s">
        <v>7924</v>
      </c>
      <c r="H2207" s="13"/>
      <c r="I2207" s="9"/>
      <c r="J2207" s="9"/>
    </row>
    <row r="2208" spans="2:12" s="10" customFormat="1" ht="18" customHeight="1">
      <c r="C2208" s="12" t="s">
        <v>3970</v>
      </c>
      <c r="D2208" s="12"/>
      <c r="G2208" s="9"/>
      <c r="H2208" s="12"/>
      <c r="I2208" s="9" t="s">
        <v>7925</v>
      </c>
      <c r="J2208" s="25" t="e">
        <f>IF(shinsei_strtower16_prgo04_NAME="","",shinsei_strtower16_prgo04_NAME)&amp;CHAR(10)&amp;IF(shinsei_strtower16_prgo04_VER="","","Ver."&amp;shinsei_strtower16_prgo04_VER&amp;CHAR(10))</f>
        <v>#NAME?</v>
      </c>
    </row>
    <row r="2209" spans="2:12" s="10" customFormat="1" ht="18" customHeight="1">
      <c r="C2209" s="12" t="s">
        <v>3972</v>
      </c>
      <c r="D2209" s="12"/>
      <c r="G2209" s="9"/>
      <c r="H2209" s="12"/>
      <c r="I2209" s="9" t="s">
        <v>7926</v>
      </c>
      <c r="J2209" s="25" t="e">
        <f>IF(shinsei_strtower16_prgo04_NAME="","",shinsei_strtower16_prgo04_NAME&amp;" ")&amp;IF(shinsei_strtower16_prgo04_VER="","","Ver."&amp;shinsei_strtower16_prgo04_VER&amp;"  ")</f>
        <v>#NAME?</v>
      </c>
    </row>
    <row r="2210" spans="2:12" s="10" customFormat="1" ht="18" customHeight="1">
      <c r="C2210" s="12" t="s">
        <v>3974</v>
      </c>
      <c r="D2210" s="12"/>
      <c r="G2210" s="9"/>
      <c r="H2210" s="12"/>
    </row>
    <row r="2211" spans="2:12" s="10" customFormat="1" ht="18" customHeight="1">
      <c r="D2211" s="12" t="s">
        <v>3975</v>
      </c>
      <c r="G2211" s="9"/>
      <c r="H2211" s="12"/>
      <c r="I2211" s="9" t="s">
        <v>7927</v>
      </c>
      <c r="J2211" s="173" t="e">
        <f>IF(cst_shinsei_strtower16_prgo04_NINTEI__umu="有",IF(shinsei_strtower16_prgo04_MAKER_NAME="","",shinsei_strtower16_prgo04_MAKER_NAME&amp;"  "),"")</f>
        <v>#NAME?</v>
      </c>
    </row>
    <row r="2212" spans="2:12" s="10" customFormat="1" ht="18" customHeight="1">
      <c r="D2212" s="12" t="s">
        <v>3972</v>
      </c>
      <c r="G2212" s="9"/>
      <c r="H2212" s="12"/>
      <c r="I2212" s="9" t="s">
        <v>7928</v>
      </c>
      <c r="J2212" s="25" t="e">
        <f>IF(cst_shinsei_strtower16_prgo04_NINTEI__umu="有",IF(shinsei_strtower16_prgo04_NAME="","",shinsei_strtower16_prgo04_NAME&amp;" ")&amp;IF(shinsei_strtower16_prgo04_VER="","","Ver."&amp;shinsei_strtower16_prgo04_VER&amp;"  "),"")</f>
        <v>#NAME?</v>
      </c>
    </row>
    <row r="2213" spans="2:12" s="10" customFormat="1" ht="18" customHeight="1">
      <c r="C2213" s="12" t="s">
        <v>3981</v>
      </c>
      <c r="D2213" s="12"/>
      <c r="G2213" s="9"/>
      <c r="H2213" s="12"/>
    </row>
    <row r="2214" spans="2:12" s="10" customFormat="1" ht="18" customHeight="1">
      <c r="D2214" s="12" t="s">
        <v>3975</v>
      </c>
      <c r="G2214" s="9"/>
      <c r="H2214" s="12"/>
      <c r="I2214" s="9" t="s">
        <v>7929</v>
      </c>
      <c r="J2214" s="173" t="e">
        <f>IF(cst_shinsei_strtower16_prgo04_NINTEI__umu="無",IF(shinsei_strtower16_prgo04_MAKER_NAME="","",shinsei_strtower16_prgo04_MAKER_NAME&amp;"  "),"")</f>
        <v>#NAME?</v>
      </c>
    </row>
    <row r="2215" spans="2:12" s="10" customFormat="1" ht="18" customHeight="1">
      <c r="D2215" s="12" t="s">
        <v>3972</v>
      </c>
      <c r="G2215" s="9"/>
      <c r="H2215" s="12"/>
      <c r="I2215" s="9" t="s">
        <v>7930</v>
      </c>
      <c r="J2215" s="25" t="e">
        <f>IF(cst_shinsei_strtower16_prgo04_NINTEI__umu="無",IF(shinsei_strtower16_prgo04_NAME="","",shinsei_strtower16_prgo04_NAME&amp;" ")&amp;IF(shinsei_strtower16_prgo04_VER="","","Ver."&amp;shinsei_strtower16_prgo04_VER&amp;"  "),"")</f>
        <v>#NAME?</v>
      </c>
    </row>
    <row r="2216" spans="2:12" s="10" customFormat="1" ht="18" customHeight="1">
      <c r="B2216" s="105" t="s">
        <v>4049</v>
      </c>
      <c r="C2216" s="105"/>
      <c r="D2216" s="105"/>
      <c r="E2216" s="24"/>
      <c r="F2216" s="24"/>
      <c r="G2216" s="9"/>
      <c r="H2216" s="12"/>
    </row>
    <row r="2217" spans="2:12" s="10" customFormat="1" ht="18" customHeight="1">
      <c r="C2217" s="10" t="s">
        <v>3951</v>
      </c>
      <c r="D2217" s="12"/>
      <c r="G2217" s="9" t="s">
        <v>7931</v>
      </c>
      <c r="H2217" s="13"/>
    </row>
    <row r="2218" spans="2:12" s="10" customFormat="1" ht="18" customHeight="1">
      <c r="C2218" s="12" t="s">
        <v>3954</v>
      </c>
      <c r="D2218" s="12"/>
      <c r="G2218" s="9" t="s">
        <v>7932</v>
      </c>
      <c r="H2218" s="13"/>
    </row>
    <row r="2219" spans="2:12" s="10" customFormat="1" ht="18" customHeight="1">
      <c r="C2219" s="12" t="s">
        <v>3957</v>
      </c>
      <c r="D2219" s="12"/>
      <c r="G2219" s="9"/>
      <c r="H2219" s="9"/>
      <c r="I2219" s="10" t="s">
        <v>7933</v>
      </c>
      <c r="J2219" s="25" t="e">
        <f>IF(shinsei_strtower16_prgo05_NAME="","",IF(shinsei_strtower16_prgo05_NINTEI_NO="","無","有"))</f>
        <v>#NAME?</v>
      </c>
      <c r="K2219" s="10" t="s">
        <v>2941</v>
      </c>
      <c r="L2219" s="10" t="s">
        <v>3879</v>
      </c>
    </row>
    <row r="2220" spans="2:12" s="10" customFormat="1" ht="18" customHeight="1">
      <c r="C2220" s="12" t="s">
        <v>3960</v>
      </c>
      <c r="D2220" s="12"/>
      <c r="G2220" s="9" t="s">
        <v>7934</v>
      </c>
      <c r="H2220" s="13"/>
      <c r="K2220" s="10" t="s">
        <v>3862</v>
      </c>
      <c r="L2220" s="10" t="s">
        <v>3879</v>
      </c>
    </row>
    <row r="2221" spans="2:12" s="10" customFormat="1" ht="18" customHeight="1">
      <c r="C2221" s="12" t="s">
        <v>3964</v>
      </c>
      <c r="D2221" s="12"/>
      <c r="G2221" s="9" t="s">
        <v>7935</v>
      </c>
      <c r="H2221" s="74"/>
      <c r="I2221" s="10" t="s">
        <v>7936</v>
      </c>
      <c r="J2221" s="25" t="e">
        <f>IF(shinsei_strtower16_prgo05_NINTEI_DATE="","",TEXT(shinsei_strtower16_prgo05_NINTEI_DATE,"ggge年m月d日")&amp;"  ")</f>
        <v>#NAME?</v>
      </c>
    </row>
    <row r="2222" spans="2:12" s="10" customFormat="1" ht="18" customHeight="1">
      <c r="C2222" s="12" t="s">
        <v>3967</v>
      </c>
      <c r="D2222" s="12"/>
      <c r="G2222" s="9" t="s">
        <v>7937</v>
      </c>
      <c r="H2222" s="13"/>
    </row>
    <row r="2223" spans="2:12" s="10" customFormat="1" ht="18" customHeight="1">
      <c r="C2223" s="12" t="s">
        <v>3970</v>
      </c>
      <c r="D2223" s="12"/>
      <c r="G2223" s="9"/>
      <c r="H2223" s="12"/>
      <c r="I2223" s="9" t="s">
        <v>7938</v>
      </c>
      <c r="J2223" s="25" t="e">
        <f>IF(shinsei_strtower16_prgo05_NAME="","",shinsei_strtower16_prgo05_NAME)&amp;CHAR(10)&amp;IF(shinsei_strtower16_prgo05_VER="","","Ver."&amp;shinsei_strtower16_prgo05_VER&amp;CHAR(10))</f>
        <v>#NAME?</v>
      </c>
    </row>
    <row r="2224" spans="2:12" s="10" customFormat="1" ht="18" customHeight="1">
      <c r="C2224" s="12" t="s">
        <v>3972</v>
      </c>
      <c r="D2224" s="12"/>
      <c r="G2224" s="9"/>
      <c r="H2224" s="12"/>
      <c r="I2224" s="9" t="s">
        <v>7939</v>
      </c>
      <c r="J2224" s="25" t="e">
        <f>IF(shinsei_strtower16_prgo05_NAME="","",shinsei_strtower16_prgo05_NAME&amp;" ")&amp;IF(shinsei_strtower16_prgo05_VER="","","Ver."&amp;shinsei_strtower16_prgo05_VER&amp;"  ")</f>
        <v>#NAME?</v>
      </c>
    </row>
    <row r="2225" spans="2:10" s="10" customFormat="1" ht="18" customHeight="1">
      <c r="C2225" s="12" t="s">
        <v>3974</v>
      </c>
      <c r="D2225" s="12"/>
      <c r="G2225" s="9"/>
      <c r="H2225" s="12"/>
    </row>
    <row r="2226" spans="2:10" s="10" customFormat="1" ht="18" customHeight="1">
      <c r="D2226" s="12" t="s">
        <v>3975</v>
      </c>
      <c r="G2226" s="9"/>
      <c r="H2226" s="12"/>
      <c r="I2226" s="9" t="s">
        <v>7940</v>
      </c>
      <c r="J2226" s="173" t="e">
        <f>IF(cst_shinsei_strtower16_prgo05_NINTEI__umu="有",IF(shinsei_strtower16_prgo05_MAKER_NAME="","",shinsei_strtower16_prgo05_MAKER_NAME&amp;"  "),"")</f>
        <v>#NAME?</v>
      </c>
    </row>
    <row r="2227" spans="2:10" s="10" customFormat="1" ht="18" customHeight="1">
      <c r="D2227" s="12" t="s">
        <v>3972</v>
      </c>
      <c r="G2227" s="9"/>
      <c r="H2227" s="12"/>
      <c r="I2227" s="9" t="s">
        <v>7941</v>
      </c>
      <c r="J2227" s="25" t="e">
        <f>IF(cst_shinsei_strtower16_prgo05_NINTEI__umu="有",IF(shinsei_strtower16_prgo05_NAME="","",shinsei_strtower16_prgo05_NAME&amp;" ")&amp;IF(shinsei_strtower16_prgo05_VER="","","Ver."&amp;shinsei_strtower16_prgo05_VER&amp;"  "),"")</f>
        <v>#NAME?</v>
      </c>
    </row>
    <row r="2228" spans="2:10" s="10" customFormat="1" ht="18" customHeight="1">
      <c r="C2228" s="12" t="s">
        <v>3981</v>
      </c>
      <c r="D2228" s="12"/>
      <c r="G2228" s="9"/>
      <c r="H2228" s="12"/>
    </row>
    <row r="2229" spans="2:10" s="10" customFormat="1" ht="18" customHeight="1">
      <c r="D2229" s="12" t="s">
        <v>3975</v>
      </c>
      <c r="G2229" s="9"/>
      <c r="H2229" s="12"/>
      <c r="I2229" s="9" t="s">
        <v>7942</v>
      </c>
      <c r="J2229" s="173" t="e">
        <f>IF(cst_shinsei_strtower16_prgo05_NINTEI__umu="無",IF(shinsei_strtower16_prgo05_MAKER_NAME="","",shinsei_strtower16_prgo05_MAKER_NAME&amp;"  "),"")</f>
        <v>#NAME?</v>
      </c>
    </row>
    <row r="2230" spans="2:10" s="10" customFormat="1" ht="18" customHeight="1">
      <c r="D2230" s="12" t="s">
        <v>3972</v>
      </c>
      <c r="G2230" s="9"/>
      <c r="H2230" s="12"/>
      <c r="I2230" s="9" t="s">
        <v>7943</v>
      </c>
      <c r="J2230" s="25" t="e">
        <f>IF(cst_shinsei_strtower16_prgo05_NINTEI__umu="無",IF(shinsei_strtower16_prgo05_NAME="","",shinsei_strtower16_prgo05_NAME&amp;" ")&amp;IF(shinsei_strtower16_prgo05_VER="","","Ver."&amp;shinsei_strtower16_prgo05_VER&amp;"  "),"")</f>
        <v>#NAME?</v>
      </c>
    </row>
    <row r="2231" spans="2:10" s="10" customFormat="1" ht="18" customHeight="1">
      <c r="B2231" s="13" t="s">
        <v>3827</v>
      </c>
      <c r="C2231" s="13"/>
      <c r="D2231" s="13"/>
      <c r="E2231" s="25"/>
      <c r="F2231" s="25"/>
      <c r="G2231" s="9"/>
      <c r="H2231" s="80"/>
      <c r="I2231" s="9"/>
      <c r="J2231" s="80"/>
    </row>
    <row r="2232" spans="2:10" s="10" customFormat="1" ht="18" customHeight="1">
      <c r="C2232" s="12" t="s">
        <v>3970</v>
      </c>
      <c r="D2232" s="12"/>
      <c r="G2232" s="9"/>
      <c r="H2232" s="80"/>
      <c r="I2232" s="166" t="s">
        <v>7944</v>
      </c>
      <c r="J2232" s="74" t="e">
        <f>cst_shinsei_strtower16_prgo01_NAME_VER&amp;cst_shinsei_strtower16_prgo02_NAME_VER&amp;cst_shinsei_strtower16_prgo03_NAME_VER&amp;cst_shinsei_strtower16_prgo04_NAME_VER&amp;cst_shinsei_strtower16_prgo05_NAME_VER</f>
        <v>#NAME?</v>
      </c>
    </row>
    <row r="2233" spans="2:10" s="10" customFormat="1" ht="18" customHeight="1">
      <c r="C2233" s="12" t="s">
        <v>3972</v>
      </c>
      <c r="D2233" s="12"/>
      <c r="G2233" s="9"/>
      <c r="H2233" s="80"/>
      <c r="I2233" s="166" t="s">
        <v>7945</v>
      </c>
      <c r="J2233" s="74" t="e">
        <f>cst_shinsei_strtower16_prgo01_NAME_VER__SP&amp;cst_shinsei_strtower16_prgo02_NAME_VER__SP&amp;cst_shinsei_strtower16_prgo03_NAME_VER__SP&amp;cst_shinsei_strtower16_prgo04_NAME_VER__SP&amp;cst_shinsei_strtower16_prgo05_NAME_VER__SP</f>
        <v>#NAME?</v>
      </c>
    </row>
    <row r="2234" spans="2:10" s="10" customFormat="1" ht="18" customHeight="1">
      <c r="B2234" s="13" t="s">
        <v>4068</v>
      </c>
      <c r="C2234" s="13"/>
      <c r="D2234" s="13"/>
      <c r="E2234" s="25"/>
      <c r="F2234" s="25"/>
      <c r="G2234" s="9"/>
      <c r="H2234" s="80"/>
      <c r="I2234" s="9"/>
      <c r="J2234" s="80"/>
    </row>
    <row r="2235" spans="2:10" s="10" customFormat="1" ht="18" customHeight="1">
      <c r="C2235" s="12" t="s">
        <v>6279</v>
      </c>
      <c r="D2235" s="12"/>
      <c r="G2235" s="9"/>
      <c r="H2235" s="80"/>
      <c r="I2235" s="166" t="s">
        <v>7946</v>
      </c>
      <c r="J2235" s="74" t="e">
        <f>cst_shinsei_strtower16_prgo01_MAKER__NINTEI_ari&amp;cst_shinsei_strtower16_prgo02_MAKER__NINTEI_ari&amp;cst_shinsei_strtower16_prgo03_MAKER__NINTEI_ari&amp;cst_shinsei_strtower16_prgo04_MAKER__NINTEI_ari&amp;cst_shinsei_strtower16_prgo05_MAKER__NINTEI_ari</f>
        <v>#NAME?</v>
      </c>
    </row>
    <row r="2236" spans="2:10" s="10" customFormat="1" ht="18" customHeight="1">
      <c r="C2236" s="12" t="s">
        <v>3972</v>
      </c>
      <c r="D2236" s="12"/>
      <c r="G2236" s="9"/>
      <c r="H2236" s="80"/>
      <c r="I2236" s="166" t="s">
        <v>7947</v>
      </c>
      <c r="J2236" s="173" t="e">
        <f>cst_shinsei_strtower16_prgo01_NAME_VER__NINTEI_ari&amp;cst_shinsei_strtower16_prgo02_NAME_VER__NINTEI_ari&amp;cst_shinsei_strtower16_prgo03_NAME_VER__NINTEI_ari&amp;cst_shinsei_strtower16_prgo04_NAME_VER__NINTEI_ari&amp;cst_shinsei_strtower16_prgo05_NAME_VER__NINTEI_ari</f>
        <v>#NAME?</v>
      </c>
    </row>
    <row r="2237" spans="2:10" s="10" customFormat="1" ht="18" customHeight="1">
      <c r="C2237" s="12" t="s">
        <v>3964</v>
      </c>
      <c r="D2237" s="12"/>
      <c r="G2237" s="9"/>
      <c r="H2237" s="80"/>
      <c r="I2237" s="166" t="s">
        <v>7948</v>
      </c>
      <c r="J2237" s="74" t="e">
        <f>cst_shinsei_strtower16_prgo01_NINTEI_DATE_dsp&amp;cst_shinsei_strtower16_prgo02_NINTEI_DATE_dsp&amp;cst_shinsei_strtower16_prgo03_NINTEI_DATE_dsp&amp;cst_shinsei_strtower16_prgo04_NINTEI_DATE_dsp&amp;cst_shinsei_strtower16_prgo05_NINTEI_DATE_dsp</f>
        <v>#NAME?</v>
      </c>
    </row>
    <row r="2238" spans="2:10" s="10" customFormat="1" ht="18" customHeight="1">
      <c r="B2238" s="13" t="s">
        <v>4072</v>
      </c>
      <c r="C2238" s="13"/>
      <c r="D2238" s="13"/>
      <c r="E2238" s="25"/>
      <c r="F2238" s="25"/>
      <c r="G2238" s="9"/>
      <c r="H2238" s="80"/>
      <c r="I2238" s="9"/>
      <c r="J2238" s="80"/>
    </row>
    <row r="2239" spans="2:10" s="10" customFormat="1" ht="18" customHeight="1">
      <c r="C2239" s="12" t="s">
        <v>3975</v>
      </c>
      <c r="D2239" s="12"/>
      <c r="G2239" s="9"/>
      <c r="H2239" s="80"/>
      <c r="I2239" s="166" t="s">
        <v>7949</v>
      </c>
      <c r="J2239" s="74" t="e">
        <f>cst_shinsei_strtower16_prgo01_MAKER__NINTEI_non&amp;cst_shinsei_strtower16_prgo02_MAKER__NINTEI_non&amp;cst_shinsei_strtower16_prgo03_MAKER__NINTEI_non&amp;cst_shinsei_strtower16_prgo04_MAKER__NINTEI_non&amp;cst_shinsei_strtower16_prgo05_MAKER__NINTEI_non</f>
        <v>#NAME?</v>
      </c>
    </row>
    <row r="2240" spans="2:10" s="10" customFormat="1" ht="18" customHeight="1">
      <c r="C2240" s="12" t="s">
        <v>3972</v>
      </c>
      <c r="D2240" s="12"/>
      <c r="G2240" s="9"/>
      <c r="H2240" s="80"/>
      <c r="I2240" s="166" t="s">
        <v>7950</v>
      </c>
      <c r="J2240" s="173" t="e">
        <f>cst_shinsei_strtower16_prgo01_NAME_VER__NINTEI_non&amp;cst_shinsei_strtower16_prgo02_NAME_VER__NINTEI_non&amp;cst_shinsei_strtower16_prgo03_NAME_VER__NINTEI_non&amp;cst_shinsei_strtower16_prgo04_NAME_VER__NINTEI_non&amp;cst_shinsei_strtower16_prgo05_NAME_VER__NINTEI_non</f>
        <v>#NAME?</v>
      </c>
    </row>
    <row r="2241" spans="1:12" s="10" customFormat="1" ht="18" customHeight="1">
      <c r="B2241" s="12" t="s">
        <v>4075</v>
      </c>
      <c r="G2241" s="9" t="s">
        <v>7951</v>
      </c>
      <c r="H2241" s="20"/>
      <c r="I2241" s="9" t="s">
        <v>7952</v>
      </c>
      <c r="J2241" s="20" t="e">
        <f>IF(shinsei_strtower16_DISK_FLAG="","",IF(shinsei_strtower16_DISK_FLAG=1,"有","無"))</f>
        <v>#NAME?</v>
      </c>
    </row>
    <row r="2242" spans="1:12" s="10" customFormat="1" ht="18" customHeight="1">
      <c r="A2242" s="9"/>
      <c r="B2242" s="9" t="s">
        <v>2955</v>
      </c>
      <c r="C2242" s="9"/>
      <c r="D2242" s="9"/>
      <c r="E2242" s="9"/>
      <c r="F2242" s="9"/>
      <c r="G2242" s="9" t="s">
        <v>7953</v>
      </c>
      <c r="H2242" s="136"/>
      <c r="I2242" s="19" t="s">
        <v>7954</v>
      </c>
      <c r="J2242" s="171" t="e">
        <f>IF(shinsei_strtower16_CHARGE="","",shinsei_strtower16_CHARGE)</f>
        <v>#NAME?</v>
      </c>
      <c r="K2242" s="9" t="s">
        <v>2528</v>
      </c>
      <c r="L2242" s="9" t="s">
        <v>2528</v>
      </c>
    </row>
    <row r="2243" spans="1:12" ht="18" customHeight="1">
      <c r="A2243" s="149"/>
      <c r="B2243" s="149"/>
      <c r="C2243" s="149"/>
      <c r="D2243" s="149"/>
      <c r="E2243" s="12" t="s">
        <v>3907</v>
      </c>
      <c r="F2243" s="12"/>
      <c r="G2243" s="149"/>
      <c r="I2243" s="100" t="s">
        <v>7955</v>
      </c>
      <c r="J2243" s="171" t="e">
        <f>IF(shinsei_strtower16_CHARGE="","",TEXT(shinsei_strtower16_CHARGE,"#,##0_ ")&amp;"円")</f>
        <v>#NAME?</v>
      </c>
      <c r="K2243" s="9"/>
      <c r="L2243" s="9"/>
    </row>
    <row r="2244" spans="1:12" ht="18" customHeight="1">
      <c r="A2244" s="149"/>
      <c r="B2244" s="149" t="s">
        <v>3041</v>
      </c>
      <c r="C2244" s="149"/>
      <c r="D2244" s="149"/>
      <c r="E2244" s="149"/>
      <c r="F2244" s="149"/>
      <c r="G2244" s="149" t="s">
        <v>7956</v>
      </c>
      <c r="H2244" s="136"/>
      <c r="I2244" s="100" t="s">
        <v>7957</v>
      </c>
      <c r="J2244" s="136" t="e">
        <f>IF(shinsei_strtower16_CHARGE_WARIMASHI="","",shinsei_strtower16_CHARGE_WARIMASHI)</f>
        <v>#NAME?</v>
      </c>
      <c r="K2244" s="9" t="s">
        <v>2528</v>
      </c>
      <c r="L2244" s="9" t="s">
        <v>2528</v>
      </c>
    </row>
    <row r="2245" spans="1:12" ht="18" customHeight="1">
      <c r="A2245" s="149"/>
      <c r="B2245" s="149" t="s">
        <v>3043</v>
      </c>
      <c r="C2245" s="149"/>
      <c r="D2245" s="149"/>
      <c r="E2245" s="149"/>
      <c r="F2245" s="149"/>
      <c r="G2245" s="149" t="s">
        <v>7958</v>
      </c>
      <c r="H2245" s="136"/>
      <c r="I2245" s="100" t="s">
        <v>7959</v>
      </c>
      <c r="J2245" s="136" t="e">
        <f>IF(shinsei_strtower16_CHARGE_TOTAL="","",shinsei_strtower16_CHARGE_TOTAL)</f>
        <v>#NAME?</v>
      </c>
      <c r="K2245" s="9" t="s">
        <v>2528</v>
      </c>
      <c r="L2245" s="9" t="s">
        <v>2528</v>
      </c>
    </row>
    <row r="2246" spans="1:12" ht="18" customHeight="1">
      <c r="A2246" s="149"/>
      <c r="B2246" s="149" t="s">
        <v>5637</v>
      </c>
      <c r="C2246" s="149"/>
      <c r="D2246" s="149"/>
      <c r="E2246" s="149"/>
      <c r="F2246" s="149"/>
      <c r="G2246" s="149" t="s">
        <v>7960</v>
      </c>
      <c r="H2246" s="13"/>
      <c r="I2246" s="176" t="s">
        <v>7961</v>
      </c>
      <c r="J2246" s="20" t="e">
        <f>IF(shinsei_strtower16_CHARGE_KEISAN_NOTE="","",shinsei_strtower16_CHARGE_KEISAN_NOTE)</f>
        <v>#NAME?</v>
      </c>
      <c r="K2246" s="10" t="s">
        <v>3862</v>
      </c>
      <c r="L2246" s="10" t="s">
        <v>3879</v>
      </c>
    </row>
    <row r="2247" spans="1:12" ht="18" customHeight="1">
      <c r="A2247" s="149"/>
      <c r="B2247" s="149"/>
      <c r="C2247" s="149"/>
      <c r="D2247" s="149"/>
      <c r="E2247" s="149" t="s">
        <v>5640</v>
      </c>
      <c r="F2247" s="149"/>
      <c r="G2247" s="149"/>
      <c r="I2247" s="100" t="s">
        <v>7962</v>
      </c>
      <c r="J2247" s="20" t="e">
        <f>IF(shinsei_INSPECTION_TYPE="計画変更",IF(shinsei_strtower16_CHARGE="","","延べ面積×1/2により算出"),IF(shinsei_strtower16_CHARGE_KEISAN_NOTE="","",shinsei_strtower16_CHARGE_KEISAN_NOTE))</f>
        <v>#NAME?</v>
      </c>
    </row>
    <row r="2248" spans="1:12" ht="18" customHeight="1">
      <c r="A2248" s="149"/>
      <c r="B2248" s="149" t="s">
        <v>5642</v>
      </c>
      <c r="C2248" s="149"/>
      <c r="D2248" s="149"/>
      <c r="E2248" s="149"/>
      <c r="F2248" s="149"/>
      <c r="G2248" s="149" t="s">
        <v>7963</v>
      </c>
      <c r="H2248" s="13"/>
      <c r="I2248" s="149" t="s">
        <v>7964</v>
      </c>
      <c r="J2248" s="20" t="e">
        <f>IF(shinsei_strtower16_KEISAN_X_ROUTE="","",shinsei_strtower16_KEISAN_X_ROUTE)</f>
        <v>#NAME?</v>
      </c>
    </row>
    <row r="2249" spans="1:12" ht="18" customHeight="1">
      <c r="A2249" s="149"/>
      <c r="B2249" s="149" t="s">
        <v>5645</v>
      </c>
      <c r="C2249" s="149"/>
      <c r="D2249" s="149"/>
      <c r="E2249" s="149"/>
      <c r="F2249" s="149"/>
      <c r="G2249" s="149" t="s">
        <v>7965</v>
      </c>
      <c r="H2249" s="13"/>
      <c r="I2249" s="149" t="s">
        <v>7966</v>
      </c>
      <c r="J2249" s="20" t="e">
        <f>IF(shinsei_strtower16_KEISAN_Y_ROUTE="","",shinsei_strtower16_KEISAN_Y_ROUTE)</f>
        <v>#NAME?</v>
      </c>
    </row>
    <row r="2250" spans="1:12" ht="18" customHeight="1">
      <c r="A2250" s="149"/>
      <c r="B2250" s="149"/>
      <c r="C2250" s="149" t="s">
        <v>3805</v>
      </c>
      <c r="D2250" s="149"/>
      <c r="E2250" s="149"/>
      <c r="F2250" s="149"/>
      <c r="G2250" s="149"/>
      <c r="H2250" s="12"/>
      <c r="I2250" s="149" t="s">
        <v>7967</v>
      </c>
      <c r="J2250" s="20" t="e">
        <f>IF(AND(cst_shinsei_strtower16_KEISAN_X_ROUTE="3",cst_shinsei_strtower16_KEISAN_Y_ROUTE="3"),"■","□")</f>
        <v>#NAME?</v>
      </c>
    </row>
    <row r="2251" spans="1:12" ht="18" customHeight="1">
      <c r="A2251" s="149"/>
      <c r="B2251" s="149" t="s">
        <v>5650</v>
      </c>
      <c r="C2251" s="149"/>
      <c r="D2251" s="149"/>
      <c r="E2251" s="149"/>
      <c r="F2251" s="149"/>
      <c r="G2251" s="149" t="s">
        <v>7968</v>
      </c>
      <c r="H2251" s="13"/>
      <c r="I2251" s="149" t="s">
        <v>7969</v>
      </c>
      <c r="J2251" s="20" t="e">
        <f>IF(shinsei_strtower16_PROGRAM_KIND_SONOTA="","",shinsei_strtower16_PROGRAM_KIND_SONOTA)</f>
        <v>#NAME?</v>
      </c>
    </row>
    <row r="2252" spans="1:12" ht="18" customHeight="1">
      <c r="A2252" s="149"/>
      <c r="B2252" s="149"/>
      <c r="C2252" s="149"/>
      <c r="D2252" s="149"/>
      <c r="E2252" s="149"/>
      <c r="F2252" s="149"/>
      <c r="G2252" s="149"/>
      <c r="I2252" s="149"/>
    </row>
    <row r="2253" spans="1:12" s="10" customFormat="1" ht="18" customHeight="1">
      <c r="A2253" s="162" t="s">
        <v>3122</v>
      </c>
      <c r="B2253" s="162"/>
      <c r="C2253" s="162"/>
      <c r="D2253" s="162"/>
      <c r="E2253" s="163"/>
      <c r="F2253" s="163"/>
      <c r="G2253" s="164"/>
      <c r="H2253" s="165"/>
      <c r="I2253" s="9"/>
    </row>
    <row r="2254" spans="1:12" s="10" customFormat="1" ht="18" customHeight="1">
      <c r="A2254" s="12"/>
      <c r="B2254" s="12" t="s">
        <v>3859</v>
      </c>
      <c r="C2254" s="12"/>
      <c r="D2254" s="12"/>
      <c r="E2254" s="11"/>
      <c r="F2254" s="11"/>
      <c r="G2254" s="10" t="s">
        <v>7970</v>
      </c>
      <c r="H2254" s="13"/>
      <c r="I2254" s="19" t="s">
        <v>7971</v>
      </c>
      <c r="J2254" s="25" t="e">
        <f>IF(shinsei_strtower17_TOWER_NO="","",shinsei_strtower17_TOWER_NO)</f>
        <v>#NAME?</v>
      </c>
      <c r="K2254" s="10" t="s">
        <v>3862</v>
      </c>
    </row>
    <row r="2255" spans="1:12" s="10" customFormat="1" ht="18" customHeight="1">
      <c r="A2255" s="12"/>
      <c r="B2255" s="12" t="s">
        <v>3864</v>
      </c>
      <c r="C2255" s="12"/>
      <c r="D2255" s="12"/>
      <c r="E2255" s="11"/>
      <c r="F2255" s="11"/>
      <c r="G2255" s="9" t="s">
        <v>7972</v>
      </c>
      <c r="H2255" s="13"/>
      <c r="I2255" s="19" t="s">
        <v>7973</v>
      </c>
      <c r="J2255" s="25" t="e">
        <f>IF(shinsei_strtower17_STR_TOWER_NO="","",shinsei_strtower17_STR_TOWER_NO)</f>
        <v>#NAME?</v>
      </c>
      <c r="K2255" s="10" t="s">
        <v>3862</v>
      </c>
      <c r="L2255" s="10" t="s">
        <v>3879</v>
      </c>
    </row>
    <row r="2256" spans="1:12" s="166" customFormat="1" ht="18" customHeight="1">
      <c r="B2256" s="12" t="s">
        <v>3868</v>
      </c>
      <c r="I2256" s="9" t="s">
        <v>7974</v>
      </c>
      <c r="J2256" s="167" t="e">
        <f>CONCATENATE(cst_shinsei_strtower17_TOWER_NO," - ",cst_shinsei_strtower17_STR_TOWER_NO)</f>
        <v>#NAME?</v>
      </c>
    </row>
    <row r="2257" spans="1:12" s="166" customFormat="1" ht="18" customHeight="1">
      <c r="B2257" s="12" t="s">
        <v>3870</v>
      </c>
      <c r="I2257" s="9" t="s">
        <v>7975</v>
      </c>
      <c r="J2257" s="167" t="e">
        <f>CONCATENATE(cst_shinsei_strtower17_STR_TOWER_NO," ／ ",cst_shinsei_STR_SHINSEI_TOWERS)</f>
        <v>#NAME?</v>
      </c>
    </row>
    <row r="2258" spans="1:12" s="10" customFormat="1" ht="18" customHeight="1">
      <c r="A2258" s="12"/>
      <c r="B2258" s="12" t="s">
        <v>3872</v>
      </c>
      <c r="C2258" s="11"/>
      <c r="D2258" s="11"/>
      <c r="E2258" s="11"/>
      <c r="F2258" s="11"/>
      <c r="G2258" s="9" t="s">
        <v>7976</v>
      </c>
      <c r="H2258" s="13"/>
      <c r="I2258" s="9" t="s">
        <v>7977</v>
      </c>
      <c r="J2258" s="25" t="e">
        <f>IF(shinsei_strtower17_STR_TOWER_NAME="","",shinsei_strtower17_STR_TOWER_NAME)</f>
        <v>#NAME?</v>
      </c>
    </row>
    <row r="2259" spans="1:12" s="10" customFormat="1" ht="18" customHeight="1">
      <c r="A2259" s="12"/>
      <c r="B2259" s="12" t="s">
        <v>3875</v>
      </c>
      <c r="C2259" s="12"/>
      <c r="D2259" s="12"/>
      <c r="E2259" s="11"/>
      <c r="F2259" s="11"/>
      <c r="G2259" s="9" t="s">
        <v>7978</v>
      </c>
      <c r="H2259" s="20"/>
      <c r="I2259" s="20" t="s">
        <v>7979</v>
      </c>
      <c r="J2259" s="25" t="e">
        <f>IF(shinsei_strtower17_JUDGE="","",shinsei_strtower17_JUDGE)</f>
        <v>#NAME?</v>
      </c>
      <c r="K2259" s="10" t="s">
        <v>7833</v>
      </c>
      <c r="L2259" s="10" t="s">
        <v>3879</v>
      </c>
    </row>
    <row r="2260" spans="1:12" s="10" customFormat="1" ht="18" customHeight="1">
      <c r="A2260" s="12"/>
      <c r="B2260" s="12" t="s">
        <v>4441</v>
      </c>
      <c r="C2260" s="12"/>
      <c r="D2260" s="12"/>
      <c r="E2260" s="11"/>
      <c r="F2260" s="11"/>
      <c r="G2260" s="9" t="s">
        <v>7980</v>
      </c>
      <c r="H2260" s="13"/>
      <c r="I2260" s="9" t="s">
        <v>7981</v>
      </c>
      <c r="J2260" s="25" t="e">
        <f>IF(shinsei_strtower17_STR_TOWER_YOUTO_TEXT="","",shinsei_strtower17_STR_TOWER_YOUTO_TEXT)</f>
        <v>#NAME?</v>
      </c>
      <c r="K2260" s="10" t="s">
        <v>3862</v>
      </c>
      <c r="L2260" s="10" t="s">
        <v>3879</v>
      </c>
    </row>
    <row r="2261" spans="1:12" s="10" customFormat="1" ht="18" customHeight="1">
      <c r="A2261" s="12"/>
      <c r="B2261" s="12" t="s">
        <v>3790</v>
      </c>
      <c r="C2261" s="12"/>
      <c r="D2261" s="12"/>
      <c r="E2261" s="11"/>
      <c r="F2261" s="11"/>
      <c r="G2261" s="9" t="s">
        <v>7982</v>
      </c>
      <c r="H2261" s="13"/>
      <c r="I2261" s="9" t="s">
        <v>7983</v>
      </c>
      <c r="J2261" s="25" t="e">
        <f>IF(shinsei_strtower17_KOUJI_TEXT="","",shinsei_strtower17_KOUJI_TEXT)</f>
        <v>#NAME?</v>
      </c>
      <c r="K2261" s="10" t="s">
        <v>3862</v>
      </c>
      <c r="L2261" s="10" t="s">
        <v>3879</v>
      </c>
    </row>
    <row r="2262" spans="1:12" s="10" customFormat="1" ht="18" customHeight="1">
      <c r="A2262" s="12"/>
      <c r="B2262" s="12" t="s">
        <v>3888</v>
      </c>
      <c r="C2262" s="11"/>
      <c r="D2262" s="11"/>
      <c r="E2262" s="11"/>
      <c r="F2262" s="11"/>
      <c r="G2262" s="9" t="s">
        <v>7984</v>
      </c>
      <c r="H2262" s="13"/>
      <c r="I2262" s="9" t="s">
        <v>7985</v>
      </c>
      <c r="J2262" s="25" t="e">
        <f>IF(shinsei_strtower17_KOUZOU_TEXT="","",shinsei_strtower17_KOUZOU_TEXT)</f>
        <v>#NAME?</v>
      </c>
    </row>
    <row r="2263" spans="1:12" s="10" customFormat="1" ht="18" customHeight="1">
      <c r="A2263" s="12"/>
      <c r="B2263" s="12" t="s">
        <v>3888</v>
      </c>
      <c r="C2263" s="12"/>
      <c r="D2263" s="12"/>
      <c r="E2263" s="11"/>
      <c r="F2263" s="11"/>
      <c r="G2263" s="9" t="s">
        <v>7986</v>
      </c>
      <c r="H2263" s="13"/>
      <c r="I2263" s="9" t="s">
        <v>7987</v>
      </c>
      <c r="J2263" s="25" t="e">
        <f>IF(shinsei_strtower17_KOUZOU_TEXT="","",shinsei_strtower17_KOUZOU_TEXT)</f>
        <v>#NAME?</v>
      </c>
    </row>
    <row r="2264" spans="1:12" s="10" customFormat="1" ht="18" customHeight="1">
      <c r="A2264" s="12"/>
      <c r="B2264" s="12" t="s">
        <v>3893</v>
      </c>
      <c r="C2264" s="11"/>
      <c r="D2264" s="11"/>
      <c r="E2264" s="11"/>
      <c r="F2264" s="11"/>
      <c r="G2264" s="9" t="s">
        <v>7988</v>
      </c>
      <c r="H2264" s="13"/>
      <c r="I2264" s="9" t="s">
        <v>7989</v>
      </c>
      <c r="J2264" s="25" t="e">
        <f>IF(shinsei_strtower17_KOUZOU_KEISAN="","",shinsei_strtower17_KOUZOU_KEISAN)</f>
        <v>#NAME?</v>
      </c>
    </row>
    <row r="2265" spans="1:12" s="10" customFormat="1" ht="18" customHeight="1">
      <c r="A2265" s="12"/>
      <c r="B2265" s="12" t="s">
        <v>3893</v>
      </c>
      <c r="C2265" s="12"/>
      <c r="D2265" s="12"/>
      <c r="E2265" s="11"/>
      <c r="F2265" s="11"/>
      <c r="G2265" s="9" t="s">
        <v>7990</v>
      </c>
      <c r="H2265" s="13"/>
      <c r="I2265" s="10" t="s">
        <v>7991</v>
      </c>
      <c r="J2265" s="25" t="e">
        <f>IF(shinsei_strtower17_KOUZOU_KEISAN_TEXT="","",shinsei_strtower17_KOUZOU_KEISAN_TEXT)</f>
        <v>#NAME?</v>
      </c>
    </row>
    <row r="2266" spans="1:12" s="10" customFormat="1" ht="18" customHeight="1">
      <c r="A2266" s="12"/>
      <c r="B2266" s="12" t="s">
        <v>3902</v>
      </c>
      <c r="C2266" s="12"/>
      <c r="D2266" s="12"/>
      <c r="E2266" s="11"/>
      <c r="F2266" s="11"/>
      <c r="G2266" s="9" t="s">
        <v>7992</v>
      </c>
      <c r="H2266" s="65"/>
      <c r="I2266" s="19" t="s">
        <v>7993</v>
      </c>
      <c r="J2266" s="168" t="e">
        <f>IF(shinsei_strtower17_MENSEKI="","",shinsei_strtower17_MENSEKI)</f>
        <v>#NAME?</v>
      </c>
      <c r="K2266" s="10" t="s">
        <v>3906</v>
      </c>
      <c r="L2266" s="10" t="s">
        <v>3906</v>
      </c>
    </row>
    <row r="2267" spans="1:12" ht="18" customHeight="1">
      <c r="A2267" s="12"/>
      <c r="B2267" s="12"/>
      <c r="C2267" s="12"/>
      <c r="D2267" s="12"/>
      <c r="E2267" s="12" t="s">
        <v>3907</v>
      </c>
      <c r="F2267" s="12"/>
      <c r="G2267" s="9"/>
      <c r="H2267" s="9"/>
      <c r="I2267" s="9" t="s">
        <v>7994</v>
      </c>
      <c r="J2267" s="168" t="e">
        <f>IF(shinsei_strtower17_MENSEKI="","",TEXT(shinsei_strtower17_MENSEKI,"#,##0.00_ ")&amp;"㎡")</f>
        <v>#NAME?</v>
      </c>
    </row>
    <row r="2268" spans="1:12" s="10" customFormat="1" ht="18" customHeight="1">
      <c r="A2268" s="12"/>
      <c r="B2268" s="12" t="s">
        <v>4390</v>
      </c>
      <c r="C2268" s="12"/>
      <c r="D2268" s="12"/>
      <c r="E2268" s="11"/>
      <c r="F2268" s="11"/>
      <c r="G2268" s="9" t="s">
        <v>7995</v>
      </c>
      <c r="H2268" s="93"/>
      <c r="I2268" s="9" t="s">
        <v>7996</v>
      </c>
      <c r="J2268" s="170" t="e">
        <f>IF(shinsei_strtower17_MAX_TAKASA="","",shinsei_strtower17_MAX_TAKASA)</f>
        <v>#NAME?</v>
      </c>
      <c r="K2268" s="10" t="s">
        <v>3911</v>
      </c>
      <c r="L2268" s="10" t="s">
        <v>3911</v>
      </c>
    </row>
    <row r="2269" spans="1:12" s="10" customFormat="1" ht="18" customHeight="1">
      <c r="A2269" s="12"/>
      <c r="B2269" s="12" t="s">
        <v>4388</v>
      </c>
      <c r="C2269" s="11"/>
      <c r="D2269" s="11"/>
      <c r="E2269" s="11"/>
      <c r="F2269" s="11"/>
      <c r="G2269" s="9" t="s">
        <v>7997</v>
      </c>
      <c r="H2269" s="93"/>
      <c r="I2269" s="9" t="s">
        <v>7998</v>
      </c>
      <c r="J2269" s="170" t="e">
        <f>IF(shinsei_strtower17_MAX_NOKI_TAKASA="","",shinsei_strtower17_MAX_NOKI_TAKASA)</f>
        <v>#NAME?</v>
      </c>
    </row>
    <row r="2270" spans="1:12" s="10" customFormat="1" ht="18" customHeight="1">
      <c r="A2270" s="12"/>
      <c r="B2270" s="12" t="s">
        <v>3782</v>
      </c>
      <c r="C2270" s="12"/>
      <c r="D2270" s="12"/>
      <c r="E2270" s="11"/>
      <c r="F2270" s="11"/>
      <c r="G2270" s="9"/>
      <c r="H2270" s="9"/>
      <c r="I2270" s="9"/>
    </row>
    <row r="2271" spans="1:12" s="10" customFormat="1" ht="18" customHeight="1">
      <c r="A2271" s="12"/>
      <c r="B2271" s="12"/>
      <c r="C2271" s="11" t="s">
        <v>3783</v>
      </c>
      <c r="D2271" s="12"/>
      <c r="G2271" s="9" t="s">
        <v>7999</v>
      </c>
      <c r="H2271" s="136"/>
      <c r="I2271" s="9" t="s">
        <v>8000</v>
      </c>
      <c r="J2271" s="171" t="e">
        <f>IF(shinsei_strtower17_KAISU_TIJYOU="","",shinsei_strtower17_KAISU_TIJYOU)</f>
        <v>#NAME?</v>
      </c>
      <c r="K2271" s="10" t="s">
        <v>3916</v>
      </c>
      <c r="L2271" s="10" t="s">
        <v>3916</v>
      </c>
    </row>
    <row r="2272" spans="1:12" s="10" customFormat="1" ht="18" customHeight="1">
      <c r="A2272" s="12"/>
      <c r="B2272" s="12"/>
      <c r="C2272" s="11" t="s">
        <v>3785</v>
      </c>
      <c r="D2272" s="12"/>
      <c r="G2272" s="9" t="s">
        <v>8001</v>
      </c>
      <c r="H2272" s="136"/>
      <c r="I2272" s="9" t="s">
        <v>8002</v>
      </c>
      <c r="J2272" s="171" t="e">
        <f>IF(shinsei_strtower17_KAISU_TIKA="","",shinsei_strtower17_KAISU_TIKA)</f>
        <v>#NAME?</v>
      </c>
      <c r="K2272" s="10" t="s">
        <v>3916</v>
      </c>
      <c r="L2272" s="10" t="s">
        <v>3916</v>
      </c>
    </row>
    <row r="2273" spans="1:12" s="10" customFormat="1" ht="18" customHeight="1">
      <c r="A2273" s="12"/>
      <c r="B2273" s="12"/>
      <c r="C2273" s="11" t="s">
        <v>3787</v>
      </c>
      <c r="D2273" s="12"/>
      <c r="G2273" s="9" t="s">
        <v>8003</v>
      </c>
      <c r="H2273" s="136"/>
      <c r="I2273" s="9" t="s">
        <v>8004</v>
      </c>
      <c r="J2273" s="171" t="e">
        <f>IF(shinsei_strtower17_KAISU_TOUYA="","",shinsei_strtower17_KAISU_TOUYA)</f>
        <v>#NAME?</v>
      </c>
      <c r="K2273" s="10" t="s">
        <v>7855</v>
      </c>
      <c r="L2273" s="10" t="s">
        <v>7855</v>
      </c>
    </row>
    <row r="2274" spans="1:12" s="10" customFormat="1" ht="18" customHeight="1">
      <c r="B2274" s="12" t="s">
        <v>3923</v>
      </c>
      <c r="G2274" s="9" t="s">
        <v>8005</v>
      </c>
      <c r="H2274" s="13"/>
      <c r="I2274" s="10" t="s">
        <v>8006</v>
      </c>
      <c r="J2274" s="25" t="e">
        <f>IF(shinsei_strtower17_BUILD_KUBUN="","",shinsei_strtower17_BUILD_KUBUN)</f>
        <v>#NAME?</v>
      </c>
    </row>
    <row r="2275" spans="1:12" s="10" customFormat="1" ht="18" customHeight="1">
      <c r="B2275" s="12" t="s">
        <v>3923</v>
      </c>
      <c r="C2275" s="12"/>
      <c r="D2275" s="12"/>
      <c r="G2275" s="9" t="s">
        <v>8007</v>
      </c>
      <c r="H2275" s="13"/>
      <c r="I2275" s="10" t="s">
        <v>8008</v>
      </c>
      <c r="J2275" s="25" t="e">
        <f>IF(shinsei_strtower17_BUILD_KUBUN_TEXT="","",shinsei_strtower17_BUILD_KUBUN_TEXT)</f>
        <v>#NAME?</v>
      </c>
      <c r="K2275" s="10" t="s">
        <v>3862</v>
      </c>
    </row>
    <row r="2276" spans="1:12" s="10" customFormat="1" ht="18" customHeight="1">
      <c r="A2276" s="149"/>
      <c r="B2276" s="149"/>
      <c r="C2276" s="149" t="s">
        <v>3801</v>
      </c>
      <c r="D2276" s="149"/>
      <c r="E2276" s="149"/>
      <c r="F2276" s="149"/>
      <c r="G2276" s="149"/>
      <c r="H2276" s="12"/>
      <c r="I2276" s="149" t="s">
        <v>8009</v>
      </c>
      <c r="J2276" s="20" t="e">
        <f>IF(shinsei_strtower17_BUILD_KUBUN_TEXT="建築基準法第20条第２号に掲げる建築物","■","□")</f>
        <v>#NAME?</v>
      </c>
    </row>
    <row r="2277" spans="1:12" s="10" customFormat="1" ht="18" customHeight="1">
      <c r="A2277" s="149"/>
      <c r="B2277" s="149"/>
      <c r="C2277" s="149" t="s">
        <v>3801</v>
      </c>
      <c r="D2277" s="149"/>
      <c r="E2277" s="149"/>
      <c r="F2277" s="149"/>
      <c r="G2277" s="149"/>
      <c r="H2277" s="12"/>
      <c r="I2277" s="149" t="s">
        <v>8010</v>
      </c>
      <c r="J2277" s="20" t="e">
        <f>IF(shinsei_strtower17_BUILD_KUBUN_TEXT="建築基準法第20条第３号に掲げる建築物","■","□")</f>
        <v>#NAME?</v>
      </c>
    </row>
    <row r="2278" spans="1:12" s="10" customFormat="1" ht="18" customHeight="1">
      <c r="A2278" s="12"/>
      <c r="B2278" s="12" t="s">
        <v>3932</v>
      </c>
      <c r="C2278" s="12"/>
      <c r="D2278" s="12"/>
      <c r="E2278" s="11"/>
      <c r="F2278" s="11"/>
      <c r="G2278" s="9" t="s">
        <v>8011</v>
      </c>
      <c r="H2278" s="13"/>
      <c r="I2278" s="9" t="s">
        <v>6660</v>
      </c>
      <c r="J2278" s="25" t="e">
        <f>IF(shinsei_strtower17_MENJYO_TEXT="","",shinsei_strtower17_MENJYO_TEXT)</f>
        <v>#NAME?</v>
      </c>
      <c r="K2278" s="10" t="s">
        <v>3862</v>
      </c>
    </row>
    <row r="2279" spans="1:12" s="10" customFormat="1" ht="18" customHeight="1">
      <c r="A2279" s="12"/>
      <c r="B2279" s="12" t="s">
        <v>3935</v>
      </c>
      <c r="C2279" s="12"/>
      <c r="D2279" s="12"/>
      <c r="E2279" s="11"/>
      <c r="F2279" s="11"/>
      <c r="G2279" s="9" t="s">
        <v>6661</v>
      </c>
      <c r="H2279" s="20"/>
      <c r="I2279" s="9" t="s">
        <v>6662</v>
      </c>
      <c r="J2279" s="25" t="e">
        <f>IF(shinsei_strtower17_PROGRAM_KIND="","",shinsei_strtower17_PROGRAM_KIND)</f>
        <v>#NAME?</v>
      </c>
      <c r="K2279" s="10" t="s">
        <v>5704</v>
      </c>
    </row>
    <row r="2280" spans="1:12" s="10" customFormat="1" ht="18" customHeight="1">
      <c r="B2280" s="12" t="s">
        <v>3939</v>
      </c>
      <c r="C2280" s="12"/>
      <c r="D2280" s="12"/>
      <c r="G2280" s="9" t="s">
        <v>6663</v>
      </c>
      <c r="H2280" s="13"/>
      <c r="I2280" s="10" t="s">
        <v>6664</v>
      </c>
      <c r="J2280" s="25" t="e">
        <f>IF(shinsei_strtower17_REI80_2_KOKUJI_TEXT="","",shinsei_strtower17_REI80_2_KOKUJI_TEXT)</f>
        <v>#NAME?</v>
      </c>
    </row>
    <row r="2281" spans="1:12" s="10" customFormat="1" ht="18" customHeight="1">
      <c r="B2281" s="12" t="s">
        <v>3943</v>
      </c>
      <c r="C2281" s="12"/>
      <c r="D2281" s="12"/>
      <c r="G2281" s="9" t="s">
        <v>6665</v>
      </c>
      <c r="H2281" s="13"/>
      <c r="I2281" s="10" t="s">
        <v>6666</v>
      </c>
      <c r="J2281" s="25" t="e">
        <f>IF(shinsei_strtower17_PROGRAM_KIND__nintei__box="■",2,IF(OR(shinsei_strtower17_PROGRAM_KIND__hyouka__box="■",shinsei_strtower17_PROGRAM_KIND__sonota__box="■"),1,0))</f>
        <v>#NAME?</v>
      </c>
      <c r="K2281" s="10" t="s">
        <v>3946</v>
      </c>
    </row>
    <row r="2282" spans="1:12" s="10" customFormat="1" ht="18" customHeight="1">
      <c r="B2282" s="12" t="s">
        <v>3947</v>
      </c>
      <c r="C2282" s="12"/>
      <c r="D2282" s="12"/>
      <c r="G2282" s="9" t="s">
        <v>6667</v>
      </c>
      <c r="H2282" s="13"/>
    </row>
    <row r="2283" spans="1:12" s="10" customFormat="1" ht="18" customHeight="1">
      <c r="B2283" s="12" t="s">
        <v>4305</v>
      </c>
      <c r="C2283" s="12"/>
      <c r="D2283" s="12"/>
      <c r="G2283" s="9" t="s">
        <v>6668</v>
      </c>
      <c r="H2283" s="13"/>
    </row>
    <row r="2284" spans="1:12" s="10" customFormat="1" ht="18" customHeight="1">
      <c r="B2284" s="105" t="s">
        <v>3950</v>
      </c>
      <c r="C2284" s="105"/>
      <c r="D2284" s="105"/>
      <c r="E2284" s="24"/>
      <c r="F2284" s="24"/>
      <c r="G2284" s="9"/>
      <c r="H2284" s="12"/>
    </row>
    <row r="2285" spans="1:12" s="10" customFormat="1" ht="18" customHeight="1">
      <c r="C2285" s="10" t="s">
        <v>3951</v>
      </c>
      <c r="D2285" s="12"/>
      <c r="G2285" s="9" t="s">
        <v>6669</v>
      </c>
      <c r="H2285" s="13"/>
      <c r="K2285" s="10" t="s">
        <v>3862</v>
      </c>
      <c r="L2285" s="10" t="s">
        <v>3879</v>
      </c>
    </row>
    <row r="2286" spans="1:12" s="10" customFormat="1" ht="18" customHeight="1">
      <c r="C2286" s="12" t="s">
        <v>3954</v>
      </c>
      <c r="D2286" s="12"/>
      <c r="E2286" s="12"/>
      <c r="F2286" s="12"/>
      <c r="G2286" s="9" t="s">
        <v>6670</v>
      </c>
      <c r="H2286" s="13"/>
    </row>
    <row r="2287" spans="1:12" s="10" customFormat="1" ht="18" customHeight="1">
      <c r="C2287" s="12" t="s">
        <v>3957</v>
      </c>
      <c r="D2287" s="12"/>
      <c r="G2287" s="9"/>
      <c r="H2287" s="9"/>
      <c r="I2287" s="10" t="s">
        <v>6671</v>
      </c>
      <c r="J2287" s="25" t="e">
        <f>IF(shinsei_strtower17_prgo01_NAME="","",IF(shinsei_strtower17_prgo01_NINTEI_NO="","無","有"))</f>
        <v>#NAME?</v>
      </c>
      <c r="K2287" s="10" t="s">
        <v>3959</v>
      </c>
      <c r="L2287" s="10" t="s">
        <v>3879</v>
      </c>
    </row>
    <row r="2288" spans="1:12" s="10" customFormat="1" ht="18" customHeight="1">
      <c r="C2288" s="12" t="s">
        <v>3960</v>
      </c>
      <c r="D2288" s="12"/>
      <c r="G2288" s="9" t="s">
        <v>6672</v>
      </c>
      <c r="H2288" s="13"/>
      <c r="I2288" s="10" t="s">
        <v>6673</v>
      </c>
      <c r="J2288" s="25" t="e">
        <f>IF(shinsei_strtower17_prgo01_NINTEI_NO="","",shinsei_strtower17_prgo01_NINTEI_NO)</f>
        <v>#NAME?</v>
      </c>
      <c r="K2288" s="10" t="s">
        <v>7921</v>
      </c>
      <c r="L2288" s="10" t="s">
        <v>3879</v>
      </c>
    </row>
    <row r="2289" spans="2:12" s="10" customFormat="1" ht="18" customHeight="1">
      <c r="C2289" s="12" t="s">
        <v>3964</v>
      </c>
      <c r="D2289" s="12"/>
      <c r="G2289" s="9" t="s">
        <v>6674</v>
      </c>
      <c r="H2289" s="74"/>
      <c r="I2289" s="10" t="s">
        <v>5296</v>
      </c>
      <c r="J2289" s="25" t="e">
        <f>IF(shinsei_strtower17_prgo01_NINTEI_DATE="","",TEXT(shinsei_strtower17_prgo01_NINTEI_DATE,"ggge年m月d日")&amp;"  ")</f>
        <v>#NAME?</v>
      </c>
    </row>
    <row r="2290" spans="2:12" s="10" customFormat="1" ht="18" customHeight="1">
      <c r="C2290" s="12" t="s">
        <v>3967</v>
      </c>
      <c r="D2290" s="12"/>
      <c r="G2290" s="9" t="s">
        <v>5297</v>
      </c>
      <c r="H2290" s="13"/>
    </row>
    <row r="2291" spans="2:12" s="10" customFormat="1" ht="18" customHeight="1">
      <c r="C2291" s="12" t="s">
        <v>3970</v>
      </c>
      <c r="D2291" s="12"/>
      <c r="G2291" s="9"/>
      <c r="H2291" s="12"/>
      <c r="I2291" s="9" t="s">
        <v>5298</v>
      </c>
      <c r="J2291" s="25" t="e">
        <f>IF(shinsei_strtower17_prgo01_NAME="","",shinsei_strtower17_prgo01_NAME)&amp;CHAR(10)&amp;IF(shinsei_strtower17_prgo01_VER="","","Ver."&amp;shinsei_strtower17_prgo01_VER&amp;CHAR(10))</f>
        <v>#NAME?</v>
      </c>
    </row>
    <row r="2292" spans="2:12" s="10" customFormat="1" ht="18" customHeight="1">
      <c r="C2292" s="12" t="s">
        <v>3972</v>
      </c>
      <c r="D2292" s="12"/>
      <c r="G2292" s="9"/>
      <c r="H2292" s="12"/>
      <c r="I2292" s="9" t="s">
        <v>5299</v>
      </c>
      <c r="J2292" s="25" t="e">
        <f>IF(shinsei_strtower17_prgo01_NAME="","",shinsei_strtower17_prgo01_NAME&amp;" ")&amp;IF(shinsei_strtower17_prgo01_VER="","","Ver."&amp;shinsei_strtower17_prgo01_VER&amp;"  ")</f>
        <v>#NAME?</v>
      </c>
    </row>
    <row r="2293" spans="2:12" s="10" customFormat="1" ht="18" customHeight="1">
      <c r="C2293" s="12" t="s">
        <v>3974</v>
      </c>
      <c r="D2293" s="12"/>
      <c r="G2293" s="9"/>
      <c r="H2293" s="12"/>
    </row>
    <row r="2294" spans="2:12" s="10" customFormat="1" ht="18" customHeight="1">
      <c r="D2294" s="12" t="s">
        <v>3975</v>
      </c>
      <c r="G2294" s="9"/>
      <c r="H2294" s="12"/>
      <c r="I2294" s="9" t="s">
        <v>5300</v>
      </c>
      <c r="J2294" s="173" t="e">
        <f>IF(cst_shinsei_strtower17_prgo01_NINTEI__umu="有",IF(shinsei_strtower17_prgo01_MAKER_NAME="","",shinsei_strtower17_prgo01_MAKER_NAME&amp;"  "),"")</f>
        <v>#NAME?</v>
      </c>
    </row>
    <row r="2295" spans="2:12" s="10" customFormat="1" ht="18" customHeight="1">
      <c r="B2295" s="12"/>
      <c r="D2295" s="12" t="s">
        <v>3972</v>
      </c>
      <c r="G2295" s="9"/>
      <c r="H2295" s="12"/>
      <c r="I2295" s="9" t="s">
        <v>5301</v>
      </c>
      <c r="J2295" s="25" t="e">
        <f>IF(cst_shinsei_strtower17_prgo01_NINTEI__umu="有",IF(shinsei_strtower17_prgo01_NAME="","",shinsei_strtower17_prgo01_NAME&amp;" ")&amp;IF(shinsei_strtower17_prgo01_VER="","","Ver."&amp;shinsei_strtower17_prgo01_VER&amp;"  "),"")</f>
        <v>#NAME?</v>
      </c>
    </row>
    <row r="2296" spans="2:12" s="10" customFormat="1" ht="18" customHeight="1">
      <c r="C2296" s="12" t="s">
        <v>3981</v>
      </c>
      <c r="D2296" s="12"/>
      <c r="G2296" s="9"/>
      <c r="H2296" s="12"/>
    </row>
    <row r="2297" spans="2:12" s="10" customFormat="1" ht="18" customHeight="1">
      <c r="B2297" s="12"/>
      <c r="D2297" s="12" t="s">
        <v>3975</v>
      </c>
      <c r="G2297" s="9"/>
      <c r="H2297" s="12"/>
      <c r="I2297" s="9" t="s">
        <v>5302</v>
      </c>
      <c r="J2297" s="173" t="e">
        <f>IF(cst_shinsei_strtower17_prgo01_NINTEI__umu="無",IF(shinsei_strtower17_prgo01_MAKER_NAME="","",shinsei_strtower17_prgo01_MAKER_NAME&amp;"  "),"")</f>
        <v>#NAME?</v>
      </c>
    </row>
    <row r="2298" spans="2:12" s="10" customFormat="1" ht="18" customHeight="1">
      <c r="B2298" s="12"/>
      <c r="D2298" s="12" t="s">
        <v>3972</v>
      </c>
      <c r="G2298" s="9"/>
      <c r="H2298" s="12"/>
      <c r="I2298" s="9" t="s">
        <v>5303</v>
      </c>
      <c r="J2298" s="25" t="e">
        <f>IF(cst_shinsei_strtower17_prgo01_NINTEI__umu="無",IF(shinsei_strtower17_prgo01_NAME="","",shinsei_strtower17_prgo01_NAME&amp;" ")&amp;IF(shinsei_strtower17_prgo01_VER="","","Ver."&amp;shinsei_strtower17_prgo01_VER&amp;"  "),"")</f>
        <v>#NAME?</v>
      </c>
    </row>
    <row r="2299" spans="2:12" s="10" customFormat="1" ht="18" customHeight="1">
      <c r="B2299" s="105" t="s">
        <v>4000</v>
      </c>
      <c r="C2299" s="105"/>
      <c r="D2299" s="105"/>
      <c r="E2299" s="24"/>
      <c r="F2299" s="24"/>
      <c r="G2299" s="9"/>
      <c r="H2299" s="12"/>
    </row>
    <row r="2300" spans="2:12" s="10" customFormat="1" ht="18" customHeight="1">
      <c r="C2300" s="10" t="s">
        <v>3951</v>
      </c>
      <c r="D2300" s="12"/>
      <c r="G2300" s="9" t="s">
        <v>5304</v>
      </c>
      <c r="H2300" s="13"/>
      <c r="K2300" s="10" t="s">
        <v>3862</v>
      </c>
      <c r="L2300" s="10" t="s">
        <v>3879</v>
      </c>
    </row>
    <row r="2301" spans="2:12" s="10" customFormat="1" ht="18" customHeight="1">
      <c r="C2301" s="12" t="s">
        <v>3954</v>
      </c>
      <c r="D2301" s="12"/>
      <c r="G2301" s="9" t="s">
        <v>5305</v>
      </c>
      <c r="H2301" s="13"/>
    </row>
    <row r="2302" spans="2:12" s="10" customFormat="1" ht="18" customHeight="1">
      <c r="C2302" s="12" t="s">
        <v>3957</v>
      </c>
      <c r="D2302" s="12"/>
      <c r="G2302" s="9"/>
      <c r="H2302" s="9"/>
      <c r="I2302" s="10" t="s">
        <v>5306</v>
      </c>
      <c r="J2302" s="25" t="e">
        <f>IF(shinsei_strtower17_prgo02_NAME="","",IF(shinsei_strtower17_prgo02_NINTEI_NO="","無","有"))</f>
        <v>#NAME?</v>
      </c>
      <c r="K2302" s="10" t="s">
        <v>2941</v>
      </c>
      <c r="L2302" s="10" t="s">
        <v>3879</v>
      </c>
    </row>
    <row r="2303" spans="2:12" s="10" customFormat="1" ht="18" customHeight="1">
      <c r="C2303" s="12" t="s">
        <v>3960</v>
      </c>
      <c r="D2303" s="12"/>
      <c r="G2303" s="9" t="s">
        <v>5307</v>
      </c>
      <c r="H2303" s="13"/>
      <c r="I2303" s="10" t="s">
        <v>5308</v>
      </c>
      <c r="J2303" s="25" t="e">
        <f>IF(shinsei_strtower17_prgo02_NINTEI_NO="","",shinsei_strtower17_prgo02_NINTEI_NO)</f>
        <v>#NAME?</v>
      </c>
      <c r="K2303" s="10" t="s">
        <v>3862</v>
      </c>
      <c r="L2303" s="10" t="s">
        <v>3879</v>
      </c>
    </row>
    <row r="2304" spans="2:12" s="10" customFormat="1" ht="18" customHeight="1">
      <c r="C2304" s="12" t="s">
        <v>3964</v>
      </c>
      <c r="D2304" s="12"/>
      <c r="G2304" s="9" t="s">
        <v>5309</v>
      </c>
      <c r="H2304" s="74"/>
      <c r="I2304" s="10" t="s">
        <v>5310</v>
      </c>
      <c r="J2304" s="25" t="e">
        <f>IF(shinsei_strtower17_prgo02_NINTEI_DATE="","",shinsei_strtower17_prgo02_NINTEI_DATE)</f>
        <v>#NAME?</v>
      </c>
    </row>
    <row r="2305" spans="2:12" s="10" customFormat="1" ht="18" customHeight="1">
      <c r="C2305" s="12" t="s">
        <v>3967</v>
      </c>
      <c r="D2305" s="12"/>
      <c r="G2305" s="9" t="s">
        <v>5311</v>
      </c>
      <c r="H2305" s="13"/>
    </row>
    <row r="2306" spans="2:12" s="10" customFormat="1" ht="18" customHeight="1">
      <c r="C2306" s="12" t="s">
        <v>3970</v>
      </c>
      <c r="D2306" s="12"/>
      <c r="G2306" s="9"/>
      <c r="H2306" s="12"/>
      <c r="I2306" s="9" t="s">
        <v>5312</v>
      </c>
      <c r="J2306" s="25" t="e">
        <f>IF(shinsei_strtower17_prgo02_NAME="","",shinsei_strtower17_prgo02_NAME)&amp;CHAR(10)&amp;IF(shinsei_strtower17_prgo02_VER="","","Ver."&amp;shinsei_strtower17_prgo02_VER&amp;CHAR(10))</f>
        <v>#NAME?</v>
      </c>
    </row>
    <row r="2307" spans="2:12" s="10" customFormat="1" ht="18" customHeight="1">
      <c r="C2307" s="12" t="s">
        <v>3972</v>
      </c>
      <c r="D2307" s="12"/>
      <c r="G2307" s="9"/>
      <c r="H2307" s="12"/>
      <c r="I2307" s="9" t="s">
        <v>5313</v>
      </c>
      <c r="J2307" s="25" t="e">
        <f>IF(shinsei_strtower17_prgo02_NAME="","",shinsei_strtower17_prgo02_NAME&amp;" ")&amp;IF(shinsei_strtower17_prgo02_VER="","","Ver."&amp;shinsei_strtower17_prgo02_VER&amp;"  ")</f>
        <v>#NAME?</v>
      </c>
    </row>
    <row r="2308" spans="2:12" s="10" customFormat="1" ht="18" customHeight="1">
      <c r="C2308" s="12" t="s">
        <v>3974</v>
      </c>
      <c r="D2308" s="12"/>
      <c r="G2308" s="9"/>
      <c r="H2308" s="12"/>
    </row>
    <row r="2309" spans="2:12" s="10" customFormat="1" ht="18" customHeight="1">
      <c r="D2309" s="12" t="s">
        <v>3975</v>
      </c>
      <c r="G2309" s="9"/>
      <c r="H2309" s="12"/>
      <c r="I2309" s="9" t="s">
        <v>5314</v>
      </c>
      <c r="J2309" s="173" t="e">
        <f>IF(cst_shinsei_strtower17_prgo02_NINTEI__umu="有",IF(shinsei_strtower17_prgo02_MAKER_NAME="","",shinsei_strtower17_prgo02_MAKER_NAME&amp;"  "),"")</f>
        <v>#NAME?</v>
      </c>
    </row>
    <row r="2310" spans="2:12" s="10" customFormat="1" ht="18" customHeight="1">
      <c r="D2310" s="12" t="s">
        <v>3972</v>
      </c>
      <c r="G2310" s="9"/>
      <c r="H2310" s="12"/>
      <c r="I2310" s="9" t="s">
        <v>6693</v>
      </c>
      <c r="J2310" s="25" t="e">
        <f>IF(cst_shinsei_strtower17_prgo02_NINTEI__umu="有",IF(shinsei_strtower17_prgo02_NAME="","",shinsei_strtower17_prgo02_NAME&amp;" ")&amp;IF(shinsei_strtower17_prgo02_VER="","","Ver."&amp;shinsei_strtower17_prgo02_VER&amp;"  "),"")</f>
        <v>#NAME?</v>
      </c>
    </row>
    <row r="2311" spans="2:12" s="10" customFormat="1" ht="18" customHeight="1">
      <c r="C2311" s="12" t="s">
        <v>3981</v>
      </c>
      <c r="D2311" s="12"/>
      <c r="G2311" s="9"/>
      <c r="H2311" s="12"/>
    </row>
    <row r="2312" spans="2:12" s="10" customFormat="1" ht="18" customHeight="1">
      <c r="D2312" s="12" t="s">
        <v>3975</v>
      </c>
      <c r="G2312" s="9"/>
      <c r="H2312" s="12"/>
      <c r="I2312" s="9" t="s">
        <v>6694</v>
      </c>
      <c r="J2312" s="173" t="e">
        <f>IF(cst_shinsei_strtower17_prgo02_NINTEI__umu="無",IF(shinsei_strtower17_prgo02_MAKER_NAME="","",shinsei_strtower17_prgo02_MAKER_NAME&amp;"  "),"")</f>
        <v>#NAME?</v>
      </c>
    </row>
    <row r="2313" spans="2:12" s="10" customFormat="1" ht="18" customHeight="1">
      <c r="D2313" s="12" t="s">
        <v>3972</v>
      </c>
      <c r="G2313" s="9"/>
      <c r="H2313" s="12"/>
      <c r="I2313" s="9" t="s">
        <v>6695</v>
      </c>
      <c r="J2313" s="25" t="e">
        <f>IF(cst_shinsei_strtower17_prgo02_NINTEI__umu="無",IF(shinsei_strtower17_prgo02_NAME="","",shinsei_strtower17_prgo02_NAME&amp;" ")&amp;IF(shinsei_strtower17_prgo02_VER="","","Ver."&amp;shinsei_strtower17_prgo02_VER&amp;"  "),"")</f>
        <v>#NAME?</v>
      </c>
    </row>
    <row r="2314" spans="2:12" s="10" customFormat="1" ht="18" customHeight="1">
      <c r="B2314" s="105" t="s">
        <v>4016</v>
      </c>
      <c r="C2314" s="105"/>
      <c r="D2314" s="105"/>
      <c r="E2314" s="24"/>
      <c r="F2314" s="24"/>
      <c r="G2314" s="9"/>
      <c r="H2314" s="12"/>
    </row>
    <row r="2315" spans="2:12" s="10" customFormat="1" ht="18" customHeight="1">
      <c r="C2315" s="10" t="s">
        <v>3951</v>
      </c>
      <c r="D2315" s="12"/>
      <c r="G2315" s="9" t="s">
        <v>6696</v>
      </c>
      <c r="H2315" s="13"/>
    </row>
    <row r="2316" spans="2:12" s="10" customFormat="1" ht="18" customHeight="1">
      <c r="C2316" s="12" t="s">
        <v>3954</v>
      </c>
      <c r="D2316" s="12"/>
      <c r="G2316" s="9" t="s">
        <v>6697</v>
      </c>
      <c r="H2316" s="13"/>
    </row>
    <row r="2317" spans="2:12" s="10" customFormat="1" ht="18" customHeight="1">
      <c r="C2317" s="12" t="s">
        <v>3957</v>
      </c>
      <c r="D2317" s="12"/>
      <c r="G2317" s="9"/>
      <c r="H2317" s="9"/>
      <c r="I2317" s="10" t="s">
        <v>6698</v>
      </c>
      <c r="J2317" s="25" t="e">
        <f>IF(shinsei_strtower17_prgo03_NAME="","",IF(shinsei_strtower17_prgo03_NINTEI_NO="","無","有"))</f>
        <v>#NAME?</v>
      </c>
      <c r="K2317" s="10" t="s">
        <v>2941</v>
      </c>
      <c r="L2317" s="10" t="s">
        <v>3879</v>
      </c>
    </row>
    <row r="2318" spans="2:12" s="10" customFormat="1" ht="18" customHeight="1">
      <c r="C2318" s="12" t="s">
        <v>3960</v>
      </c>
      <c r="D2318" s="12"/>
      <c r="G2318" s="9" t="s">
        <v>6699</v>
      </c>
      <c r="H2318" s="13"/>
      <c r="K2318" s="10" t="s">
        <v>3862</v>
      </c>
      <c r="L2318" s="10" t="s">
        <v>3879</v>
      </c>
    </row>
    <row r="2319" spans="2:12" s="10" customFormat="1" ht="18" customHeight="1">
      <c r="C2319" s="12" t="s">
        <v>3964</v>
      </c>
      <c r="D2319" s="12"/>
      <c r="G2319" s="9" t="s">
        <v>6700</v>
      </c>
      <c r="H2319" s="74"/>
      <c r="I2319" s="10" t="s">
        <v>6701</v>
      </c>
      <c r="J2319" s="25" t="e">
        <f>IF(shinsei_strtower17_prgo03_NINTEI_DATE="","",TEXT(shinsei_strtower17_prgo03_NINTEI_DATE,"ggge年m月d日")&amp;"  ")</f>
        <v>#NAME?</v>
      </c>
    </row>
    <row r="2320" spans="2:12" s="10" customFormat="1" ht="18" customHeight="1">
      <c r="C2320" s="12" t="s">
        <v>3967</v>
      </c>
      <c r="D2320" s="12"/>
      <c r="G2320" s="9" t="s">
        <v>6702</v>
      </c>
      <c r="H2320" s="13"/>
      <c r="I2320" s="9"/>
      <c r="J2320" s="9"/>
    </row>
    <row r="2321" spans="2:12" s="10" customFormat="1" ht="18" customHeight="1">
      <c r="C2321" s="12" t="s">
        <v>3970</v>
      </c>
      <c r="D2321" s="12"/>
      <c r="G2321" s="9"/>
      <c r="H2321" s="12"/>
      <c r="I2321" s="9" t="s">
        <v>6703</v>
      </c>
      <c r="J2321" s="25" t="e">
        <f>IF(shinsei_strtower17_prgo03_NAME="","",shinsei_strtower17_prgo03_NAME)&amp;CHAR(10)&amp;IF(shinsei_strtower17_prgo03_VER="","","Ver."&amp;shinsei_strtower17_prgo03_VER&amp;CHAR(10))</f>
        <v>#NAME?</v>
      </c>
    </row>
    <row r="2322" spans="2:12" s="10" customFormat="1" ht="18" customHeight="1">
      <c r="C2322" s="12" t="s">
        <v>3972</v>
      </c>
      <c r="D2322" s="12"/>
      <c r="G2322" s="9"/>
      <c r="H2322" s="12"/>
      <c r="I2322" s="9" t="s">
        <v>6704</v>
      </c>
      <c r="J2322" s="25" t="e">
        <f>IF(shinsei_strtower17_prgo03_NAME="","",shinsei_strtower17_prgo03_NAME&amp;" ")&amp;IF(shinsei_strtower17_prgo03_VER="","","Ver."&amp;shinsei_strtower17_prgo03_VER&amp;"  ")</f>
        <v>#NAME?</v>
      </c>
    </row>
    <row r="2323" spans="2:12" s="10" customFormat="1" ht="18" customHeight="1">
      <c r="C2323" s="12" t="s">
        <v>3974</v>
      </c>
      <c r="D2323" s="12"/>
      <c r="G2323" s="9"/>
      <c r="H2323" s="12"/>
    </row>
    <row r="2324" spans="2:12" s="10" customFormat="1" ht="18" customHeight="1">
      <c r="D2324" s="12" t="s">
        <v>3975</v>
      </c>
      <c r="G2324" s="9"/>
      <c r="H2324" s="12"/>
      <c r="I2324" s="9" t="s">
        <v>6705</v>
      </c>
      <c r="J2324" s="173" t="e">
        <f>IF(cst_shinsei_strtower17_prgo03_NINTEI__umu="有",IF(shinsei_strtower17_prgo03_MAKER_NAME="","",shinsei_strtower17_prgo03_MAKER_NAME&amp;"  "),"")</f>
        <v>#NAME?</v>
      </c>
    </row>
    <row r="2325" spans="2:12" s="10" customFormat="1" ht="18" customHeight="1">
      <c r="D2325" s="12" t="s">
        <v>3972</v>
      </c>
      <c r="G2325" s="9"/>
      <c r="H2325" s="12"/>
      <c r="I2325" s="9" t="s">
        <v>6706</v>
      </c>
      <c r="J2325" s="25" t="e">
        <f>IF(cst_shinsei_strtower17_prgo03_NINTEI__umu="有",IF(shinsei_strtower17_prgo03_NAME="","",shinsei_strtower17_prgo03_NAME&amp;" ")&amp;IF(shinsei_strtower17_prgo03_VER="","","Ver."&amp;shinsei_strtower17_prgo03_VER&amp;"  "),"")</f>
        <v>#NAME?</v>
      </c>
    </row>
    <row r="2326" spans="2:12" s="10" customFormat="1" ht="18" customHeight="1">
      <c r="C2326" s="12" t="s">
        <v>3981</v>
      </c>
      <c r="D2326" s="12"/>
      <c r="G2326" s="9"/>
      <c r="H2326" s="12"/>
    </row>
    <row r="2327" spans="2:12" s="10" customFormat="1" ht="18" customHeight="1">
      <c r="D2327" s="12" t="s">
        <v>3975</v>
      </c>
      <c r="G2327" s="9"/>
      <c r="H2327" s="12"/>
      <c r="I2327" s="9" t="s">
        <v>6707</v>
      </c>
      <c r="J2327" s="173" t="e">
        <f>IF(cst_shinsei_strtower17_prgo03_NINTEI__umu="無",IF(shinsei_strtower17_prgo03_MAKER_NAME="","",shinsei_strtower17_prgo03_MAKER_NAME&amp;"  "),"")</f>
        <v>#NAME?</v>
      </c>
    </row>
    <row r="2328" spans="2:12" s="10" customFormat="1" ht="18" customHeight="1">
      <c r="D2328" s="12" t="s">
        <v>3972</v>
      </c>
      <c r="G2328" s="9"/>
      <c r="H2328" s="12"/>
      <c r="I2328" s="9" t="s">
        <v>6708</v>
      </c>
      <c r="J2328" s="25" t="e">
        <f>IF(cst_shinsei_strtower17_prgo03_NINTEI__umu="無",IF(shinsei_strtower17_prgo03_NAME="","",shinsei_strtower17_prgo03_NAME&amp;" ")&amp;IF(shinsei_strtower17_prgo03_VER="","","Ver."&amp;shinsei_strtower17_prgo03_VER&amp;"  "),"")</f>
        <v>#NAME?</v>
      </c>
    </row>
    <row r="2329" spans="2:12" s="10" customFormat="1" ht="18" customHeight="1">
      <c r="B2329" s="105" t="s">
        <v>4031</v>
      </c>
      <c r="C2329" s="105"/>
      <c r="D2329" s="105"/>
      <c r="E2329" s="24"/>
      <c r="F2329" s="24"/>
      <c r="G2329" s="9"/>
      <c r="H2329" s="12"/>
    </row>
    <row r="2330" spans="2:12" s="10" customFormat="1" ht="18" customHeight="1">
      <c r="C2330" s="10" t="s">
        <v>3951</v>
      </c>
      <c r="D2330" s="12"/>
      <c r="G2330" s="9" t="s">
        <v>6709</v>
      </c>
      <c r="H2330" s="13"/>
    </row>
    <row r="2331" spans="2:12" s="10" customFormat="1" ht="18" customHeight="1">
      <c r="C2331" s="12" t="s">
        <v>3954</v>
      </c>
      <c r="D2331" s="12"/>
      <c r="G2331" s="9" t="s">
        <v>6710</v>
      </c>
      <c r="H2331" s="13"/>
    </row>
    <row r="2332" spans="2:12" s="10" customFormat="1" ht="18" customHeight="1">
      <c r="C2332" s="12" t="s">
        <v>3957</v>
      </c>
      <c r="D2332" s="12"/>
      <c r="G2332" s="9"/>
      <c r="H2332" s="9"/>
      <c r="I2332" s="10" t="s">
        <v>6711</v>
      </c>
      <c r="J2332" s="25" t="e">
        <f>IF(shinsei_strtower17_prgo04_NAME="","",IF(shinsei_strtower17_prgo04_NINTEI_NO="","無","有"))</f>
        <v>#NAME?</v>
      </c>
      <c r="K2332" s="10" t="s">
        <v>2941</v>
      </c>
      <c r="L2332" s="10" t="s">
        <v>3879</v>
      </c>
    </row>
    <row r="2333" spans="2:12" s="10" customFormat="1" ht="18" customHeight="1">
      <c r="C2333" s="12" t="s">
        <v>3960</v>
      </c>
      <c r="D2333" s="12"/>
      <c r="G2333" s="9" t="s">
        <v>6712</v>
      </c>
      <c r="H2333" s="13"/>
      <c r="K2333" s="10" t="s">
        <v>3862</v>
      </c>
      <c r="L2333" s="10" t="s">
        <v>3879</v>
      </c>
    </row>
    <row r="2334" spans="2:12" s="10" customFormat="1" ht="18" customHeight="1">
      <c r="C2334" s="12" t="s">
        <v>3964</v>
      </c>
      <c r="D2334" s="12"/>
      <c r="G2334" s="9" t="s">
        <v>6713</v>
      </c>
      <c r="H2334" s="74"/>
      <c r="I2334" s="10" t="s">
        <v>6714</v>
      </c>
      <c r="J2334" s="25" t="e">
        <f>IF(shinsei_strtower17_prgo04_NINTEI_DATE="","",TEXT(shinsei_strtower17_prgo04_NINTEI_DATE,"ggge年m月d日")&amp;"  ")</f>
        <v>#NAME?</v>
      </c>
    </row>
    <row r="2335" spans="2:12" s="10" customFormat="1" ht="18" customHeight="1">
      <c r="C2335" s="12" t="s">
        <v>3967</v>
      </c>
      <c r="D2335" s="12"/>
      <c r="G2335" s="9" t="s">
        <v>6715</v>
      </c>
      <c r="H2335" s="13"/>
      <c r="I2335" s="9"/>
      <c r="J2335" s="9"/>
    </row>
    <row r="2336" spans="2:12" s="10" customFormat="1" ht="18" customHeight="1">
      <c r="C2336" s="12" t="s">
        <v>3970</v>
      </c>
      <c r="D2336" s="12"/>
      <c r="G2336" s="9"/>
      <c r="H2336" s="12"/>
      <c r="I2336" s="9" t="s">
        <v>6716</v>
      </c>
      <c r="J2336" s="25" t="e">
        <f>IF(shinsei_strtower17_prgo04_NAME="","",shinsei_strtower17_prgo04_NAME)&amp;CHAR(10)&amp;IF(shinsei_strtower17_prgo04_VER="","","Ver."&amp;shinsei_strtower17_prgo04_VER&amp;CHAR(10))</f>
        <v>#NAME?</v>
      </c>
    </row>
    <row r="2337" spans="2:12" s="10" customFormat="1" ht="18" customHeight="1">
      <c r="C2337" s="12" t="s">
        <v>3972</v>
      </c>
      <c r="D2337" s="12"/>
      <c r="G2337" s="9"/>
      <c r="H2337" s="12"/>
      <c r="I2337" s="9" t="s">
        <v>6717</v>
      </c>
      <c r="J2337" s="25" t="e">
        <f>IF(shinsei_strtower17_prgo04_NAME="","",shinsei_strtower17_prgo04_NAME&amp;" ")&amp;IF(shinsei_strtower17_prgo04_VER="","","Ver."&amp;shinsei_strtower17_prgo04_VER&amp;"  ")</f>
        <v>#NAME?</v>
      </c>
    </row>
    <row r="2338" spans="2:12" s="10" customFormat="1" ht="18" customHeight="1">
      <c r="C2338" s="12" t="s">
        <v>3974</v>
      </c>
      <c r="D2338" s="12"/>
      <c r="G2338" s="9"/>
      <c r="H2338" s="12"/>
    </row>
    <row r="2339" spans="2:12" s="10" customFormat="1" ht="18" customHeight="1">
      <c r="D2339" s="12" t="s">
        <v>6279</v>
      </c>
      <c r="G2339" s="9"/>
      <c r="H2339" s="12"/>
      <c r="I2339" s="9" t="s">
        <v>6718</v>
      </c>
      <c r="J2339" s="173" t="e">
        <f>IF(cst_shinsei_strtower17_prgo04_NINTEI__umu="有",IF(shinsei_strtower17_prgo04_MAKER_NAME="","",shinsei_strtower17_prgo04_MAKER_NAME&amp;"  "),"")</f>
        <v>#NAME?</v>
      </c>
    </row>
    <row r="2340" spans="2:12" s="10" customFormat="1" ht="18" customHeight="1">
      <c r="D2340" s="12" t="s">
        <v>3972</v>
      </c>
      <c r="G2340" s="9"/>
      <c r="H2340" s="12"/>
      <c r="I2340" s="9" t="s">
        <v>6719</v>
      </c>
      <c r="J2340" s="25" t="e">
        <f>IF(cst_shinsei_strtower17_prgo04_NINTEI__umu="有",IF(shinsei_strtower17_prgo04_NAME="","",shinsei_strtower17_prgo04_NAME&amp;" ")&amp;IF(shinsei_strtower17_prgo04_VER="","","Ver."&amp;shinsei_strtower17_prgo04_VER&amp;"  "),"")</f>
        <v>#NAME?</v>
      </c>
    </row>
    <row r="2341" spans="2:12" s="10" customFormat="1" ht="18" customHeight="1">
      <c r="C2341" s="12" t="s">
        <v>3981</v>
      </c>
      <c r="D2341" s="12"/>
      <c r="G2341" s="9"/>
      <c r="H2341" s="12"/>
    </row>
    <row r="2342" spans="2:12" s="10" customFormat="1" ht="18" customHeight="1">
      <c r="D2342" s="12" t="s">
        <v>3975</v>
      </c>
      <c r="G2342" s="9"/>
      <c r="H2342" s="12"/>
      <c r="I2342" s="9" t="s">
        <v>6720</v>
      </c>
      <c r="J2342" s="173" t="e">
        <f>IF(cst_shinsei_strtower17_prgo04_NINTEI__umu="無",IF(shinsei_strtower17_prgo04_MAKER_NAME="","",shinsei_strtower17_prgo04_MAKER_NAME&amp;"  "),"")</f>
        <v>#NAME?</v>
      </c>
    </row>
    <row r="2343" spans="2:12" s="10" customFormat="1" ht="18" customHeight="1">
      <c r="D2343" s="12" t="s">
        <v>3972</v>
      </c>
      <c r="G2343" s="9"/>
      <c r="H2343" s="12"/>
      <c r="I2343" s="9" t="s">
        <v>6721</v>
      </c>
      <c r="J2343" s="25" t="e">
        <f>IF(cst_shinsei_strtower17_prgo04_NINTEI__umu="無",IF(shinsei_strtower17_prgo04_NAME="","",shinsei_strtower17_prgo04_NAME&amp;" ")&amp;IF(shinsei_strtower17_prgo04_VER="","","Ver."&amp;shinsei_strtower17_prgo04_VER&amp;"  "),"")</f>
        <v>#NAME?</v>
      </c>
    </row>
    <row r="2344" spans="2:12" s="10" customFormat="1" ht="18" customHeight="1">
      <c r="B2344" s="105" t="s">
        <v>4049</v>
      </c>
      <c r="C2344" s="105"/>
      <c r="D2344" s="105"/>
      <c r="E2344" s="24"/>
      <c r="F2344" s="24"/>
      <c r="G2344" s="9"/>
      <c r="H2344" s="12"/>
    </row>
    <row r="2345" spans="2:12" s="10" customFormat="1" ht="18" customHeight="1">
      <c r="C2345" s="10" t="s">
        <v>3951</v>
      </c>
      <c r="D2345" s="12"/>
      <c r="G2345" s="9" t="s">
        <v>6722</v>
      </c>
      <c r="H2345" s="13"/>
    </row>
    <row r="2346" spans="2:12" s="10" customFormat="1" ht="18" customHeight="1">
      <c r="C2346" s="12" t="s">
        <v>3954</v>
      </c>
      <c r="D2346" s="12"/>
      <c r="G2346" s="9" t="s">
        <v>6723</v>
      </c>
      <c r="H2346" s="13"/>
    </row>
    <row r="2347" spans="2:12" s="10" customFormat="1" ht="18" customHeight="1">
      <c r="C2347" s="12" t="s">
        <v>3957</v>
      </c>
      <c r="D2347" s="12"/>
      <c r="G2347" s="9"/>
      <c r="H2347" s="9"/>
      <c r="I2347" s="10" t="s">
        <v>6724</v>
      </c>
      <c r="J2347" s="25" t="e">
        <f>IF(shinsei_strtower17_prgo05_NAME="","",IF(shinsei_strtower17_prgo05_NINTEI_NO="","無","有"))</f>
        <v>#NAME?</v>
      </c>
      <c r="K2347" s="10" t="s">
        <v>2941</v>
      </c>
      <c r="L2347" s="10" t="s">
        <v>3879</v>
      </c>
    </row>
    <row r="2348" spans="2:12" s="10" customFormat="1" ht="18" customHeight="1">
      <c r="C2348" s="12" t="s">
        <v>3960</v>
      </c>
      <c r="D2348" s="12"/>
      <c r="G2348" s="9" t="s">
        <v>6725</v>
      </c>
      <c r="H2348" s="13"/>
      <c r="K2348" s="10" t="s">
        <v>3862</v>
      </c>
      <c r="L2348" s="10" t="s">
        <v>3879</v>
      </c>
    </row>
    <row r="2349" spans="2:12" s="10" customFormat="1" ht="18" customHeight="1">
      <c r="C2349" s="12" t="s">
        <v>3964</v>
      </c>
      <c r="D2349" s="12"/>
      <c r="G2349" s="9" t="s">
        <v>6726</v>
      </c>
      <c r="H2349" s="74"/>
      <c r="I2349" s="10" t="s">
        <v>6727</v>
      </c>
      <c r="J2349" s="25" t="e">
        <f>IF(shinsei_strtower17_prgo05_NINTEI_DATE="","",TEXT(shinsei_strtower17_prgo05_NINTEI_DATE,"ggge年m月d日")&amp;"  ")</f>
        <v>#NAME?</v>
      </c>
    </row>
    <row r="2350" spans="2:12" s="10" customFormat="1" ht="18" customHeight="1">
      <c r="C2350" s="12" t="s">
        <v>3967</v>
      </c>
      <c r="D2350" s="12"/>
      <c r="G2350" s="9" t="s">
        <v>6728</v>
      </c>
      <c r="H2350" s="13"/>
    </row>
    <row r="2351" spans="2:12" s="10" customFormat="1" ht="18" customHeight="1">
      <c r="C2351" s="12" t="s">
        <v>3970</v>
      </c>
      <c r="D2351" s="12"/>
      <c r="G2351" s="9"/>
      <c r="H2351" s="12"/>
      <c r="I2351" s="9" t="s">
        <v>6729</v>
      </c>
      <c r="J2351" s="25" t="e">
        <f>IF(shinsei_strtower17_prgo05_NAME="","",shinsei_strtower17_prgo05_NAME)&amp;CHAR(10)&amp;IF(shinsei_strtower17_prgo05_VER="","","Ver."&amp;shinsei_strtower17_prgo05_VER&amp;CHAR(10))</f>
        <v>#NAME?</v>
      </c>
    </row>
    <row r="2352" spans="2:12" s="10" customFormat="1" ht="18" customHeight="1">
      <c r="C2352" s="12" t="s">
        <v>3972</v>
      </c>
      <c r="D2352" s="12"/>
      <c r="G2352" s="9"/>
      <c r="H2352" s="12"/>
      <c r="I2352" s="9" t="s">
        <v>6730</v>
      </c>
      <c r="J2352" s="25" t="e">
        <f>IF(shinsei_strtower17_prgo05_NAME="","",shinsei_strtower17_prgo05_NAME&amp;" ")&amp;IF(shinsei_strtower17_prgo05_VER="","","Ver."&amp;shinsei_strtower17_prgo05_VER&amp;"  ")</f>
        <v>#NAME?</v>
      </c>
    </row>
    <row r="2353" spans="2:10" s="10" customFormat="1" ht="18" customHeight="1">
      <c r="C2353" s="12" t="s">
        <v>3974</v>
      </c>
      <c r="D2353" s="12"/>
      <c r="G2353" s="9"/>
      <c r="H2353" s="12"/>
    </row>
    <row r="2354" spans="2:10" s="10" customFormat="1" ht="18" customHeight="1">
      <c r="D2354" s="12" t="s">
        <v>3975</v>
      </c>
      <c r="G2354" s="9"/>
      <c r="H2354" s="12"/>
      <c r="I2354" s="9" t="s">
        <v>6731</v>
      </c>
      <c r="J2354" s="173" t="e">
        <f>IF(cst_shinsei_strtower17_prgo05_NINTEI__umu="有",IF(shinsei_strtower17_prgo05_MAKER_NAME="","",shinsei_strtower17_prgo05_MAKER_NAME&amp;"  "),"")</f>
        <v>#NAME?</v>
      </c>
    </row>
    <row r="2355" spans="2:10" s="10" customFormat="1" ht="18" customHeight="1">
      <c r="D2355" s="12" t="s">
        <v>3972</v>
      </c>
      <c r="G2355" s="9"/>
      <c r="H2355" s="12"/>
      <c r="I2355" s="9" t="s">
        <v>6732</v>
      </c>
      <c r="J2355" s="25" t="e">
        <f>IF(cst_shinsei_strtower17_prgo05_NINTEI__umu="有",IF(shinsei_strtower17_prgo05_NAME="","",shinsei_strtower17_prgo05_NAME&amp;" ")&amp;IF(shinsei_strtower17_prgo05_VER="","","Ver."&amp;shinsei_strtower17_prgo05_VER&amp;"  "),"")</f>
        <v>#NAME?</v>
      </c>
    </row>
    <row r="2356" spans="2:10" s="10" customFormat="1" ht="18" customHeight="1">
      <c r="C2356" s="12" t="s">
        <v>3981</v>
      </c>
      <c r="D2356" s="12"/>
      <c r="G2356" s="9"/>
      <c r="H2356" s="12"/>
    </row>
    <row r="2357" spans="2:10" s="10" customFormat="1" ht="18" customHeight="1">
      <c r="D2357" s="12" t="s">
        <v>3975</v>
      </c>
      <c r="G2357" s="9"/>
      <c r="H2357" s="12"/>
      <c r="I2357" s="9" t="s">
        <v>6733</v>
      </c>
      <c r="J2357" s="173" t="e">
        <f>IF(cst_shinsei_strtower17_prgo05_NINTEI__umu="無",IF(shinsei_strtower17_prgo05_MAKER_NAME="","",shinsei_strtower17_prgo05_MAKER_NAME&amp;"  "),"")</f>
        <v>#NAME?</v>
      </c>
    </row>
    <row r="2358" spans="2:10" s="10" customFormat="1" ht="18" customHeight="1">
      <c r="D2358" s="12" t="s">
        <v>3972</v>
      </c>
      <c r="G2358" s="9"/>
      <c r="H2358" s="12"/>
      <c r="I2358" s="9" t="s">
        <v>6734</v>
      </c>
      <c r="J2358" s="25" t="e">
        <f>IF(cst_shinsei_strtower17_prgo05_NINTEI__umu="無",IF(shinsei_strtower17_prgo05_NAME="","",shinsei_strtower17_prgo05_NAME&amp;" ")&amp;IF(shinsei_strtower17_prgo05_VER="","","Ver."&amp;shinsei_strtower17_prgo05_VER&amp;"  "),"")</f>
        <v>#NAME?</v>
      </c>
    </row>
    <row r="2359" spans="2:10" s="10" customFormat="1" ht="18" customHeight="1">
      <c r="B2359" s="13" t="s">
        <v>3827</v>
      </c>
      <c r="C2359" s="13"/>
      <c r="D2359" s="13"/>
      <c r="E2359" s="25"/>
      <c r="F2359" s="25"/>
      <c r="G2359" s="9"/>
      <c r="H2359" s="80"/>
      <c r="I2359" s="9"/>
      <c r="J2359" s="80"/>
    </row>
    <row r="2360" spans="2:10" s="10" customFormat="1" ht="18" customHeight="1">
      <c r="C2360" s="12" t="s">
        <v>3970</v>
      </c>
      <c r="D2360" s="12"/>
      <c r="G2360" s="9"/>
      <c r="H2360" s="80"/>
      <c r="I2360" s="166" t="s">
        <v>6735</v>
      </c>
      <c r="J2360" s="74" t="e">
        <f>cst_shinsei_strtower17_prgo01_NAME_VER&amp;cst_shinsei_strtower17_prgo02_NAME_VER&amp;cst_shinsei_strtower17_prgo03_NAME_VER&amp;cst_shinsei_strtower17_prgo04_NAME_VER&amp;cst_shinsei_strtower17_prgo05_NAME_VER</f>
        <v>#NAME?</v>
      </c>
    </row>
    <row r="2361" spans="2:10" s="10" customFormat="1" ht="18" customHeight="1">
      <c r="C2361" s="12" t="s">
        <v>3972</v>
      </c>
      <c r="D2361" s="12"/>
      <c r="G2361" s="9"/>
      <c r="H2361" s="80"/>
      <c r="I2361" s="166" t="s">
        <v>6736</v>
      </c>
      <c r="J2361" s="74" t="e">
        <f>cst_shinsei_strtower17_prgo01_NAME_VER__SP&amp;cst_shinsei_strtower17_prgo02_NAME_VER__SP&amp;cst_shinsei_strtower17_prgo03_NAME_VER__SP&amp;cst_shinsei_strtower17_prgo04_NAME_VER__SP&amp;cst_shinsei_strtower17_prgo05_NAME_VER__SP</f>
        <v>#NAME?</v>
      </c>
    </row>
    <row r="2362" spans="2:10" s="10" customFormat="1" ht="18" customHeight="1">
      <c r="B2362" s="13" t="s">
        <v>4068</v>
      </c>
      <c r="C2362" s="13"/>
      <c r="D2362" s="13"/>
      <c r="E2362" s="25"/>
      <c r="F2362" s="25"/>
      <c r="G2362" s="9"/>
      <c r="H2362" s="80"/>
      <c r="I2362" s="9"/>
      <c r="J2362" s="80"/>
    </row>
    <row r="2363" spans="2:10" s="10" customFormat="1" ht="18" customHeight="1">
      <c r="C2363" s="12" t="s">
        <v>6279</v>
      </c>
      <c r="D2363" s="12"/>
      <c r="G2363" s="9"/>
      <c r="H2363" s="80"/>
      <c r="I2363" s="166" t="s">
        <v>6737</v>
      </c>
      <c r="J2363" s="74" t="e">
        <f>cst_shinsei_strtower17_prgo01_MAKER__NINTEI_ari&amp;cst_shinsei_strtower17_prgo02_MAKER__NINTEI_ari&amp;cst_shinsei_strtower17_prgo03_MAKER__NINTEI_ari&amp;cst_shinsei_strtower17_prgo04_MAKER__NINTEI_ari&amp;cst_shinsei_strtower17_prgo05_MAKER__NINTEI_ari</f>
        <v>#NAME?</v>
      </c>
    </row>
    <row r="2364" spans="2:10" s="10" customFormat="1" ht="18" customHeight="1">
      <c r="C2364" s="12" t="s">
        <v>3972</v>
      </c>
      <c r="D2364" s="12"/>
      <c r="G2364" s="9"/>
      <c r="H2364" s="80"/>
      <c r="I2364" s="166" t="s">
        <v>6738</v>
      </c>
      <c r="J2364" s="173" t="e">
        <f>cst_shinsei_strtower17_prgo01_NAME_VER__NINTEI_ari&amp;cst_shinsei_strtower17_prgo02_NAME_VER__NINTEI_ari&amp;cst_shinsei_strtower17_prgo03_NAME_VER__NINTEI_ari&amp;cst_shinsei_strtower17_prgo04_NAME_VER__NINTEI_ari&amp;cst_shinsei_strtower17_prgo05_NAME_VER__NINTEI_ari</f>
        <v>#NAME?</v>
      </c>
    </row>
    <row r="2365" spans="2:10" s="10" customFormat="1" ht="18" customHeight="1">
      <c r="C2365" s="12" t="s">
        <v>3964</v>
      </c>
      <c r="D2365" s="12"/>
      <c r="G2365" s="9"/>
      <c r="H2365" s="80"/>
      <c r="I2365" s="166" t="s">
        <v>6739</v>
      </c>
      <c r="J2365" s="74" t="e">
        <f>cst_shinsei_strtower17_prgo01_NINTEI_DATE_dsp&amp;cst_shinsei_strtower17_prgo02_NINTEI_DATE_dsp&amp;cst_shinsei_strtower17_prgo03_NINTEI_DATE_dsp&amp;cst_shinsei_strtower17_prgo04_NINTEI_DATE_dsp&amp;cst_shinsei_strtower17_prgo05_NINTEI_DATE_dsp</f>
        <v>#NAME?</v>
      </c>
    </row>
    <row r="2366" spans="2:10" s="10" customFormat="1" ht="18" customHeight="1">
      <c r="B2366" s="13" t="s">
        <v>4072</v>
      </c>
      <c r="C2366" s="13"/>
      <c r="D2366" s="13"/>
      <c r="E2366" s="25"/>
      <c r="F2366" s="25"/>
      <c r="G2366" s="9"/>
      <c r="H2366" s="80"/>
      <c r="I2366" s="9"/>
      <c r="J2366" s="80"/>
    </row>
    <row r="2367" spans="2:10" s="10" customFormat="1" ht="18" customHeight="1">
      <c r="C2367" s="12" t="s">
        <v>3975</v>
      </c>
      <c r="D2367" s="12"/>
      <c r="G2367" s="9"/>
      <c r="H2367" s="80"/>
      <c r="I2367" s="166" t="s">
        <v>6740</v>
      </c>
      <c r="J2367" s="74" t="e">
        <f>cst_shinsei_strtower17_prgo01_MAKER__NINTEI_non&amp;cst_shinsei_strtower17_prgo02_MAKER__NINTEI_non&amp;cst_shinsei_strtower17_prgo03_MAKER__NINTEI_non&amp;cst_shinsei_strtower17_prgo04_MAKER__NINTEI_non&amp;cst_shinsei_strtower17_prgo05_MAKER__NINTEI_non</f>
        <v>#NAME?</v>
      </c>
    </row>
    <row r="2368" spans="2:10" s="10" customFormat="1" ht="18" customHeight="1">
      <c r="C2368" s="12" t="s">
        <v>3972</v>
      </c>
      <c r="D2368" s="12"/>
      <c r="G2368" s="9"/>
      <c r="H2368" s="80"/>
      <c r="I2368" s="166" t="s">
        <v>6741</v>
      </c>
      <c r="J2368" s="173" t="e">
        <f>cst_shinsei_strtower17_prgo01_NAME_VER__NINTEI_non&amp;cst_shinsei_strtower17_prgo02_NAME_VER__NINTEI_non&amp;cst_shinsei_strtower17_prgo03_NAME_VER__NINTEI_non&amp;cst_shinsei_strtower17_prgo04_NAME_VER__NINTEI_non&amp;cst_shinsei_strtower17_prgo05_NAME_VER__NINTEI_non</f>
        <v>#NAME?</v>
      </c>
    </row>
    <row r="2369" spans="1:12" s="10" customFormat="1" ht="18" customHeight="1">
      <c r="B2369" s="12" t="s">
        <v>4075</v>
      </c>
      <c r="G2369" s="9" t="s">
        <v>6742</v>
      </c>
      <c r="H2369" s="20"/>
      <c r="I2369" s="9" t="s">
        <v>6743</v>
      </c>
      <c r="J2369" s="20" t="e">
        <f>IF(shinsei_strtower17_DISK_FLAG="","",IF(shinsei_strtower17_DISK_FLAG=1,"有","無"))</f>
        <v>#NAME?</v>
      </c>
    </row>
    <row r="2370" spans="1:12" s="10" customFormat="1" ht="18" customHeight="1">
      <c r="A2370" s="9"/>
      <c r="B2370" s="9" t="s">
        <v>2955</v>
      </c>
      <c r="C2370" s="9"/>
      <c r="D2370" s="9"/>
      <c r="E2370" s="9"/>
      <c r="F2370" s="9"/>
      <c r="G2370" s="9" t="s">
        <v>6744</v>
      </c>
      <c r="H2370" s="136"/>
      <c r="I2370" s="19" t="s">
        <v>6745</v>
      </c>
      <c r="J2370" s="171" t="e">
        <f>IF(shinsei_strtower17_CHARGE="","",shinsei_strtower17_CHARGE)</f>
        <v>#NAME?</v>
      </c>
      <c r="K2370" s="9" t="s">
        <v>2528</v>
      </c>
      <c r="L2370" s="9" t="s">
        <v>2528</v>
      </c>
    </row>
    <row r="2371" spans="1:12" ht="18" customHeight="1">
      <c r="A2371" s="149"/>
      <c r="B2371" s="149"/>
      <c r="C2371" s="149"/>
      <c r="D2371" s="149"/>
      <c r="E2371" s="12" t="s">
        <v>3907</v>
      </c>
      <c r="F2371" s="12"/>
      <c r="G2371" s="149"/>
      <c r="I2371" s="100" t="s">
        <v>6746</v>
      </c>
      <c r="J2371" s="171" t="e">
        <f>IF(shinsei_strtower17_CHARGE="","",TEXT(shinsei_strtower17_CHARGE,"#,##0_ ")&amp;"円")</f>
        <v>#NAME?</v>
      </c>
      <c r="K2371" s="9"/>
      <c r="L2371" s="9"/>
    </row>
    <row r="2372" spans="1:12" ht="18" customHeight="1">
      <c r="A2372" s="149"/>
      <c r="B2372" s="149" t="s">
        <v>3041</v>
      </c>
      <c r="C2372" s="149"/>
      <c r="D2372" s="149"/>
      <c r="E2372" s="149"/>
      <c r="F2372" s="149"/>
      <c r="G2372" s="149" t="s">
        <v>6747</v>
      </c>
      <c r="H2372" s="136"/>
      <c r="I2372" s="100" t="s">
        <v>6748</v>
      </c>
      <c r="J2372" s="136" t="e">
        <f>IF(shinsei_strtower17_CHARGE_WARIMASHI="","",shinsei_strtower17_CHARGE_WARIMASHI)</f>
        <v>#NAME?</v>
      </c>
      <c r="K2372" s="9" t="s">
        <v>2528</v>
      </c>
      <c r="L2372" s="9" t="s">
        <v>2528</v>
      </c>
    </row>
    <row r="2373" spans="1:12" ht="18" customHeight="1">
      <c r="A2373" s="149"/>
      <c r="B2373" s="149" t="s">
        <v>3043</v>
      </c>
      <c r="C2373" s="149"/>
      <c r="D2373" s="149"/>
      <c r="E2373" s="149"/>
      <c r="F2373" s="149"/>
      <c r="G2373" s="149" t="s">
        <v>6749</v>
      </c>
      <c r="H2373" s="136"/>
      <c r="I2373" s="100" t="s">
        <v>6750</v>
      </c>
      <c r="J2373" s="136" t="e">
        <f>IF(shinsei_strtower17_CHARGE_TOTAL="","",shinsei_strtower17_CHARGE_TOTAL)</f>
        <v>#NAME?</v>
      </c>
      <c r="K2373" s="9" t="s">
        <v>2528</v>
      </c>
      <c r="L2373" s="9" t="s">
        <v>2528</v>
      </c>
    </row>
    <row r="2374" spans="1:12" ht="18" customHeight="1">
      <c r="A2374" s="149"/>
      <c r="B2374" s="149" t="s">
        <v>5637</v>
      </c>
      <c r="C2374" s="149"/>
      <c r="D2374" s="149"/>
      <c r="E2374" s="149"/>
      <c r="F2374" s="149"/>
      <c r="G2374" s="149" t="s">
        <v>6751</v>
      </c>
      <c r="H2374" s="13"/>
      <c r="I2374" s="176" t="s">
        <v>6752</v>
      </c>
      <c r="J2374" s="20" t="e">
        <f>IF(shinsei_strtower17_CHARGE_KEISAN_NOTE="","",shinsei_strtower17_CHARGE_KEISAN_NOTE)</f>
        <v>#NAME?</v>
      </c>
      <c r="K2374" s="10" t="s">
        <v>3862</v>
      </c>
      <c r="L2374" s="10" t="s">
        <v>3879</v>
      </c>
    </row>
    <row r="2375" spans="1:12" ht="18" customHeight="1">
      <c r="A2375" s="149"/>
      <c r="B2375" s="149"/>
      <c r="C2375" s="149"/>
      <c r="D2375" s="149"/>
      <c r="E2375" s="149" t="s">
        <v>5640</v>
      </c>
      <c r="F2375" s="149"/>
      <c r="G2375" s="149"/>
      <c r="I2375" s="100" t="s">
        <v>6753</v>
      </c>
      <c r="J2375" s="20" t="e">
        <f>IF(shinsei_INSPECTION_TYPE="計画変更",IF(shinsei_strtower17_CHARGE="","","延べ面積×1/2により算出"),IF(shinsei_strtower17_CHARGE_KEISAN_NOTE="","",shinsei_strtower17_CHARGE_KEISAN_NOTE))</f>
        <v>#NAME?</v>
      </c>
    </row>
    <row r="2376" spans="1:12" ht="18" customHeight="1">
      <c r="A2376" s="149"/>
      <c r="B2376" s="149" t="s">
        <v>5642</v>
      </c>
      <c r="C2376" s="149"/>
      <c r="D2376" s="149"/>
      <c r="E2376" s="149"/>
      <c r="F2376" s="149"/>
      <c r="G2376" s="149" t="s">
        <v>6754</v>
      </c>
      <c r="H2376" s="13"/>
      <c r="I2376" s="149" t="s">
        <v>6755</v>
      </c>
      <c r="J2376" s="20" t="e">
        <f>IF(shinsei_strtower17_KEISAN_X_ROUTE="","",shinsei_strtower17_KEISAN_X_ROUTE)</f>
        <v>#NAME?</v>
      </c>
    </row>
    <row r="2377" spans="1:12" ht="18" customHeight="1">
      <c r="A2377" s="149"/>
      <c r="B2377" s="149" t="s">
        <v>5645</v>
      </c>
      <c r="C2377" s="149"/>
      <c r="D2377" s="149"/>
      <c r="E2377" s="149"/>
      <c r="F2377" s="149"/>
      <c r="G2377" s="149" t="s">
        <v>6756</v>
      </c>
      <c r="H2377" s="13"/>
      <c r="I2377" s="149" t="s">
        <v>6757</v>
      </c>
      <c r="J2377" s="20" t="e">
        <f>IF(shinsei_strtower17_KEISAN_Y_ROUTE="","",shinsei_strtower17_KEISAN_Y_ROUTE)</f>
        <v>#NAME?</v>
      </c>
    </row>
    <row r="2378" spans="1:12" ht="18" customHeight="1">
      <c r="A2378" s="149"/>
      <c r="B2378" s="149"/>
      <c r="C2378" s="149" t="s">
        <v>3805</v>
      </c>
      <c r="D2378" s="149"/>
      <c r="E2378" s="149"/>
      <c r="F2378" s="149"/>
      <c r="G2378" s="149"/>
      <c r="H2378" s="12"/>
      <c r="I2378" s="149" t="s">
        <v>6758</v>
      </c>
      <c r="J2378" s="20" t="e">
        <f>IF(AND(cst_shinsei_strtower17_KEISAN_X_ROUTE="3",cst_shinsei_strtower17_KEISAN_Y_ROUTE="3"),"■","□")</f>
        <v>#NAME?</v>
      </c>
    </row>
    <row r="2379" spans="1:12" ht="18" customHeight="1">
      <c r="A2379" s="149"/>
      <c r="B2379" s="149" t="s">
        <v>5650</v>
      </c>
      <c r="C2379" s="149"/>
      <c r="D2379" s="149"/>
      <c r="E2379" s="149"/>
      <c r="F2379" s="149"/>
      <c r="G2379" s="149" t="s">
        <v>6759</v>
      </c>
      <c r="H2379" s="13"/>
      <c r="I2379" s="149" t="s">
        <v>6760</v>
      </c>
      <c r="J2379" s="20" t="e">
        <f>IF(shinsei_strtower17_PROGRAM_KIND_SONOTA="","",shinsei_strtower17_PROGRAM_KIND_SONOTA)</f>
        <v>#NAME?</v>
      </c>
    </row>
    <row r="2380" spans="1:12" ht="18" customHeight="1">
      <c r="A2380" s="149"/>
      <c r="B2380" s="149"/>
      <c r="C2380" s="149"/>
      <c r="D2380" s="149"/>
      <c r="E2380" s="149"/>
      <c r="F2380" s="149"/>
      <c r="G2380" s="149"/>
      <c r="I2380" s="149"/>
    </row>
    <row r="2381" spans="1:12" s="10" customFormat="1" ht="18" customHeight="1">
      <c r="A2381" s="162" t="s">
        <v>3127</v>
      </c>
      <c r="B2381" s="162"/>
      <c r="C2381" s="162"/>
      <c r="D2381" s="162"/>
      <c r="E2381" s="163"/>
      <c r="F2381" s="163"/>
      <c r="G2381" s="164"/>
      <c r="H2381" s="165"/>
      <c r="I2381" s="9"/>
    </row>
    <row r="2382" spans="1:12" s="10" customFormat="1" ht="18" customHeight="1">
      <c r="A2382" s="12"/>
      <c r="B2382" s="12" t="s">
        <v>3859</v>
      </c>
      <c r="C2382" s="12"/>
      <c r="D2382" s="12"/>
      <c r="E2382" s="11"/>
      <c r="F2382" s="11"/>
      <c r="G2382" s="10" t="s">
        <v>6761</v>
      </c>
      <c r="H2382" s="13"/>
      <c r="I2382" s="19" t="s">
        <v>6762</v>
      </c>
      <c r="J2382" s="25" t="e">
        <f>IF(shinsei_strtower18_TOWER_NO="","",shinsei_strtower18_TOWER_NO)</f>
        <v>#NAME?</v>
      </c>
      <c r="K2382" s="10" t="s">
        <v>3862</v>
      </c>
    </row>
    <row r="2383" spans="1:12" s="10" customFormat="1" ht="18" customHeight="1">
      <c r="A2383" s="12"/>
      <c r="B2383" s="12" t="s">
        <v>3864</v>
      </c>
      <c r="C2383" s="12"/>
      <c r="D2383" s="12"/>
      <c r="E2383" s="11"/>
      <c r="F2383" s="11"/>
      <c r="G2383" s="9" t="s">
        <v>6763</v>
      </c>
      <c r="H2383" s="13"/>
      <c r="I2383" s="19" t="s">
        <v>6764</v>
      </c>
      <c r="J2383" s="25" t="e">
        <f>IF(shinsei_strtower18_STR_TOWER_NO="","",shinsei_strtower18_STR_TOWER_NO)</f>
        <v>#NAME?</v>
      </c>
      <c r="K2383" s="10" t="s">
        <v>3862</v>
      </c>
      <c r="L2383" s="10" t="s">
        <v>3879</v>
      </c>
    </row>
    <row r="2384" spans="1:12" s="166" customFormat="1" ht="18" customHeight="1">
      <c r="B2384" s="12" t="s">
        <v>3868</v>
      </c>
      <c r="I2384" s="9" t="s">
        <v>6765</v>
      </c>
      <c r="J2384" s="167" t="e">
        <f>CONCATENATE(cst_shinsei_strtower18_TOWER_NO," - ",cst_shinsei_strtower18_STR_TOWER_NO)</f>
        <v>#NAME?</v>
      </c>
    </row>
    <row r="2385" spans="1:12" s="166" customFormat="1" ht="18" customHeight="1">
      <c r="B2385" s="12" t="s">
        <v>3870</v>
      </c>
      <c r="I2385" s="9" t="s">
        <v>6766</v>
      </c>
      <c r="J2385" s="167" t="e">
        <f>CONCATENATE(cst_shinsei_strtower18_STR_TOWER_NO," ／ ",cst_shinsei_STR_SHINSEI_TOWERS)</f>
        <v>#NAME?</v>
      </c>
    </row>
    <row r="2386" spans="1:12" s="10" customFormat="1" ht="18" customHeight="1">
      <c r="A2386" s="12"/>
      <c r="B2386" s="12" t="s">
        <v>3872</v>
      </c>
      <c r="C2386" s="11"/>
      <c r="D2386" s="11"/>
      <c r="E2386" s="11"/>
      <c r="F2386" s="11"/>
      <c r="G2386" s="9" t="s">
        <v>6767</v>
      </c>
      <c r="H2386" s="13"/>
      <c r="I2386" s="9" t="s">
        <v>6768</v>
      </c>
      <c r="J2386" s="25" t="e">
        <f>IF(shinsei_strtower18_STR_TOWER_NAME="","",shinsei_strtower18_STR_TOWER_NAME)</f>
        <v>#NAME?</v>
      </c>
    </row>
    <row r="2387" spans="1:12" s="10" customFormat="1" ht="18" customHeight="1">
      <c r="A2387" s="12"/>
      <c r="B2387" s="12" t="s">
        <v>3875</v>
      </c>
      <c r="C2387" s="12"/>
      <c r="D2387" s="12"/>
      <c r="E2387" s="11"/>
      <c r="F2387" s="11"/>
      <c r="G2387" s="9" t="s">
        <v>6769</v>
      </c>
      <c r="H2387" s="20"/>
      <c r="I2387" s="20" t="s">
        <v>6770</v>
      </c>
      <c r="J2387" s="25" t="e">
        <f>IF(shinsei_strtower18_JUDGE="","",shinsei_strtower18_JUDGE)</f>
        <v>#NAME?</v>
      </c>
      <c r="K2387" s="10" t="s">
        <v>3878</v>
      </c>
      <c r="L2387" s="10" t="s">
        <v>3879</v>
      </c>
    </row>
    <row r="2388" spans="1:12" s="10" customFormat="1" ht="18" customHeight="1">
      <c r="A2388" s="12"/>
      <c r="B2388" s="12" t="s">
        <v>4441</v>
      </c>
      <c r="C2388" s="12"/>
      <c r="D2388" s="12"/>
      <c r="E2388" s="11"/>
      <c r="F2388" s="11"/>
      <c r="G2388" s="9" t="s">
        <v>6771</v>
      </c>
      <c r="H2388" s="13"/>
      <c r="I2388" s="9" t="s">
        <v>6772</v>
      </c>
      <c r="J2388" s="25" t="e">
        <f>IF(shinsei_strtower18_STR_TOWER_YOUTO_TEXT="","",shinsei_strtower18_STR_TOWER_YOUTO_TEXT)</f>
        <v>#NAME?</v>
      </c>
      <c r="K2388" s="10" t="s">
        <v>7921</v>
      </c>
      <c r="L2388" s="10" t="s">
        <v>3879</v>
      </c>
    </row>
    <row r="2389" spans="1:12" s="10" customFormat="1" ht="18" customHeight="1">
      <c r="A2389" s="12"/>
      <c r="B2389" s="12" t="s">
        <v>3790</v>
      </c>
      <c r="C2389" s="12"/>
      <c r="D2389" s="12"/>
      <c r="E2389" s="11"/>
      <c r="F2389" s="11"/>
      <c r="G2389" s="9" t="s">
        <v>6773</v>
      </c>
      <c r="H2389" s="13"/>
      <c r="I2389" s="9" t="s">
        <v>6774</v>
      </c>
      <c r="J2389" s="25" t="e">
        <f>IF(shinsei_strtower18_KOUJI_TEXT="","",shinsei_strtower18_KOUJI_TEXT)</f>
        <v>#NAME?</v>
      </c>
      <c r="K2389" s="10" t="s">
        <v>3862</v>
      </c>
      <c r="L2389" s="10" t="s">
        <v>3879</v>
      </c>
    </row>
    <row r="2390" spans="1:12" s="10" customFormat="1" ht="18" customHeight="1">
      <c r="A2390" s="12"/>
      <c r="B2390" s="12" t="s">
        <v>3888</v>
      </c>
      <c r="C2390" s="11"/>
      <c r="D2390" s="11"/>
      <c r="E2390" s="11"/>
      <c r="F2390" s="11"/>
      <c r="G2390" s="9" t="s">
        <v>6775</v>
      </c>
      <c r="H2390" s="13"/>
      <c r="I2390" s="9" t="s">
        <v>6776</v>
      </c>
      <c r="J2390" s="25" t="e">
        <f>IF(shinsei_strtower18_KOUZOU_TEXT="","",shinsei_strtower18_KOUZOU_TEXT)</f>
        <v>#NAME?</v>
      </c>
    </row>
    <row r="2391" spans="1:12" s="10" customFormat="1" ht="18" customHeight="1">
      <c r="A2391" s="12"/>
      <c r="B2391" s="12" t="s">
        <v>3888</v>
      </c>
      <c r="C2391" s="12"/>
      <c r="D2391" s="12"/>
      <c r="E2391" s="11"/>
      <c r="F2391" s="11"/>
      <c r="G2391" s="9" t="s">
        <v>6777</v>
      </c>
      <c r="H2391" s="13"/>
      <c r="I2391" s="9" t="s">
        <v>6778</v>
      </c>
      <c r="J2391" s="25" t="e">
        <f>IF(shinsei_strtower18_KOUZOU_TEXT="","",shinsei_strtower18_KOUZOU_TEXT)</f>
        <v>#NAME?</v>
      </c>
    </row>
    <row r="2392" spans="1:12" s="10" customFormat="1" ht="18" customHeight="1">
      <c r="A2392" s="12"/>
      <c r="B2392" s="12" t="s">
        <v>3893</v>
      </c>
      <c r="C2392" s="11"/>
      <c r="D2392" s="11"/>
      <c r="E2392" s="11"/>
      <c r="F2392" s="11"/>
      <c r="G2392" s="9" t="s">
        <v>6779</v>
      </c>
      <c r="H2392" s="13"/>
      <c r="I2392" s="9" t="s">
        <v>6780</v>
      </c>
      <c r="J2392" s="25" t="e">
        <f>IF(shinsei_strtower18_KOUZOU_KEISAN="","",shinsei_strtower18_KOUZOU_KEISAN)</f>
        <v>#NAME?</v>
      </c>
    </row>
    <row r="2393" spans="1:12" s="10" customFormat="1" ht="18" customHeight="1">
      <c r="A2393" s="12"/>
      <c r="B2393" s="12" t="s">
        <v>3893</v>
      </c>
      <c r="C2393" s="12"/>
      <c r="D2393" s="12"/>
      <c r="E2393" s="11"/>
      <c r="F2393" s="11"/>
      <c r="G2393" s="9" t="s">
        <v>6781</v>
      </c>
      <c r="H2393" s="13"/>
      <c r="I2393" s="10" t="s">
        <v>6782</v>
      </c>
      <c r="J2393" s="25" t="e">
        <f>IF(shinsei_strtower18_KOUZOU_KEISAN_TEXT="","",shinsei_strtower18_KOUZOU_KEISAN_TEXT)</f>
        <v>#NAME?</v>
      </c>
    </row>
    <row r="2394" spans="1:12" s="10" customFormat="1" ht="18" customHeight="1">
      <c r="A2394" s="12"/>
      <c r="B2394" s="12" t="s">
        <v>3902</v>
      </c>
      <c r="C2394" s="12"/>
      <c r="D2394" s="12"/>
      <c r="E2394" s="11"/>
      <c r="F2394" s="11"/>
      <c r="G2394" s="9" t="s">
        <v>6783</v>
      </c>
      <c r="H2394" s="65"/>
      <c r="I2394" s="19" t="s">
        <v>6784</v>
      </c>
      <c r="J2394" s="168" t="e">
        <f>IF(shinsei_strtower18_MENSEKI="","",shinsei_strtower18_MENSEKI)</f>
        <v>#NAME?</v>
      </c>
      <c r="K2394" s="10" t="s">
        <v>3906</v>
      </c>
      <c r="L2394" s="10" t="s">
        <v>3906</v>
      </c>
    </row>
    <row r="2395" spans="1:12" ht="18" customHeight="1">
      <c r="A2395" s="12"/>
      <c r="B2395" s="12"/>
      <c r="C2395" s="12"/>
      <c r="D2395" s="12"/>
      <c r="E2395" s="12" t="s">
        <v>3907</v>
      </c>
      <c r="F2395" s="12"/>
      <c r="G2395" s="9"/>
      <c r="H2395" s="9"/>
      <c r="I2395" s="9" t="s">
        <v>6785</v>
      </c>
      <c r="J2395" s="168" t="e">
        <f>IF(shinsei_strtower18_MENSEKI="","",TEXT(shinsei_strtower18_MENSEKI,"#,##0.00_ ")&amp;"㎡")</f>
        <v>#NAME?</v>
      </c>
    </row>
    <row r="2396" spans="1:12" s="10" customFormat="1" ht="18" customHeight="1">
      <c r="A2396" s="12"/>
      <c r="B2396" s="12" t="s">
        <v>4390</v>
      </c>
      <c r="C2396" s="12"/>
      <c r="D2396" s="12"/>
      <c r="E2396" s="11"/>
      <c r="F2396" s="11"/>
      <c r="G2396" s="9" t="s">
        <v>6786</v>
      </c>
      <c r="H2396" s="93"/>
      <c r="I2396" s="9" t="s">
        <v>6787</v>
      </c>
      <c r="J2396" s="170" t="e">
        <f>IF(shinsei_strtower18_MAX_TAKASA="","",shinsei_strtower18_MAX_TAKASA)</f>
        <v>#NAME?</v>
      </c>
      <c r="K2396" s="10" t="s">
        <v>3911</v>
      </c>
      <c r="L2396" s="10" t="s">
        <v>3911</v>
      </c>
    </row>
    <row r="2397" spans="1:12" s="10" customFormat="1" ht="18" customHeight="1">
      <c r="A2397" s="12"/>
      <c r="B2397" s="12" t="s">
        <v>4388</v>
      </c>
      <c r="C2397" s="11"/>
      <c r="D2397" s="11"/>
      <c r="E2397" s="11"/>
      <c r="F2397" s="11"/>
      <c r="G2397" s="9" t="s">
        <v>6788</v>
      </c>
      <c r="H2397" s="93"/>
      <c r="I2397" s="9" t="s">
        <v>6789</v>
      </c>
      <c r="J2397" s="170" t="e">
        <f>IF(shinsei_strtower18_MAX_NOKI_TAKASA="","",shinsei_strtower18_MAX_NOKI_TAKASA)</f>
        <v>#NAME?</v>
      </c>
    </row>
    <row r="2398" spans="1:12" s="10" customFormat="1" ht="18" customHeight="1">
      <c r="A2398" s="12"/>
      <c r="B2398" s="12" t="s">
        <v>3782</v>
      </c>
      <c r="C2398" s="12"/>
      <c r="D2398" s="12"/>
      <c r="E2398" s="11"/>
      <c r="F2398" s="11"/>
      <c r="G2398" s="9"/>
      <c r="H2398" s="9"/>
      <c r="I2398" s="9"/>
    </row>
    <row r="2399" spans="1:12" s="10" customFormat="1" ht="18" customHeight="1">
      <c r="A2399" s="12"/>
      <c r="B2399" s="12"/>
      <c r="C2399" s="11" t="s">
        <v>3783</v>
      </c>
      <c r="D2399" s="12"/>
      <c r="G2399" s="9" t="s">
        <v>6790</v>
      </c>
      <c r="H2399" s="136"/>
      <c r="I2399" s="9" t="s">
        <v>6791</v>
      </c>
      <c r="J2399" s="171" t="e">
        <f>IF(shinsei_strtower18_KAISU_TIJYOU="","",shinsei_strtower18_KAISU_TIJYOU)</f>
        <v>#NAME?</v>
      </c>
      <c r="K2399" s="10" t="s">
        <v>3916</v>
      </c>
      <c r="L2399" s="10" t="s">
        <v>3916</v>
      </c>
    </row>
    <row r="2400" spans="1:12" s="10" customFormat="1" ht="18" customHeight="1">
      <c r="A2400" s="12"/>
      <c r="B2400" s="12"/>
      <c r="C2400" s="11" t="s">
        <v>3785</v>
      </c>
      <c r="D2400" s="12"/>
      <c r="G2400" s="9" t="s">
        <v>6792</v>
      </c>
      <c r="H2400" s="136"/>
      <c r="I2400" s="9" t="s">
        <v>6793</v>
      </c>
      <c r="J2400" s="171" t="e">
        <f>IF(shinsei_strtower18_KAISU_TIKA="","",shinsei_strtower18_KAISU_TIKA)</f>
        <v>#NAME?</v>
      </c>
      <c r="K2400" s="10" t="s">
        <v>3916</v>
      </c>
      <c r="L2400" s="10" t="s">
        <v>3916</v>
      </c>
    </row>
    <row r="2401" spans="1:12" s="10" customFormat="1" ht="18" customHeight="1">
      <c r="A2401" s="12"/>
      <c r="B2401" s="12"/>
      <c r="C2401" s="11" t="s">
        <v>3787</v>
      </c>
      <c r="D2401" s="12"/>
      <c r="G2401" s="9" t="s">
        <v>6794</v>
      </c>
      <c r="H2401" s="136"/>
      <c r="I2401" s="9" t="s">
        <v>6795</v>
      </c>
      <c r="J2401" s="171" t="e">
        <f>IF(shinsei_strtower18_KAISU_TOUYA="","",shinsei_strtower18_KAISU_TOUYA)</f>
        <v>#NAME?</v>
      </c>
      <c r="K2401" s="10" t="s">
        <v>3916</v>
      </c>
      <c r="L2401" s="10" t="s">
        <v>3916</v>
      </c>
    </row>
    <row r="2402" spans="1:12" s="10" customFormat="1" ht="18" customHeight="1">
      <c r="B2402" s="12" t="s">
        <v>3923</v>
      </c>
      <c r="G2402" s="9" t="s">
        <v>6796</v>
      </c>
      <c r="H2402" s="13"/>
      <c r="I2402" s="10" t="s">
        <v>6797</v>
      </c>
      <c r="J2402" s="25" t="e">
        <f>IF(shinsei_strtower18_BUILD_KUBUN="","",shinsei_strtower18_BUILD_KUBUN)</f>
        <v>#NAME?</v>
      </c>
    </row>
    <row r="2403" spans="1:12" s="10" customFormat="1" ht="18" customHeight="1">
      <c r="B2403" s="12" t="s">
        <v>3923</v>
      </c>
      <c r="C2403" s="12"/>
      <c r="D2403" s="12"/>
      <c r="G2403" s="9" t="s">
        <v>6798</v>
      </c>
      <c r="H2403" s="13"/>
      <c r="I2403" s="10" t="s">
        <v>6799</v>
      </c>
      <c r="J2403" s="25" t="e">
        <f>IF(shinsei_strtower18_BUILD_KUBUN_TEXT="","",shinsei_strtower18_BUILD_KUBUN_TEXT)</f>
        <v>#NAME?</v>
      </c>
      <c r="K2403" s="10" t="s">
        <v>3862</v>
      </c>
    </row>
    <row r="2404" spans="1:12" s="10" customFormat="1" ht="18" customHeight="1">
      <c r="A2404" s="149"/>
      <c r="B2404" s="149"/>
      <c r="C2404" s="149" t="s">
        <v>3801</v>
      </c>
      <c r="D2404" s="149"/>
      <c r="E2404" s="149"/>
      <c r="F2404" s="149"/>
      <c r="G2404" s="149"/>
      <c r="H2404" s="12"/>
      <c r="I2404" s="149" t="s">
        <v>6800</v>
      </c>
      <c r="J2404" s="20" t="e">
        <f>IF(shinsei_strtower18_BUILD_KUBUN_TEXT="建築基準法第20条第２号に掲げる建築物","■","□")</f>
        <v>#NAME?</v>
      </c>
    </row>
    <row r="2405" spans="1:12" s="10" customFormat="1" ht="18" customHeight="1">
      <c r="A2405" s="149"/>
      <c r="B2405" s="149"/>
      <c r="C2405" s="149" t="s">
        <v>3801</v>
      </c>
      <c r="D2405" s="149"/>
      <c r="E2405" s="149"/>
      <c r="F2405" s="149"/>
      <c r="G2405" s="149"/>
      <c r="H2405" s="12"/>
      <c r="I2405" s="149" t="s">
        <v>6801</v>
      </c>
      <c r="J2405" s="20" t="e">
        <f>IF(shinsei_strtower18_BUILD_KUBUN_TEXT="建築基準法第20条第３号に掲げる建築物","■","□")</f>
        <v>#NAME?</v>
      </c>
    </row>
    <row r="2406" spans="1:12" s="10" customFormat="1" ht="18" customHeight="1">
      <c r="A2406" s="12"/>
      <c r="B2406" s="12" t="s">
        <v>3932</v>
      </c>
      <c r="C2406" s="12"/>
      <c r="D2406" s="12"/>
      <c r="E2406" s="11"/>
      <c r="F2406" s="11"/>
      <c r="G2406" s="9" t="s">
        <v>6802</v>
      </c>
      <c r="H2406" s="13"/>
      <c r="I2406" s="9" t="s">
        <v>6803</v>
      </c>
      <c r="J2406" s="25" t="e">
        <f>IF(shinsei_strtower18_MENJYO_TEXT="","",shinsei_strtower18_MENJYO_TEXT)</f>
        <v>#NAME?</v>
      </c>
      <c r="K2406" s="10" t="s">
        <v>3862</v>
      </c>
    </row>
    <row r="2407" spans="1:12" s="10" customFormat="1" ht="18" customHeight="1">
      <c r="A2407" s="12"/>
      <c r="B2407" s="12" t="s">
        <v>3935</v>
      </c>
      <c r="C2407" s="12"/>
      <c r="D2407" s="12"/>
      <c r="E2407" s="11"/>
      <c r="F2407" s="11"/>
      <c r="G2407" s="9" t="s">
        <v>6804</v>
      </c>
      <c r="H2407" s="20"/>
      <c r="I2407" s="9" t="s">
        <v>6805</v>
      </c>
      <c r="J2407" s="25" t="e">
        <f>IF(shinsei_strtower18_PROGRAM_KIND="","",shinsei_strtower18_PROGRAM_KIND)</f>
        <v>#NAME?</v>
      </c>
      <c r="K2407" s="10" t="s">
        <v>5704</v>
      </c>
    </row>
    <row r="2408" spans="1:12" s="10" customFormat="1" ht="18" customHeight="1">
      <c r="B2408" s="12" t="s">
        <v>3939</v>
      </c>
      <c r="C2408" s="12"/>
      <c r="D2408" s="12"/>
      <c r="G2408" s="9" t="s">
        <v>6806</v>
      </c>
      <c r="H2408" s="13"/>
      <c r="I2408" s="10" t="s">
        <v>6807</v>
      </c>
      <c r="J2408" s="25" t="e">
        <f>IF(shinsei_strtower18_REI80_2_KOKUJI_TEXT="","",shinsei_strtower18_REI80_2_KOKUJI_TEXT)</f>
        <v>#NAME?</v>
      </c>
    </row>
    <row r="2409" spans="1:12" s="10" customFormat="1" ht="18" customHeight="1">
      <c r="B2409" s="12" t="s">
        <v>3943</v>
      </c>
      <c r="C2409" s="12"/>
      <c r="D2409" s="12"/>
      <c r="G2409" s="9" t="s">
        <v>6808</v>
      </c>
      <c r="H2409" s="13"/>
      <c r="I2409" s="10" t="s">
        <v>6809</v>
      </c>
      <c r="J2409" s="25" t="e">
        <f>IF(shinsei_strtower18_PROGRAM_KIND__nintei__box="■",2,IF(OR(shinsei_strtower18_PROGRAM_KIND__hyouka__box="■",shinsei_strtower18_PROGRAM_KIND__sonota__box="■"),1,0))</f>
        <v>#NAME?</v>
      </c>
      <c r="K2409" s="10" t="s">
        <v>3946</v>
      </c>
    </row>
    <row r="2410" spans="1:12" s="10" customFormat="1" ht="18" customHeight="1">
      <c r="B2410" s="12" t="s">
        <v>3947</v>
      </c>
      <c r="C2410" s="12"/>
      <c r="D2410" s="12"/>
      <c r="G2410" s="9" t="s">
        <v>6810</v>
      </c>
      <c r="H2410" s="13"/>
    </row>
    <row r="2411" spans="1:12" s="10" customFormat="1" ht="18" customHeight="1">
      <c r="B2411" s="12" t="s">
        <v>4305</v>
      </c>
      <c r="C2411" s="12"/>
      <c r="D2411" s="12"/>
      <c r="G2411" s="9" t="s">
        <v>6811</v>
      </c>
      <c r="H2411" s="13"/>
    </row>
    <row r="2412" spans="1:12" s="10" customFormat="1" ht="18" customHeight="1">
      <c r="B2412" s="105" t="s">
        <v>3950</v>
      </c>
      <c r="C2412" s="105"/>
      <c r="D2412" s="105"/>
      <c r="E2412" s="24"/>
      <c r="F2412" s="24"/>
      <c r="G2412" s="9"/>
      <c r="H2412" s="12"/>
    </row>
    <row r="2413" spans="1:12" s="10" customFormat="1" ht="18" customHeight="1">
      <c r="C2413" s="10" t="s">
        <v>3951</v>
      </c>
      <c r="D2413" s="12"/>
      <c r="G2413" s="9" t="s">
        <v>6812</v>
      </c>
      <c r="H2413" s="13"/>
      <c r="K2413" s="10" t="s">
        <v>3862</v>
      </c>
      <c r="L2413" s="10" t="s">
        <v>3879</v>
      </c>
    </row>
    <row r="2414" spans="1:12" s="10" customFormat="1" ht="18" customHeight="1">
      <c r="C2414" s="12" t="s">
        <v>3954</v>
      </c>
      <c r="D2414" s="12"/>
      <c r="E2414" s="12"/>
      <c r="F2414" s="12"/>
      <c r="G2414" s="9" t="s">
        <v>6813</v>
      </c>
      <c r="H2414" s="13"/>
    </row>
    <row r="2415" spans="1:12" s="10" customFormat="1" ht="18" customHeight="1">
      <c r="C2415" s="12" t="s">
        <v>3957</v>
      </c>
      <c r="D2415" s="12"/>
      <c r="G2415" s="9"/>
      <c r="H2415" s="9"/>
      <c r="I2415" s="10" t="s">
        <v>6814</v>
      </c>
      <c r="J2415" s="25" t="e">
        <f>IF(shinsei_strtower18_prgo01_NAME="","",IF(shinsei_strtower18_prgo01_NINTEI_NO="","無","有"))</f>
        <v>#NAME?</v>
      </c>
      <c r="K2415" s="10" t="s">
        <v>3959</v>
      </c>
      <c r="L2415" s="10" t="s">
        <v>3879</v>
      </c>
    </row>
    <row r="2416" spans="1:12" s="10" customFormat="1" ht="18" customHeight="1">
      <c r="C2416" s="12" t="s">
        <v>3960</v>
      </c>
      <c r="D2416" s="12"/>
      <c r="G2416" s="9" t="s">
        <v>6815</v>
      </c>
      <c r="H2416" s="13"/>
      <c r="I2416" s="10" t="s">
        <v>6816</v>
      </c>
      <c r="J2416" s="25" t="e">
        <f>IF(shinsei_strtower18_prgo01_NINTEI_NO="","",shinsei_strtower18_prgo01_NINTEI_NO)</f>
        <v>#NAME?</v>
      </c>
      <c r="K2416" s="10" t="s">
        <v>3862</v>
      </c>
      <c r="L2416" s="10" t="s">
        <v>3879</v>
      </c>
    </row>
    <row r="2417" spans="2:12" s="10" customFormat="1" ht="18" customHeight="1">
      <c r="C2417" s="12" t="s">
        <v>3964</v>
      </c>
      <c r="D2417" s="12"/>
      <c r="G2417" s="9" t="s">
        <v>6817</v>
      </c>
      <c r="H2417" s="74"/>
      <c r="I2417" s="10" t="s">
        <v>6818</v>
      </c>
      <c r="J2417" s="25" t="e">
        <f>IF(shinsei_strtower18_prgo01_NINTEI_DATE="","",TEXT(shinsei_strtower18_prgo01_NINTEI_DATE,"ggge年m月d日")&amp;"  ")</f>
        <v>#NAME?</v>
      </c>
    </row>
    <row r="2418" spans="2:12" s="10" customFormat="1" ht="18" customHeight="1">
      <c r="C2418" s="12" t="s">
        <v>3967</v>
      </c>
      <c r="D2418" s="12"/>
      <c r="G2418" s="9" t="s">
        <v>6819</v>
      </c>
      <c r="H2418" s="13"/>
    </row>
    <row r="2419" spans="2:12" s="10" customFormat="1" ht="18" customHeight="1">
      <c r="C2419" s="12" t="s">
        <v>3970</v>
      </c>
      <c r="D2419" s="12"/>
      <c r="G2419" s="9"/>
      <c r="H2419" s="12"/>
      <c r="I2419" s="9" t="s">
        <v>6820</v>
      </c>
      <c r="J2419" s="25" t="e">
        <f>IF(shinsei_strtower18_prgo01_NAME="","",shinsei_strtower18_prgo01_NAME)&amp;CHAR(10)&amp;IF(shinsei_strtower18_prgo01_VER="","","Ver."&amp;shinsei_strtower18_prgo01_VER&amp;CHAR(10))</f>
        <v>#NAME?</v>
      </c>
    </row>
    <row r="2420" spans="2:12" s="10" customFormat="1" ht="18" customHeight="1">
      <c r="C2420" s="12" t="s">
        <v>3972</v>
      </c>
      <c r="D2420" s="12"/>
      <c r="G2420" s="9"/>
      <c r="H2420" s="12"/>
      <c r="I2420" s="9" t="s">
        <v>6821</v>
      </c>
      <c r="J2420" s="25" t="e">
        <f>IF(shinsei_strtower18_prgo01_NAME="","",shinsei_strtower18_prgo01_NAME&amp;" ")&amp;IF(shinsei_strtower18_prgo01_VER="","","Ver."&amp;shinsei_strtower18_prgo01_VER&amp;"  ")</f>
        <v>#NAME?</v>
      </c>
    </row>
    <row r="2421" spans="2:12" s="10" customFormat="1" ht="18" customHeight="1">
      <c r="C2421" s="12" t="s">
        <v>3974</v>
      </c>
      <c r="D2421" s="12"/>
      <c r="G2421" s="9"/>
      <c r="H2421" s="12"/>
    </row>
    <row r="2422" spans="2:12" s="10" customFormat="1" ht="18" customHeight="1">
      <c r="D2422" s="12" t="s">
        <v>3975</v>
      </c>
      <c r="G2422" s="9"/>
      <c r="H2422" s="12"/>
      <c r="I2422" s="9" t="s">
        <v>6822</v>
      </c>
      <c r="J2422" s="173" t="e">
        <f>IF(cst_shinsei_strtower18_prgo01_NINTEI__umu="有",IF(shinsei_strtower18_prgo01_MAKER_NAME="","",shinsei_strtower18_prgo01_MAKER_NAME&amp;"  "),"")</f>
        <v>#NAME?</v>
      </c>
    </row>
    <row r="2423" spans="2:12" s="10" customFormat="1" ht="18" customHeight="1">
      <c r="B2423" s="12"/>
      <c r="D2423" s="12" t="s">
        <v>3972</v>
      </c>
      <c r="G2423" s="9"/>
      <c r="H2423" s="12"/>
      <c r="I2423" s="9" t="s">
        <v>6823</v>
      </c>
      <c r="J2423" s="25" t="e">
        <f>IF(cst_shinsei_strtower18_prgo01_NINTEI__umu="有",IF(shinsei_strtower18_prgo01_NAME="","",shinsei_strtower18_prgo01_NAME&amp;" ")&amp;IF(shinsei_strtower18_prgo01_VER="","","Ver."&amp;shinsei_strtower18_prgo01_VER&amp;"  "),"")</f>
        <v>#NAME?</v>
      </c>
    </row>
    <row r="2424" spans="2:12" s="10" customFormat="1" ht="18" customHeight="1">
      <c r="C2424" s="12" t="s">
        <v>3981</v>
      </c>
      <c r="D2424" s="12"/>
      <c r="G2424" s="9"/>
      <c r="H2424" s="12"/>
    </row>
    <row r="2425" spans="2:12" s="10" customFormat="1" ht="18" customHeight="1">
      <c r="B2425" s="12"/>
      <c r="D2425" s="12" t="s">
        <v>3975</v>
      </c>
      <c r="G2425" s="9"/>
      <c r="H2425" s="12"/>
      <c r="I2425" s="9" t="s">
        <v>6824</v>
      </c>
      <c r="J2425" s="173" t="e">
        <f>IF(cst_shinsei_strtower18_prgo01_NINTEI__umu="無",IF(shinsei_strtower18_prgo01_MAKER_NAME="","",shinsei_strtower18_prgo01_MAKER_NAME&amp;"  "),"")</f>
        <v>#NAME?</v>
      </c>
    </row>
    <row r="2426" spans="2:12" s="10" customFormat="1" ht="18" customHeight="1">
      <c r="B2426" s="12"/>
      <c r="D2426" s="12" t="s">
        <v>3972</v>
      </c>
      <c r="G2426" s="9"/>
      <c r="H2426" s="12"/>
      <c r="I2426" s="9" t="s">
        <v>6825</v>
      </c>
      <c r="J2426" s="25" t="e">
        <f>IF(cst_shinsei_strtower18_prgo01_NINTEI__umu="無",IF(shinsei_strtower18_prgo01_NAME="","",shinsei_strtower18_prgo01_NAME&amp;" ")&amp;IF(shinsei_strtower18_prgo01_VER="","","Ver."&amp;shinsei_strtower18_prgo01_VER&amp;"  "),"")</f>
        <v>#NAME?</v>
      </c>
    </row>
    <row r="2427" spans="2:12" s="10" customFormat="1" ht="18" customHeight="1">
      <c r="B2427" s="105" t="s">
        <v>4000</v>
      </c>
      <c r="C2427" s="105"/>
      <c r="D2427" s="105"/>
      <c r="E2427" s="24"/>
      <c r="F2427" s="24"/>
      <c r="G2427" s="9"/>
      <c r="H2427" s="12"/>
    </row>
    <row r="2428" spans="2:12" s="10" customFormat="1" ht="18" customHeight="1">
      <c r="C2428" s="10" t="s">
        <v>3951</v>
      </c>
      <c r="D2428" s="12"/>
      <c r="G2428" s="9" t="s">
        <v>6826</v>
      </c>
      <c r="H2428" s="13"/>
      <c r="K2428" s="10" t="s">
        <v>3862</v>
      </c>
      <c r="L2428" s="10" t="s">
        <v>3879</v>
      </c>
    </row>
    <row r="2429" spans="2:12" s="10" customFormat="1" ht="18" customHeight="1">
      <c r="C2429" s="12" t="s">
        <v>3954</v>
      </c>
      <c r="D2429" s="12"/>
      <c r="G2429" s="9" t="s">
        <v>6827</v>
      </c>
      <c r="H2429" s="13"/>
    </row>
    <row r="2430" spans="2:12" s="10" customFormat="1" ht="18" customHeight="1">
      <c r="C2430" s="12" t="s">
        <v>3957</v>
      </c>
      <c r="D2430" s="12"/>
      <c r="G2430" s="9"/>
      <c r="H2430" s="9"/>
      <c r="I2430" s="10" t="s">
        <v>6828</v>
      </c>
      <c r="J2430" s="25" t="e">
        <f>IF(shinsei_strtower18_prgo02_NAME="","",IF(shinsei_strtower18_prgo02_NINTEI_NO="","無","有"))</f>
        <v>#NAME?</v>
      </c>
      <c r="K2430" s="10" t="s">
        <v>2941</v>
      </c>
      <c r="L2430" s="10" t="s">
        <v>3879</v>
      </c>
    </row>
    <row r="2431" spans="2:12" s="10" customFormat="1" ht="18" customHeight="1">
      <c r="C2431" s="12" t="s">
        <v>3960</v>
      </c>
      <c r="D2431" s="12"/>
      <c r="G2431" s="9" t="s">
        <v>6829</v>
      </c>
      <c r="H2431" s="13"/>
      <c r="I2431" s="10" t="s">
        <v>6830</v>
      </c>
      <c r="J2431" s="25" t="e">
        <f>IF(shinsei_strtower18_prgo02_NINTEI_NO="","",shinsei_strtower18_prgo02_NINTEI_NO)</f>
        <v>#NAME?</v>
      </c>
      <c r="K2431" s="10" t="s">
        <v>3862</v>
      </c>
      <c r="L2431" s="10" t="s">
        <v>3879</v>
      </c>
    </row>
    <row r="2432" spans="2:12" s="10" customFormat="1" ht="18" customHeight="1">
      <c r="C2432" s="12" t="s">
        <v>3964</v>
      </c>
      <c r="D2432" s="12"/>
      <c r="G2432" s="9" t="s">
        <v>6831</v>
      </c>
      <c r="H2432" s="74"/>
      <c r="I2432" s="10" t="s">
        <v>6832</v>
      </c>
      <c r="J2432" s="25" t="e">
        <f>IF(shinsei_strtower18_prgo02_NINTEI_DATE="","",shinsei_strtower18_prgo02_NINTEI_DATE)</f>
        <v>#NAME?</v>
      </c>
    </row>
    <row r="2433" spans="2:12" s="10" customFormat="1" ht="18" customHeight="1">
      <c r="C2433" s="12" t="s">
        <v>3967</v>
      </c>
      <c r="D2433" s="12"/>
      <c r="G2433" s="9" t="s">
        <v>6833</v>
      </c>
      <c r="H2433" s="13"/>
    </row>
    <row r="2434" spans="2:12" s="10" customFormat="1" ht="18" customHeight="1">
      <c r="C2434" s="12" t="s">
        <v>3970</v>
      </c>
      <c r="D2434" s="12"/>
      <c r="G2434" s="9"/>
      <c r="H2434" s="12"/>
      <c r="I2434" s="9" t="s">
        <v>6834</v>
      </c>
      <c r="J2434" s="25" t="e">
        <f>IF(shinsei_strtower18_prgo02_NAME="","",shinsei_strtower18_prgo02_NAME)&amp;CHAR(10)&amp;IF(shinsei_strtower18_prgo02_VER="","","Ver."&amp;shinsei_strtower18_prgo02_VER&amp;CHAR(10))</f>
        <v>#NAME?</v>
      </c>
    </row>
    <row r="2435" spans="2:12" s="10" customFormat="1" ht="18" customHeight="1">
      <c r="C2435" s="12" t="s">
        <v>3972</v>
      </c>
      <c r="D2435" s="12"/>
      <c r="G2435" s="9"/>
      <c r="H2435" s="12"/>
      <c r="I2435" s="9" t="s">
        <v>6835</v>
      </c>
      <c r="J2435" s="25" t="e">
        <f>IF(shinsei_strtower18_prgo02_NAME="","",shinsei_strtower18_prgo02_NAME&amp;" ")&amp;IF(shinsei_strtower18_prgo02_VER="","","Ver."&amp;shinsei_strtower18_prgo02_VER&amp;"  ")</f>
        <v>#NAME?</v>
      </c>
    </row>
    <row r="2436" spans="2:12" s="10" customFormat="1" ht="18" customHeight="1">
      <c r="C2436" s="12" t="s">
        <v>3974</v>
      </c>
      <c r="D2436" s="12"/>
      <c r="G2436" s="9"/>
      <c r="H2436" s="12"/>
    </row>
    <row r="2437" spans="2:12" s="10" customFormat="1" ht="18" customHeight="1">
      <c r="D2437" s="12" t="s">
        <v>3975</v>
      </c>
      <c r="G2437" s="9"/>
      <c r="H2437" s="12"/>
      <c r="I2437" s="9" t="s">
        <v>6836</v>
      </c>
      <c r="J2437" s="173" t="e">
        <f>IF(cst_shinsei_strtower18_prgo02_NINTEI__umu="有",IF(shinsei_strtower18_prgo02_MAKER_NAME="","",shinsei_strtower18_prgo02_MAKER_NAME&amp;"  "),"")</f>
        <v>#NAME?</v>
      </c>
    </row>
    <row r="2438" spans="2:12" s="10" customFormat="1" ht="18" customHeight="1">
      <c r="D2438" s="12" t="s">
        <v>3972</v>
      </c>
      <c r="G2438" s="9"/>
      <c r="H2438" s="12"/>
      <c r="I2438" s="9" t="s">
        <v>6837</v>
      </c>
      <c r="J2438" s="25" t="e">
        <f>IF(cst_shinsei_strtower18_prgo02_NINTEI__umu="有",IF(shinsei_strtower18_prgo02_NAME="","",shinsei_strtower18_prgo02_NAME&amp;" ")&amp;IF(shinsei_strtower18_prgo02_VER="","","Ver."&amp;shinsei_strtower18_prgo02_VER&amp;"  "),"")</f>
        <v>#NAME?</v>
      </c>
    </row>
    <row r="2439" spans="2:12" s="10" customFormat="1" ht="18" customHeight="1">
      <c r="C2439" s="12" t="s">
        <v>3981</v>
      </c>
      <c r="D2439" s="12"/>
      <c r="G2439" s="9"/>
      <c r="H2439" s="12"/>
    </row>
    <row r="2440" spans="2:12" s="10" customFormat="1" ht="18" customHeight="1">
      <c r="D2440" s="12" t="s">
        <v>3975</v>
      </c>
      <c r="G2440" s="9"/>
      <c r="H2440" s="12"/>
      <c r="I2440" s="9" t="s">
        <v>6838</v>
      </c>
      <c r="J2440" s="173" t="e">
        <f>IF(cst_shinsei_strtower18_prgo02_NINTEI__umu="無",IF(shinsei_strtower18_prgo02_MAKER_NAME="","",shinsei_strtower18_prgo02_MAKER_NAME&amp;"  "),"")</f>
        <v>#NAME?</v>
      </c>
    </row>
    <row r="2441" spans="2:12" s="10" customFormat="1" ht="18" customHeight="1">
      <c r="D2441" s="12" t="s">
        <v>3972</v>
      </c>
      <c r="G2441" s="9"/>
      <c r="H2441" s="12"/>
      <c r="I2441" s="9" t="s">
        <v>6839</v>
      </c>
      <c r="J2441" s="25" t="e">
        <f>IF(cst_shinsei_strtower18_prgo02_NINTEI__umu="無",IF(shinsei_strtower18_prgo02_NAME="","",shinsei_strtower18_prgo02_NAME&amp;" ")&amp;IF(shinsei_strtower18_prgo02_VER="","","Ver."&amp;shinsei_strtower18_prgo02_VER&amp;"  "),"")</f>
        <v>#NAME?</v>
      </c>
    </row>
    <row r="2442" spans="2:12" s="10" customFormat="1" ht="18" customHeight="1">
      <c r="B2442" s="105" t="s">
        <v>4016</v>
      </c>
      <c r="C2442" s="105"/>
      <c r="D2442" s="105"/>
      <c r="E2442" s="24"/>
      <c r="F2442" s="24"/>
      <c r="G2442" s="9"/>
      <c r="H2442" s="12"/>
    </row>
    <row r="2443" spans="2:12" s="10" customFormat="1" ht="18" customHeight="1">
      <c r="C2443" s="10" t="s">
        <v>3951</v>
      </c>
      <c r="D2443" s="12"/>
      <c r="G2443" s="9" t="s">
        <v>6840</v>
      </c>
      <c r="H2443" s="13"/>
    </row>
    <row r="2444" spans="2:12" s="10" customFormat="1" ht="18" customHeight="1">
      <c r="C2444" s="12" t="s">
        <v>3954</v>
      </c>
      <c r="D2444" s="12"/>
      <c r="G2444" s="9" t="s">
        <v>6841</v>
      </c>
      <c r="H2444" s="13"/>
    </row>
    <row r="2445" spans="2:12" s="10" customFormat="1" ht="18" customHeight="1">
      <c r="C2445" s="12" t="s">
        <v>3957</v>
      </c>
      <c r="D2445" s="12"/>
      <c r="G2445" s="9"/>
      <c r="H2445" s="9"/>
      <c r="I2445" s="10" t="s">
        <v>6842</v>
      </c>
      <c r="J2445" s="25" t="e">
        <f>IF(shinsei_strtower18_prgo03_NAME="","",IF(shinsei_strtower18_prgo03_NINTEI_NO="","無","有"))</f>
        <v>#NAME?</v>
      </c>
      <c r="K2445" s="10" t="s">
        <v>2941</v>
      </c>
      <c r="L2445" s="10" t="s">
        <v>3879</v>
      </c>
    </row>
    <row r="2446" spans="2:12" s="10" customFormat="1" ht="18" customHeight="1">
      <c r="C2446" s="12" t="s">
        <v>3960</v>
      </c>
      <c r="D2446" s="12"/>
      <c r="G2446" s="9" t="s">
        <v>6843</v>
      </c>
      <c r="H2446" s="13"/>
      <c r="K2446" s="10" t="s">
        <v>3862</v>
      </c>
      <c r="L2446" s="10" t="s">
        <v>3879</v>
      </c>
    </row>
    <row r="2447" spans="2:12" s="10" customFormat="1" ht="18" customHeight="1">
      <c r="C2447" s="12" t="s">
        <v>3964</v>
      </c>
      <c r="D2447" s="12"/>
      <c r="G2447" s="9" t="s">
        <v>6844</v>
      </c>
      <c r="H2447" s="74"/>
      <c r="I2447" s="10" t="s">
        <v>6845</v>
      </c>
      <c r="J2447" s="25" t="e">
        <f>IF(shinsei_strtower18_prgo03_NINTEI_DATE="","",TEXT(shinsei_strtower18_prgo03_NINTEI_DATE,"ggge年m月d日")&amp;"  ")</f>
        <v>#NAME?</v>
      </c>
    </row>
    <row r="2448" spans="2:12" s="10" customFormat="1" ht="18" customHeight="1">
      <c r="C2448" s="12" t="s">
        <v>3967</v>
      </c>
      <c r="D2448" s="12"/>
      <c r="G2448" s="9" t="s">
        <v>6846</v>
      </c>
      <c r="H2448" s="13"/>
      <c r="I2448" s="9"/>
      <c r="J2448" s="9"/>
    </row>
    <row r="2449" spans="2:12" s="10" customFormat="1" ht="18" customHeight="1">
      <c r="C2449" s="12" t="s">
        <v>3970</v>
      </c>
      <c r="D2449" s="12"/>
      <c r="G2449" s="9"/>
      <c r="H2449" s="12"/>
      <c r="I2449" s="9" t="s">
        <v>6847</v>
      </c>
      <c r="J2449" s="25" t="e">
        <f>IF(shinsei_strtower18_prgo03_NAME="","",shinsei_strtower18_prgo03_NAME)&amp;CHAR(10)&amp;IF(shinsei_strtower18_prgo03_VER="","","Ver."&amp;shinsei_strtower18_prgo03_VER&amp;CHAR(10))</f>
        <v>#NAME?</v>
      </c>
    </row>
    <row r="2450" spans="2:12" s="10" customFormat="1" ht="18" customHeight="1">
      <c r="C2450" s="12" t="s">
        <v>3972</v>
      </c>
      <c r="D2450" s="12"/>
      <c r="G2450" s="9"/>
      <c r="H2450" s="12"/>
      <c r="I2450" s="9" t="s">
        <v>6848</v>
      </c>
      <c r="J2450" s="25" t="e">
        <f>IF(shinsei_strtower18_prgo03_NAME="","",shinsei_strtower18_prgo03_NAME&amp;" ")&amp;IF(shinsei_strtower18_prgo03_VER="","","Ver."&amp;shinsei_strtower18_prgo03_VER&amp;"  ")</f>
        <v>#NAME?</v>
      </c>
    </row>
    <row r="2451" spans="2:12" s="10" customFormat="1" ht="18" customHeight="1">
      <c r="C2451" s="12" t="s">
        <v>3974</v>
      </c>
      <c r="D2451" s="12"/>
      <c r="G2451" s="9"/>
      <c r="H2451" s="12"/>
    </row>
    <row r="2452" spans="2:12" s="10" customFormat="1" ht="18" customHeight="1">
      <c r="D2452" s="12" t="s">
        <v>3975</v>
      </c>
      <c r="G2452" s="9"/>
      <c r="H2452" s="12"/>
      <c r="I2452" s="9" t="s">
        <v>6849</v>
      </c>
      <c r="J2452" s="173" t="e">
        <f>IF(cst_shinsei_strtower18_prgo03_NINTEI__umu="有",IF(shinsei_strtower18_prgo03_MAKER_NAME="","",shinsei_strtower18_prgo03_MAKER_NAME&amp;"  "),"")</f>
        <v>#NAME?</v>
      </c>
    </row>
    <row r="2453" spans="2:12" s="10" customFormat="1" ht="18" customHeight="1">
      <c r="D2453" s="12" t="s">
        <v>3972</v>
      </c>
      <c r="G2453" s="9"/>
      <c r="H2453" s="12"/>
      <c r="I2453" s="9" t="s">
        <v>6850</v>
      </c>
      <c r="J2453" s="25" t="e">
        <f>IF(cst_shinsei_strtower18_prgo03_NINTEI__umu="有",IF(shinsei_strtower18_prgo03_NAME="","",shinsei_strtower18_prgo03_NAME&amp;" ")&amp;IF(shinsei_strtower18_prgo03_VER="","","Ver."&amp;shinsei_strtower18_prgo03_VER&amp;"  "),"")</f>
        <v>#NAME?</v>
      </c>
    </row>
    <row r="2454" spans="2:12" s="10" customFormat="1" ht="18" customHeight="1">
      <c r="C2454" s="12" t="s">
        <v>3981</v>
      </c>
      <c r="D2454" s="12"/>
      <c r="G2454" s="9"/>
      <c r="H2454" s="12"/>
    </row>
    <row r="2455" spans="2:12" s="10" customFormat="1" ht="18" customHeight="1">
      <c r="D2455" s="12" t="s">
        <v>3975</v>
      </c>
      <c r="G2455" s="9"/>
      <c r="H2455" s="12"/>
      <c r="I2455" s="9" t="s">
        <v>6851</v>
      </c>
      <c r="J2455" s="173" t="e">
        <f>IF(cst_shinsei_strtower18_prgo03_NINTEI__umu="無",IF(shinsei_strtower18_prgo03_MAKER_NAME="","",shinsei_strtower18_prgo03_MAKER_NAME&amp;"  "),"")</f>
        <v>#NAME?</v>
      </c>
    </row>
    <row r="2456" spans="2:12" s="10" customFormat="1" ht="18" customHeight="1">
      <c r="D2456" s="12" t="s">
        <v>3972</v>
      </c>
      <c r="G2456" s="9"/>
      <c r="H2456" s="12"/>
      <c r="I2456" s="9" t="s">
        <v>6852</v>
      </c>
      <c r="J2456" s="25" t="e">
        <f>IF(cst_shinsei_strtower18_prgo03_NINTEI__umu="無",IF(shinsei_strtower18_prgo03_NAME="","",shinsei_strtower18_prgo03_NAME&amp;" ")&amp;IF(shinsei_strtower18_prgo03_VER="","","Ver."&amp;shinsei_strtower18_prgo03_VER&amp;"  "),"")</f>
        <v>#NAME?</v>
      </c>
    </row>
    <row r="2457" spans="2:12" s="10" customFormat="1" ht="18" customHeight="1">
      <c r="B2457" s="105" t="s">
        <v>4031</v>
      </c>
      <c r="C2457" s="105"/>
      <c r="D2457" s="105"/>
      <c r="E2457" s="24"/>
      <c r="F2457" s="24"/>
      <c r="G2457" s="9"/>
      <c r="H2457" s="12"/>
    </row>
    <row r="2458" spans="2:12" s="10" customFormat="1" ht="18" customHeight="1">
      <c r="C2458" s="10" t="s">
        <v>3951</v>
      </c>
      <c r="D2458" s="12"/>
      <c r="G2458" s="9" t="s">
        <v>6853</v>
      </c>
      <c r="H2458" s="13"/>
    </row>
    <row r="2459" spans="2:12" s="10" customFormat="1" ht="18" customHeight="1">
      <c r="C2459" s="12" t="s">
        <v>3954</v>
      </c>
      <c r="D2459" s="12"/>
      <c r="G2459" s="9" t="s">
        <v>6854</v>
      </c>
      <c r="H2459" s="13"/>
    </row>
    <row r="2460" spans="2:12" s="10" customFormat="1" ht="18" customHeight="1">
      <c r="C2460" s="12" t="s">
        <v>3957</v>
      </c>
      <c r="D2460" s="12"/>
      <c r="G2460" s="9"/>
      <c r="H2460" s="9"/>
      <c r="I2460" s="10" t="s">
        <v>6855</v>
      </c>
      <c r="J2460" s="25" t="e">
        <f>IF(shinsei_strtower18_prgo04_NAME="","",IF(shinsei_strtower18_prgo04_NINTEI_NO="","無","有"))</f>
        <v>#NAME?</v>
      </c>
      <c r="K2460" s="10" t="s">
        <v>2941</v>
      </c>
      <c r="L2460" s="10" t="s">
        <v>3879</v>
      </c>
    </row>
    <row r="2461" spans="2:12" s="10" customFormat="1" ht="18" customHeight="1">
      <c r="C2461" s="12" t="s">
        <v>3960</v>
      </c>
      <c r="D2461" s="12"/>
      <c r="G2461" s="9" t="s">
        <v>6856</v>
      </c>
      <c r="H2461" s="13"/>
      <c r="K2461" s="10" t="s">
        <v>3862</v>
      </c>
      <c r="L2461" s="10" t="s">
        <v>3879</v>
      </c>
    </row>
    <row r="2462" spans="2:12" s="10" customFormat="1" ht="18" customHeight="1">
      <c r="C2462" s="12" t="s">
        <v>3964</v>
      </c>
      <c r="D2462" s="12"/>
      <c r="G2462" s="9" t="s">
        <v>6857</v>
      </c>
      <c r="H2462" s="74"/>
      <c r="I2462" s="10" t="s">
        <v>6858</v>
      </c>
      <c r="J2462" s="25" t="e">
        <f>IF(shinsei_strtower18_prgo04_NINTEI_DATE="","",TEXT(shinsei_strtower18_prgo04_NINTEI_DATE,"ggge年m月d日")&amp;"  ")</f>
        <v>#NAME?</v>
      </c>
    </row>
    <row r="2463" spans="2:12" s="10" customFormat="1" ht="18" customHeight="1">
      <c r="C2463" s="12" t="s">
        <v>3967</v>
      </c>
      <c r="D2463" s="12"/>
      <c r="G2463" s="9" t="s">
        <v>6859</v>
      </c>
      <c r="H2463" s="13"/>
      <c r="I2463" s="9"/>
      <c r="J2463" s="9"/>
    </row>
    <row r="2464" spans="2:12" s="10" customFormat="1" ht="18" customHeight="1">
      <c r="C2464" s="12" t="s">
        <v>3970</v>
      </c>
      <c r="D2464" s="12"/>
      <c r="G2464" s="9"/>
      <c r="H2464" s="12"/>
      <c r="I2464" s="9" t="s">
        <v>6860</v>
      </c>
      <c r="J2464" s="25" t="e">
        <f>IF(shinsei_strtower18_prgo04_NAME="","",shinsei_strtower18_prgo04_NAME)&amp;CHAR(10)&amp;IF(shinsei_strtower18_prgo04_VER="","","Ver."&amp;shinsei_strtower18_prgo04_VER&amp;CHAR(10))</f>
        <v>#NAME?</v>
      </c>
    </row>
    <row r="2465" spans="2:12" s="10" customFormat="1" ht="18" customHeight="1">
      <c r="C2465" s="12" t="s">
        <v>3972</v>
      </c>
      <c r="D2465" s="12"/>
      <c r="G2465" s="9"/>
      <c r="H2465" s="12"/>
      <c r="I2465" s="9" t="s">
        <v>6861</v>
      </c>
      <c r="J2465" s="25" t="e">
        <f>IF(shinsei_strtower18_prgo04_NAME="","",shinsei_strtower18_prgo04_NAME&amp;" ")&amp;IF(shinsei_strtower18_prgo04_VER="","","Ver."&amp;shinsei_strtower18_prgo04_VER&amp;"  ")</f>
        <v>#NAME?</v>
      </c>
    </row>
    <row r="2466" spans="2:12" s="10" customFormat="1" ht="18" customHeight="1">
      <c r="C2466" s="12" t="s">
        <v>3974</v>
      </c>
      <c r="D2466" s="12"/>
      <c r="G2466" s="9"/>
      <c r="H2466" s="12"/>
    </row>
    <row r="2467" spans="2:12" s="10" customFormat="1" ht="18" customHeight="1">
      <c r="D2467" s="12" t="s">
        <v>3975</v>
      </c>
      <c r="G2467" s="9"/>
      <c r="H2467" s="12"/>
      <c r="I2467" s="9" t="s">
        <v>6862</v>
      </c>
      <c r="J2467" s="173" t="e">
        <f>IF(cst_shinsei_strtower18_prgo04_NINTEI__umu="有",IF(shinsei_strtower18_prgo04_MAKER_NAME="","",shinsei_strtower18_prgo04_MAKER_NAME&amp;"  "),"")</f>
        <v>#NAME?</v>
      </c>
    </row>
    <row r="2468" spans="2:12" s="10" customFormat="1" ht="18" customHeight="1">
      <c r="D2468" s="12" t="s">
        <v>3972</v>
      </c>
      <c r="G2468" s="9"/>
      <c r="H2468" s="12"/>
      <c r="I2468" s="9" t="s">
        <v>6863</v>
      </c>
      <c r="J2468" s="25" t="e">
        <f>IF(cst_shinsei_strtower18_prgo04_NINTEI__umu="有",IF(shinsei_strtower18_prgo04_NAME="","",shinsei_strtower18_prgo04_NAME&amp;" ")&amp;IF(shinsei_strtower18_prgo04_VER="","","Ver."&amp;shinsei_strtower18_prgo04_VER&amp;"  "),"")</f>
        <v>#NAME?</v>
      </c>
    </row>
    <row r="2469" spans="2:12" s="10" customFormat="1" ht="18" customHeight="1">
      <c r="C2469" s="12" t="s">
        <v>3981</v>
      </c>
      <c r="D2469" s="12"/>
      <c r="G2469" s="9"/>
      <c r="H2469" s="12"/>
    </row>
    <row r="2470" spans="2:12" s="10" customFormat="1" ht="18" customHeight="1">
      <c r="D2470" s="12" t="s">
        <v>3975</v>
      </c>
      <c r="G2470" s="9"/>
      <c r="H2470" s="12"/>
      <c r="I2470" s="9" t="s">
        <v>6864</v>
      </c>
      <c r="J2470" s="173" t="e">
        <f>IF(cst_shinsei_strtower18_prgo04_NINTEI__umu="無",IF(shinsei_strtower18_prgo04_MAKER_NAME="","",shinsei_strtower18_prgo04_MAKER_NAME&amp;"  "),"")</f>
        <v>#NAME?</v>
      </c>
    </row>
    <row r="2471" spans="2:12" s="10" customFormat="1" ht="18" customHeight="1">
      <c r="D2471" s="12" t="s">
        <v>3972</v>
      </c>
      <c r="G2471" s="9"/>
      <c r="H2471" s="12"/>
      <c r="I2471" s="9" t="s">
        <v>6865</v>
      </c>
      <c r="J2471" s="25" t="e">
        <f>IF(cst_shinsei_strtower18_prgo04_NINTEI__umu="無",IF(shinsei_strtower18_prgo04_NAME="","",shinsei_strtower18_prgo04_NAME&amp;" ")&amp;IF(shinsei_strtower18_prgo04_VER="","","Ver."&amp;shinsei_strtower18_prgo04_VER&amp;"  "),"")</f>
        <v>#NAME?</v>
      </c>
    </row>
    <row r="2472" spans="2:12" s="10" customFormat="1" ht="18" customHeight="1">
      <c r="B2472" s="105" t="s">
        <v>4049</v>
      </c>
      <c r="C2472" s="105"/>
      <c r="D2472" s="105"/>
      <c r="E2472" s="24"/>
      <c r="F2472" s="24"/>
      <c r="G2472" s="9"/>
      <c r="H2472" s="12"/>
    </row>
    <row r="2473" spans="2:12" s="10" customFormat="1" ht="18" customHeight="1">
      <c r="C2473" s="10" t="s">
        <v>3951</v>
      </c>
      <c r="D2473" s="12"/>
      <c r="G2473" s="9" t="s">
        <v>6866</v>
      </c>
      <c r="H2473" s="13"/>
    </row>
    <row r="2474" spans="2:12" s="10" customFormat="1" ht="18" customHeight="1">
      <c r="C2474" s="12" t="s">
        <v>3954</v>
      </c>
      <c r="D2474" s="12"/>
      <c r="G2474" s="9" t="s">
        <v>6867</v>
      </c>
      <c r="H2474" s="13"/>
    </row>
    <row r="2475" spans="2:12" s="10" customFormat="1" ht="18" customHeight="1">
      <c r="C2475" s="12" t="s">
        <v>3957</v>
      </c>
      <c r="D2475" s="12"/>
      <c r="G2475" s="9"/>
      <c r="H2475" s="9"/>
      <c r="I2475" s="10" t="s">
        <v>6868</v>
      </c>
      <c r="J2475" s="25" t="e">
        <f>IF(shinsei_strtower18_prgo05_NAME="","",IF(shinsei_strtower18_prgo05_NINTEI_NO="","無","有"))</f>
        <v>#NAME?</v>
      </c>
      <c r="K2475" s="10" t="s">
        <v>2941</v>
      </c>
      <c r="L2475" s="10" t="s">
        <v>3879</v>
      </c>
    </row>
    <row r="2476" spans="2:12" s="10" customFormat="1" ht="18" customHeight="1">
      <c r="C2476" s="12" t="s">
        <v>3960</v>
      </c>
      <c r="D2476" s="12"/>
      <c r="G2476" s="9" t="s">
        <v>6869</v>
      </c>
      <c r="H2476" s="13"/>
      <c r="K2476" s="10" t="s">
        <v>3862</v>
      </c>
      <c r="L2476" s="10" t="s">
        <v>3879</v>
      </c>
    </row>
    <row r="2477" spans="2:12" s="10" customFormat="1" ht="18" customHeight="1">
      <c r="C2477" s="12" t="s">
        <v>3964</v>
      </c>
      <c r="D2477" s="12"/>
      <c r="G2477" s="9" t="s">
        <v>6870</v>
      </c>
      <c r="H2477" s="74"/>
      <c r="I2477" s="10" t="s">
        <v>6871</v>
      </c>
      <c r="J2477" s="25" t="e">
        <f>IF(shinsei_strtower18_prgo05_NINTEI_DATE="","",TEXT(shinsei_strtower18_prgo05_NINTEI_DATE,"ggge年m月d日")&amp;"  ")</f>
        <v>#NAME?</v>
      </c>
    </row>
    <row r="2478" spans="2:12" s="10" customFormat="1" ht="18" customHeight="1">
      <c r="C2478" s="12" t="s">
        <v>3967</v>
      </c>
      <c r="D2478" s="12"/>
      <c r="G2478" s="9" t="s">
        <v>6872</v>
      </c>
      <c r="H2478" s="13"/>
    </row>
    <row r="2479" spans="2:12" s="10" customFormat="1" ht="18" customHeight="1">
      <c r="C2479" s="12" t="s">
        <v>3970</v>
      </c>
      <c r="D2479" s="12"/>
      <c r="G2479" s="9"/>
      <c r="H2479" s="12"/>
      <c r="I2479" s="9" t="s">
        <v>6873</v>
      </c>
      <c r="J2479" s="25" t="e">
        <f>IF(shinsei_strtower18_prgo05_NAME="","",shinsei_strtower18_prgo05_NAME)&amp;CHAR(10)&amp;IF(shinsei_strtower18_prgo05_VER="","","Ver."&amp;shinsei_strtower18_prgo05_VER&amp;CHAR(10))</f>
        <v>#NAME?</v>
      </c>
    </row>
    <row r="2480" spans="2:12" s="10" customFormat="1" ht="18" customHeight="1">
      <c r="C2480" s="12" t="s">
        <v>3972</v>
      </c>
      <c r="D2480" s="12"/>
      <c r="G2480" s="9"/>
      <c r="H2480" s="12"/>
      <c r="I2480" s="9" t="s">
        <v>6874</v>
      </c>
      <c r="J2480" s="25" t="e">
        <f>IF(shinsei_strtower18_prgo05_NAME="","",shinsei_strtower18_prgo05_NAME&amp;" ")&amp;IF(shinsei_strtower18_prgo05_VER="","","Ver."&amp;shinsei_strtower18_prgo05_VER&amp;"  ")</f>
        <v>#NAME?</v>
      </c>
    </row>
    <row r="2481" spans="2:10" s="10" customFormat="1" ht="18" customHeight="1">
      <c r="C2481" s="12" t="s">
        <v>3974</v>
      </c>
      <c r="D2481" s="12"/>
      <c r="G2481" s="9"/>
      <c r="H2481" s="12"/>
    </row>
    <row r="2482" spans="2:10" s="10" customFormat="1" ht="18" customHeight="1">
      <c r="D2482" s="12" t="s">
        <v>3975</v>
      </c>
      <c r="G2482" s="9"/>
      <c r="H2482" s="12"/>
      <c r="I2482" s="9" t="s">
        <v>6875</v>
      </c>
      <c r="J2482" s="173" t="e">
        <f>IF(cst_shinsei_strtower18_prgo05_NINTEI__umu="有",IF(shinsei_strtower18_prgo05_MAKER_NAME="","",shinsei_strtower18_prgo05_MAKER_NAME&amp;"  "),"")</f>
        <v>#NAME?</v>
      </c>
    </row>
    <row r="2483" spans="2:10" s="10" customFormat="1" ht="18" customHeight="1">
      <c r="D2483" s="12" t="s">
        <v>3972</v>
      </c>
      <c r="G2483" s="9"/>
      <c r="H2483" s="12"/>
      <c r="I2483" s="9" t="s">
        <v>6876</v>
      </c>
      <c r="J2483" s="25" t="e">
        <f>IF(cst_shinsei_strtower18_prgo05_NINTEI__umu="有",IF(shinsei_strtower18_prgo05_NAME="","",shinsei_strtower18_prgo05_NAME&amp;" ")&amp;IF(shinsei_strtower18_prgo05_VER="","","Ver."&amp;shinsei_strtower18_prgo05_VER&amp;"  "),"")</f>
        <v>#NAME?</v>
      </c>
    </row>
    <row r="2484" spans="2:10" s="10" customFormat="1" ht="18" customHeight="1">
      <c r="C2484" s="12" t="s">
        <v>3981</v>
      </c>
      <c r="D2484" s="12"/>
      <c r="G2484" s="9"/>
      <c r="H2484" s="12"/>
    </row>
    <row r="2485" spans="2:10" s="10" customFormat="1" ht="18" customHeight="1">
      <c r="D2485" s="12" t="s">
        <v>3975</v>
      </c>
      <c r="G2485" s="9"/>
      <c r="H2485" s="12"/>
      <c r="I2485" s="9" t="s">
        <v>6877</v>
      </c>
      <c r="J2485" s="173" t="e">
        <f>IF(cst_shinsei_strtower18_prgo05_NINTEI__umu="無",IF(shinsei_strtower18_prgo05_MAKER_NAME="","",shinsei_strtower18_prgo05_MAKER_NAME&amp;"  "),"")</f>
        <v>#NAME?</v>
      </c>
    </row>
    <row r="2486" spans="2:10" s="10" customFormat="1" ht="18" customHeight="1">
      <c r="D2486" s="12" t="s">
        <v>3972</v>
      </c>
      <c r="G2486" s="9"/>
      <c r="H2486" s="12"/>
      <c r="I2486" s="9" t="s">
        <v>6878</v>
      </c>
      <c r="J2486" s="25" t="e">
        <f>IF(cst_shinsei_strtower18_prgo05_NINTEI__umu="無",IF(shinsei_strtower18_prgo05_NAME="","",shinsei_strtower18_prgo05_NAME&amp;" ")&amp;IF(shinsei_strtower18_prgo05_VER="","","Ver."&amp;shinsei_strtower18_prgo05_VER&amp;"  "),"")</f>
        <v>#NAME?</v>
      </c>
    </row>
    <row r="2487" spans="2:10" s="10" customFormat="1" ht="18" customHeight="1">
      <c r="B2487" s="13" t="s">
        <v>3827</v>
      </c>
      <c r="C2487" s="13"/>
      <c r="D2487" s="13"/>
      <c r="E2487" s="25"/>
      <c r="F2487" s="25"/>
      <c r="G2487" s="9"/>
      <c r="H2487" s="80"/>
      <c r="I2487" s="9"/>
      <c r="J2487" s="80"/>
    </row>
    <row r="2488" spans="2:10" s="10" customFormat="1" ht="18" customHeight="1">
      <c r="C2488" s="12" t="s">
        <v>3970</v>
      </c>
      <c r="D2488" s="12"/>
      <c r="G2488" s="9"/>
      <c r="H2488" s="80"/>
      <c r="I2488" s="166" t="s">
        <v>6879</v>
      </c>
      <c r="J2488" s="74" t="e">
        <f>cst_shinsei_strtower18_prgo01_NAME_VER&amp;cst_shinsei_strtower18_prgo02_NAME_VER&amp;cst_shinsei_strtower18_prgo03_NAME_VER&amp;cst_shinsei_strtower18_prgo04_NAME_VER&amp;cst_shinsei_strtower18_prgo05_NAME_VER</f>
        <v>#NAME?</v>
      </c>
    </row>
    <row r="2489" spans="2:10" s="10" customFormat="1" ht="18" customHeight="1">
      <c r="C2489" s="12" t="s">
        <v>3972</v>
      </c>
      <c r="D2489" s="12"/>
      <c r="G2489" s="9"/>
      <c r="H2489" s="80"/>
      <c r="I2489" s="166" t="s">
        <v>6880</v>
      </c>
      <c r="J2489" s="74" t="e">
        <f>cst_shinsei_strtower18_prgo01_NAME_VER__SP&amp;cst_shinsei_strtower18_prgo02_NAME_VER__SP&amp;cst_shinsei_strtower18_prgo03_NAME_VER__SP&amp;cst_shinsei_strtower18_prgo04_NAME_VER__SP&amp;cst_shinsei_strtower18_prgo05_NAME_VER__SP</f>
        <v>#NAME?</v>
      </c>
    </row>
    <row r="2490" spans="2:10" s="10" customFormat="1" ht="18" customHeight="1">
      <c r="B2490" s="13" t="s">
        <v>4068</v>
      </c>
      <c r="C2490" s="13"/>
      <c r="D2490" s="13"/>
      <c r="E2490" s="25"/>
      <c r="F2490" s="25"/>
      <c r="G2490" s="9"/>
      <c r="H2490" s="80"/>
      <c r="I2490" s="9"/>
      <c r="J2490" s="80"/>
    </row>
    <row r="2491" spans="2:10" s="10" customFormat="1" ht="18" customHeight="1">
      <c r="C2491" s="12" t="s">
        <v>3975</v>
      </c>
      <c r="D2491" s="12"/>
      <c r="G2491" s="9"/>
      <c r="H2491" s="80"/>
      <c r="I2491" s="166" t="s">
        <v>6881</v>
      </c>
      <c r="J2491" s="74" t="e">
        <f>cst_shinsei_strtower18_prgo01_MAKER__NINTEI_ari&amp;cst_shinsei_strtower18_prgo02_MAKER__NINTEI_ari&amp;cst_shinsei_strtower18_prgo03_MAKER__NINTEI_ari&amp;cst_shinsei_strtower18_prgo04_MAKER__NINTEI_ari&amp;cst_shinsei_strtower18_prgo05_MAKER__NINTEI_ari</f>
        <v>#NAME?</v>
      </c>
    </row>
    <row r="2492" spans="2:10" s="10" customFormat="1" ht="18" customHeight="1">
      <c r="C2492" s="12" t="s">
        <v>3972</v>
      </c>
      <c r="D2492" s="12"/>
      <c r="G2492" s="9"/>
      <c r="H2492" s="80"/>
      <c r="I2492" s="166" t="s">
        <v>6882</v>
      </c>
      <c r="J2492" s="173" t="e">
        <f>cst_shinsei_strtower18_prgo01_NAME_VER__NINTEI_ari&amp;cst_shinsei_strtower18_prgo02_NAME_VER__NINTEI_ari&amp;cst_shinsei_strtower18_prgo03_NAME_VER__NINTEI_ari&amp;cst_shinsei_strtower18_prgo04_NAME_VER__NINTEI_ari&amp;cst_shinsei_strtower18_prgo05_NAME_VER__NINTEI_ari</f>
        <v>#NAME?</v>
      </c>
    </row>
    <row r="2493" spans="2:10" s="10" customFormat="1" ht="18" customHeight="1">
      <c r="C2493" s="12" t="s">
        <v>3964</v>
      </c>
      <c r="D2493" s="12"/>
      <c r="G2493" s="9"/>
      <c r="H2493" s="80"/>
      <c r="I2493" s="166" t="s">
        <v>6883</v>
      </c>
      <c r="J2493" s="74" t="e">
        <f>cst_shinsei_strtower18_prgo01_NINTEI_DATE_dsp&amp;cst_shinsei_strtower18_prgo02_NINTEI_DATE_dsp&amp;cst_shinsei_strtower18_prgo03_NINTEI_DATE_dsp&amp;cst_shinsei_strtower18_prgo04_NINTEI_DATE_dsp&amp;cst_shinsei_strtower18_prgo05_NINTEI_DATE_dsp</f>
        <v>#NAME?</v>
      </c>
    </row>
    <row r="2494" spans="2:10" s="10" customFormat="1" ht="18" customHeight="1">
      <c r="B2494" s="13" t="s">
        <v>4072</v>
      </c>
      <c r="C2494" s="13"/>
      <c r="D2494" s="13"/>
      <c r="E2494" s="25"/>
      <c r="F2494" s="25"/>
      <c r="G2494" s="9"/>
      <c r="H2494" s="80"/>
      <c r="I2494" s="9"/>
      <c r="J2494" s="80"/>
    </row>
    <row r="2495" spans="2:10" s="10" customFormat="1" ht="18" customHeight="1">
      <c r="C2495" s="12" t="s">
        <v>3975</v>
      </c>
      <c r="D2495" s="12"/>
      <c r="G2495" s="9"/>
      <c r="H2495" s="80"/>
      <c r="I2495" s="166" t="s">
        <v>6884</v>
      </c>
      <c r="J2495" s="74" t="e">
        <f>cst_shinsei_strtower18_prgo01_MAKER__NINTEI_non&amp;cst_shinsei_strtower18_prgo02_MAKER__NINTEI_non&amp;cst_shinsei_strtower18_prgo03_MAKER__NINTEI_non&amp;cst_shinsei_strtower18_prgo04_MAKER__NINTEI_non&amp;cst_shinsei_strtower18_prgo05_MAKER__NINTEI_non</f>
        <v>#NAME?</v>
      </c>
    </row>
    <row r="2496" spans="2:10" s="10" customFormat="1" ht="18" customHeight="1">
      <c r="C2496" s="12" t="s">
        <v>3972</v>
      </c>
      <c r="D2496" s="12"/>
      <c r="G2496" s="9"/>
      <c r="H2496" s="80"/>
      <c r="I2496" s="166" t="s">
        <v>6885</v>
      </c>
      <c r="J2496" s="173" t="e">
        <f>cst_shinsei_strtower18_prgo01_NAME_VER__NINTEI_non&amp;cst_shinsei_strtower18_prgo02_NAME_VER__NINTEI_non&amp;cst_shinsei_strtower18_prgo03_NAME_VER__NINTEI_non&amp;cst_shinsei_strtower18_prgo04_NAME_VER__NINTEI_non&amp;cst_shinsei_strtower18_prgo05_NAME_VER__NINTEI_non</f>
        <v>#NAME?</v>
      </c>
    </row>
    <row r="2497" spans="1:12" s="10" customFormat="1" ht="18" customHeight="1">
      <c r="B2497" s="12" t="s">
        <v>4075</v>
      </c>
      <c r="G2497" s="9" t="s">
        <v>6886</v>
      </c>
      <c r="H2497" s="20"/>
      <c r="I2497" s="9" t="s">
        <v>6887</v>
      </c>
      <c r="J2497" s="20" t="e">
        <f>IF(shinsei_strtower18_DISK_FLAG="","",IF(shinsei_strtower18_DISK_FLAG=1,"有","無"))</f>
        <v>#NAME?</v>
      </c>
    </row>
    <row r="2498" spans="1:12" s="10" customFormat="1" ht="18" customHeight="1">
      <c r="A2498" s="9"/>
      <c r="B2498" s="9" t="s">
        <v>2955</v>
      </c>
      <c r="C2498" s="9"/>
      <c r="D2498" s="9"/>
      <c r="E2498" s="9"/>
      <c r="F2498" s="9"/>
      <c r="G2498" s="9" t="s">
        <v>6888</v>
      </c>
      <c r="H2498" s="136"/>
      <c r="I2498" s="19" t="s">
        <v>6889</v>
      </c>
      <c r="J2498" s="171" t="e">
        <f>IF(shinsei_strtower18_CHARGE="","",shinsei_strtower18_CHARGE)</f>
        <v>#NAME?</v>
      </c>
      <c r="K2498" s="9" t="s">
        <v>2528</v>
      </c>
      <c r="L2498" s="9" t="s">
        <v>2528</v>
      </c>
    </row>
    <row r="2499" spans="1:12" ht="18" customHeight="1">
      <c r="A2499" s="149"/>
      <c r="B2499" s="149"/>
      <c r="C2499" s="149"/>
      <c r="D2499" s="149"/>
      <c r="E2499" s="12" t="s">
        <v>3907</v>
      </c>
      <c r="F2499" s="12"/>
      <c r="G2499" s="149"/>
      <c r="I2499" s="100" t="s">
        <v>6890</v>
      </c>
      <c r="J2499" s="171" t="e">
        <f>IF(shinsei_strtower18_CHARGE="","",TEXT(shinsei_strtower18_CHARGE,"#,##0_ ")&amp;"円")</f>
        <v>#NAME?</v>
      </c>
      <c r="K2499" s="9"/>
      <c r="L2499" s="9"/>
    </row>
    <row r="2500" spans="1:12" ht="18" customHeight="1">
      <c r="A2500" s="149"/>
      <c r="B2500" s="149" t="s">
        <v>3041</v>
      </c>
      <c r="C2500" s="149"/>
      <c r="D2500" s="149"/>
      <c r="E2500" s="149"/>
      <c r="F2500" s="149"/>
      <c r="G2500" s="149" t="s">
        <v>6891</v>
      </c>
      <c r="H2500" s="136"/>
      <c r="I2500" s="100" t="s">
        <v>6892</v>
      </c>
      <c r="J2500" s="136" t="e">
        <f>IF(shinsei_strtower18_CHARGE_WARIMASHI="","",shinsei_strtower18_CHARGE_WARIMASHI)</f>
        <v>#NAME?</v>
      </c>
      <c r="K2500" s="9" t="s">
        <v>2528</v>
      </c>
      <c r="L2500" s="9" t="s">
        <v>2528</v>
      </c>
    </row>
    <row r="2501" spans="1:12" ht="18" customHeight="1">
      <c r="A2501" s="149"/>
      <c r="B2501" s="149" t="s">
        <v>3043</v>
      </c>
      <c r="C2501" s="149"/>
      <c r="D2501" s="149"/>
      <c r="E2501" s="149"/>
      <c r="F2501" s="149"/>
      <c r="G2501" s="149" t="s">
        <v>6893</v>
      </c>
      <c r="H2501" s="136"/>
      <c r="I2501" s="100" t="s">
        <v>6894</v>
      </c>
      <c r="J2501" s="136" t="e">
        <f>IF(shinsei_strtower18_CHARGE_TOTAL="","",shinsei_strtower18_CHARGE_TOTAL)</f>
        <v>#NAME?</v>
      </c>
      <c r="K2501" s="9" t="s">
        <v>2528</v>
      </c>
      <c r="L2501" s="9" t="s">
        <v>2528</v>
      </c>
    </row>
    <row r="2502" spans="1:12" ht="18" customHeight="1">
      <c r="A2502" s="149"/>
      <c r="B2502" s="149" t="s">
        <v>5637</v>
      </c>
      <c r="C2502" s="149"/>
      <c r="D2502" s="149"/>
      <c r="E2502" s="149"/>
      <c r="F2502" s="149"/>
      <c r="G2502" s="149" t="s">
        <v>6895</v>
      </c>
      <c r="H2502" s="13"/>
      <c r="I2502" s="176" t="s">
        <v>6896</v>
      </c>
      <c r="J2502" s="20" t="e">
        <f>IF(shinsei_strtower18_CHARGE_KEISAN_NOTE="","",shinsei_strtower18_CHARGE_KEISAN_NOTE)</f>
        <v>#NAME?</v>
      </c>
      <c r="K2502" s="10" t="s">
        <v>3862</v>
      </c>
      <c r="L2502" s="10" t="s">
        <v>3879</v>
      </c>
    </row>
    <row r="2503" spans="1:12" ht="18" customHeight="1">
      <c r="A2503" s="149"/>
      <c r="B2503" s="149"/>
      <c r="C2503" s="149"/>
      <c r="D2503" s="149"/>
      <c r="E2503" s="149" t="s">
        <v>5640</v>
      </c>
      <c r="F2503" s="149"/>
      <c r="G2503" s="149"/>
      <c r="I2503" s="100" t="s">
        <v>6897</v>
      </c>
      <c r="J2503" s="20" t="e">
        <f>IF(shinsei_INSPECTION_TYPE="計画変更",IF(shinsei_strtower18_CHARGE="","","延べ面積×1/2により算出"),IF(shinsei_strtower18_CHARGE_KEISAN_NOTE="","",shinsei_strtower18_CHARGE_KEISAN_NOTE))</f>
        <v>#NAME?</v>
      </c>
    </row>
    <row r="2504" spans="1:12" ht="18" customHeight="1">
      <c r="A2504" s="149"/>
      <c r="B2504" s="149" t="s">
        <v>5642</v>
      </c>
      <c r="C2504" s="149"/>
      <c r="D2504" s="149"/>
      <c r="E2504" s="149"/>
      <c r="F2504" s="149"/>
      <c r="G2504" s="149" t="s">
        <v>6898</v>
      </c>
      <c r="H2504" s="13"/>
      <c r="I2504" s="149" t="s">
        <v>6899</v>
      </c>
      <c r="J2504" s="20" t="e">
        <f>IF(shinsei_strtower18_KEISAN_X_ROUTE="","",shinsei_strtower18_KEISAN_X_ROUTE)</f>
        <v>#NAME?</v>
      </c>
    </row>
    <row r="2505" spans="1:12" ht="18" customHeight="1">
      <c r="A2505" s="149"/>
      <c r="B2505" s="149" t="s">
        <v>5645</v>
      </c>
      <c r="C2505" s="149"/>
      <c r="D2505" s="149"/>
      <c r="E2505" s="149"/>
      <c r="F2505" s="149"/>
      <c r="G2505" s="149" t="s">
        <v>6900</v>
      </c>
      <c r="H2505" s="13"/>
      <c r="I2505" s="149" t="s">
        <v>6901</v>
      </c>
      <c r="J2505" s="20" t="e">
        <f>IF(shinsei_strtower18_KEISAN_Y_ROUTE="","",shinsei_strtower18_KEISAN_Y_ROUTE)</f>
        <v>#NAME?</v>
      </c>
    </row>
    <row r="2506" spans="1:12" ht="18" customHeight="1">
      <c r="A2506" s="149"/>
      <c r="B2506" s="149"/>
      <c r="C2506" s="149" t="s">
        <v>3805</v>
      </c>
      <c r="D2506" s="149"/>
      <c r="E2506" s="149"/>
      <c r="F2506" s="149"/>
      <c r="G2506" s="149"/>
      <c r="H2506" s="12"/>
      <c r="I2506" s="149" t="s">
        <v>6902</v>
      </c>
      <c r="J2506" s="20" t="e">
        <f>IF(AND(cst_shinsei_strtower18_KEISAN_X_ROUTE="3",cst_shinsei_strtower18_KEISAN_Y_ROUTE="3"),"■","□")</f>
        <v>#NAME?</v>
      </c>
    </row>
    <row r="2507" spans="1:12" ht="18" customHeight="1">
      <c r="A2507" s="149"/>
      <c r="B2507" s="149" t="s">
        <v>5650</v>
      </c>
      <c r="C2507" s="149"/>
      <c r="D2507" s="149"/>
      <c r="E2507" s="149"/>
      <c r="F2507" s="149"/>
      <c r="G2507" s="149" t="s">
        <v>6903</v>
      </c>
      <c r="H2507" s="13"/>
      <c r="I2507" s="149" t="s">
        <v>6904</v>
      </c>
      <c r="J2507" s="20" t="e">
        <f>IF(shinsei_strtower18_PROGRAM_KIND_SONOTA="","",shinsei_strtower18_PROGRAM_KIND_SONOTA)</f>
        <v>#NAME?</v>
      </c>
    </row>
    <row r="2508" spans="1:12" ht="18" customHeight="1">
      <c r="A2508" s="149"/>
      <c r="B2508" s="149"/>
      <c r="C2508" s="149"/>
      <c r="D2508" s="149"/>
      <c r="E2508" s="149"/>
      <c r="F2508" s="149"/>
      <c r="G2508" s="149"/>
      <c r="I2508" s="149"/>
    </row>
    <row r="2509" spans="1:12" s="10" customFormat="1" ht="18" customHeight="1">
      <c r="A2509" s="162" t="s">
        <v>3132</v>
      </c>
      <c r="B2509" s="162"/>
      <c r="C2509" s="162"/>
      <c r="D2509" s="162"/>
      <c r="E2509" s="163"/>
      <c r="F2509" s="163"/>
      <c r="G2509" s="164"/>
      <c r="H2509" s="165"/>
      <c r="I2509" s="9"/>
    </row>
    <row r="2510" spans="1:12" s="10" customFormat="1" ht="18" customHeight="1">
      <c r="A2510" s="12"/>
      <c r="B2510" s="12" t="s">
        <v>3859</v>
      </c>
      <c r="C2510" s="12"/>
      <c r="D2510" s="12"/>
      <c r="E2510" s="11"/>
      <c r="F2510" s="11"/>
      <c r="G2510" s="10" t="s">
        <v>6905</v>
      </c>
      <c r="H2510" s="13"/>
      <c r="I2510" s="19" t="s">
        <v>6906</v>
      </c>
      <c r="J2510" s="25" t="e">
        <f>IF(shinsei_strtower19_TOWER_NO="","",shinsei_strtower19_TOWER_NO)</f>
        <v>#NAME?</v>
      </c>
      <c r="K2510" s="10" t="s">
        <v>3862</v>
      </c>
    </row>
    <row r="2511" spans="1:12" s="10" customFormat="1" ht="18" customHeight="1">
      <c r="A2511" s="12"/>
      <c r="B2511" s="12" t="s">
        <v>3864</v>
      </c>
      <c r="C2511" s="12"/>
      <c r="D2511" s="12"/>
      <c r="E2511" s="11"/>
      <c r="F2511" s="11"/>
      <c r="G2511" s="9" t="s">
        <v>6907</v>
      </c>
      <c r="H2511" s="13"/>
      <c r="I2511" s="19" t="s">
        <v>6908</v>
      </c>
      <c r="J2511" s="25" t="e">
        <f>IF(shinsei_strtower19_STR_TOWER_NO="","",shinsei_strtower19_STR_TOWER_NO)</f>
        <v>#NAME?</v>
      </c>
      <c r="K2511" s="10" t="s">
        <v>3862</v>
      </c>
      <c r="L2511" s="10" t="s">
        <v>3879</v>
      </c>
    </row>
    <row r="2512" spans="1:12" s="166" customFormat="1" ht="18" customHeight="1">
      <c r="B2512" s="12" t="s">
        <v>3868</v>
      </c>
      <c r="I2512" s="9" t="s">
        <v>6909</v>
      </c>
      <c r="J2512" s="167" t="e">
        <f>CONCATENATE(cst_shinsei_strtower19_TOWER_NO," - ",cst_shinsei_strtower19_STR_TOWER_NO)</f>
        <v>#NAME?</v>
      </c>
    </row>
    <row r="2513" spans="1:12" s="166" customFormat="1" ht="18" customHeight="1">
      <c r="B2513" s="12" t="s">
        <v>3870</v>
      </c>
      <c r="I2513" s="9" t="s">
        <v>6910</v>
      </c>
      <c r="J2513" s="167" t="e">
        <f>CONCATENATE(cst_shinsei_strtower19_STR_TOWER_NO," ／ ",cst_shinsei_STR_SHINSEI_TOWERS)</f>
        <v>#NAME?</v>
      </c>
    </row>
    <row r="2514" spans="1:12" s="10" customFormat="1" ht="18" customHeight="1">
      <c r="A2514" s="12"/>
      <c r="B2514" s="12" t="s">
        <v>3872</v>
      </c>
      <c r="C2514" s="11"/>
      <c r="D2514" s="11"/>
      <c r="E2514" s="11"/>
      <c r="F2514" s="11"/>
      <c r="G2514" s="9" t="s">
        <v>6911</v>
      </c>
      <c r="H2514" s="13"/>
      <c r="I2514" s="9" t="s">
        <v>6912</v>
      </c>
      <c r="J2514" s="25" t="e">
        <f>IF(shinsei_strtower19_STR_TOWER_NAME="","",shinsei_strtower19_STR_TOWER_NAME)</f>
        <v>#NAME?</v>
      </c>
    </row>
    <row r="2515" spans="1:12" s="10" customFormat="1" ht="18" customHeight="1">
      <c r="A2515" s="12"/>
      <c r="B2515" s="12" t="s">
        <v>3875</v>
      </c>
      <c r="C2515" s="12"/>
      <c r="D2515" s="12"/>
      <c r="E2515" s="11"/>
      <c r="F2515" s="11"/>
      <c r="G2515" s="9" t="s">
        <v>6913</v>
      </c>
      <c r="H2515" s="20"/>
      <c r="I2515" s="20" t="s">
        <v>6914</v>
      </c>
      <c r="J2515" s="25" t="e">
        <f>IF(shinsei_strtower19_JUDGE="","",shinsei_strtower19_JUDGE)</f>
        <v>#NAME?</v>
      </c>
      <c r="K2515" s="10" t="s">
        <v>3878</v>
      </c>
      <c r="L2515" s="10" t="s">
        <v>3879</v>
      </c>
    </row>
    <row r="2516" spans="1:12" s="10" customFormat="1" ht="18" customHeight="1">
      <c r="A2516" s="12"/>
      <c r="B2516" s="12" t="s">
        <v>4441</v>
      </c>
      <c r="C2516" s="12"/>
      <c r="D2516" s="12"/>
      <c r="E2516" s="11"/>
      <c r="F2516" s="11"/>
      <c r="G2516" s="9" t="s">
        <v>6915</v>
      </c>
      <c r="H2516" s="13"/>
      <c r="I2516" s="9" t="s">
        <v>6916</v>
      </c>
      <c r="J2516" s="25" t="e">
        <f>IF(shinsei_strtower19_STR_TOWER_YOUTO_TEXT="","",shinsei_strtower19_STR_TOWER_YOUTO_TEXT)</f>
        <v>#NAME?</v>
      </c>
      <c r="K2516" s="10" t="s">
        <v>3862</v>
      </c>
      <c r="L2516" s="10" t="s">
        <v>3879</v>
      </c>
    </row>
    <row r="2517" spans="1:12" s="10" customFormat="1" ht="18" customHeight="1">
      <c r="A2517" s="12"/>
      <c r="B2517" s="12" t="s">
        <v>3790</v>
      </c>
      <c r="C2517" s="12"/>
      <c r="D2517" s="12"/>
      <c r="E2517" s="11"/>
      <c r="F2517" s="11"/>
      <c r="G2517" s="9" t="s">
        <v>6917</v>
      </c>
      <c r="H2517" s="13"/>
      <c r="I2517" s="9" t="s">
        <v>6918</v>
      </c>
      <c r="J2517" s="25" t="e">
        <f>IF(shinsei_strtower19_KOUJI_TEXT="","",shinsei_strtower19_KOUJI_TEXT)</f>
        <v>#NAME?</v>
      </c>
      <c r="K2517" s="10" t="s">
        <v>3862</v>
      </c>
      <c r="L2517" s="10" t="s">
        <v>3879</v>
      </c>
    </row>
    <row r="2518" spans="1:12" s="10" customFormat="1" ht="18" customHeight="1">
      <c r="A2518" s="12"/>
      <c r="B2518" s="12" t="s">
        <v>3888</v>
      </c>
      <c r="C2518" s="11"/>
      <c r="D2518" s="11"/>
      <c r="E2518" s="11"/>
      <c r="F2518" s="11"/>
      <c r="G2518" s="9" t="s">
        <v>6919</v>
      </c>
      <c r="H2518" s="13"/>
      <c r="I2518" s="9" t="s">
        <v>6920</v>
      </c>
      <c r="J2518" s="25" t="e">
        <f>IF(shinsei_strtower19_KOUZOU_TEXT="","",shinsei_strtower19_KOUZOU_TEXT)</f>
        <v>#NAME?</v>
      </c>
    </row>
    <row r="2519" spans="1:12" s="10" customFormat="1" ht="18" customHeight="1">
      <c r="A2519" s="12"/>
      <c r="B2519" s="12" t="s">
        <v>3888</v>
      </c>
      <c r="C2519" s="12"/>
      <c r="D2519" s="12"/>
      <c r="E2519" s="11"/>
      <c r="F2519" s="11"/>
      <c r="G2519" s="9" t="s">
        <v>6921</v>
      </c>
      <c r="H2519" s="13"/>
      <c r="I2519" s="9" t="s">
        <v>6922</v>
      </c>
      <c r="J2519" s="25" t="e">
        <f>IF(shinsei_strtower19_KOUZOU_TEXT="","",shinsei_strtower19_KOUZOU_TEXT)</f>
        <v>#NAME?</v>
      </c>
    </row>
    <row r="2520" spans="1:12" s="10" customFormat="1" ht="18" customHeight="1">
      <c r="A2520" s="12"/>
      <c r="B2520" s="12" t="s">
        <v>3893</v>
      </c>
      <c r="C2520" s="11"/>
      <c r="D2520" s="11"/>
      <c r="E2520" s="11"/>
      <c r="F2520" s="11"/>
      <c r="G2520" s="9" t="s">
        <v>6923</v>
      </c>
      <c r="H2520" s="13"/>
      <c r="I2520" s="9" t="s">
        <v>6924</v>
      </c>
      <c r="J2520" s="25" t="e">
        <f>IF(shinsei_strtower19_KOUZOU_KEISAN="","",shinsei_strtower19_KOUZOU_KEISAN)</f>
        <v>#NAME?</v>
      </c>
    </row>
    <row r="2521" spans="1:12" s="10" customFormat="1" ht="18" customHeight="1">
      <c r="A2521" s="12"/>
      <c r="B2521" s="12" t="s">
        <v>3893</v>
      </c>
      <c r="C2521" s="12"/>
      <c r="D2521" s="12"/>
      <c r="E2521" s="11"/>
      <c r="F2521" s="11"/>
      <c r="G2521" s="9" t="s">
        <v>6925</v>
      </c>
      <c r="H2521" s="13"/>
      <c r="I2521" s="10" t="s">
        <v>6926</v>
      </c>
      <c r="J2521" s="25" t="e">
        <f>IF(shinsei_strtower19_KOUZOU_KEISAN_TEXT="","",shinsei_strtower19_KOUZOU_KEISAN_TEXT)</f>
        <v>#NAME?</v>
      </c>
    </row>
    <row r="2522" spans="1:12" s="10" customFormat="1" ht="18" customHeight="1">
      <c r="A2522" s="12"/>
      <c r="B2522" s="12" t="s">
        <v>3902</v>
      </c>
      <c r="C2522" s="12"/>
      <c r="D2522" s="12"/>
      <c r="E2522" s="11"/>
      <c r="F2522" s="11"/>
      <c r="G2522" s="9" t="s">
        <v>6927</v>
      </c>
      <c r="H2522" s="65"/>
      <c r="I2522" s="19" t="s">
        <v>6928</v>
      </c>
      <c r="J2522" s="168" t="e">
        <f>IF(shinsei_strtower19_MENSEKI="","",shinsei_strtower19_MENSEKI)</f>
        <v>#NAME?</v>
      </c>
      <c r="K2522" s="10" t="s">
        <v>3906</v>
      </c>
      <c r="L2522" s="10" t="s">
        <v>3906</v>
      </c>
    </row>
    <row r="2523" spans="1:12" ht="18" customHeight="1">
      <c r="A2523" s="12"/>
      <c r="B2523" s="12"/>
      <c r="C2523" s="12"/>
      <c r="D2523" s="12"/>
      <c r="E2523" s="12" t="s">
        <v>3907</v>
      </c>
      <c r="F2523" s="12"/>
      <c r="G2523" s="9"/>
      <c r="H2523" s="9"/>
      <c r="I2523" s="9" t="s">
        <v>6929</v>
      </c>
      <c r="J2523" s="168" t="e">
        <f>IF(shinsei_strtower19_MENSEKI="","",TEXT(shinsei_strtower19_MENSEKI,"#,##0.00_ ")&amp;"㎡")</f>
        <v>#NAME?</v>
      </c>
    </row>
    <row r="2524" spans="1:12" s="10" customFormat="1" ht="18" customHeight="1">
      <c r="A2524" s="12"/>
      <c r="B2524" s="12" t="s">
        <v>4390</v>
      </c>
      <c r="C2524" s="12"/>
      <c r="D2524" s="12"/>
      <c r="E2524" s="11"/>
      <c r="F2524" s="11"/>
      <c r="G2524" s="9" t="s">
        <v>6930</v>
      </c>
      <c r="H2524" s="93"/>
      <c r="I2524" s="9" t="s">
        <v>6931</v>
      </c>
      <c r="J2524" s="170" t="e">
        <f>IF(shinsei_strtower19_MAX_TAKASA="","",shinsei_strtower19_MAX_TAKASA)</f>
        <v>#NAME?</v>
      </c>
      <c r="K2524" s="10" t="s">
        <v>3911</v>
      </c>
      <c r="L2524" s="10" t="s">
        <v>3911</v>
      </c>
    </row>
    <row r="2525" spans="1:12" s="10" customFormat="1" ht="18" customHeight="1">
      <c r="A2525" s="12"/>
      <c r="B2525" s="12" t="s">
        <v>4388</v>
      </c>
      <c r="C2525" s="11"/>
      <c r="D2525" s="11"/>
      <c r="E2525" s="11"/>
      <c r="F2525" s="11"/>
      <c r="G2525" s="9" t="s">
        <v>6932</v>
      </c>
      <c r="H2525" s="93"/>
      <c r="I2525" s="9" t="s">
        <v>6933</v>
      </c>
      <c r="J2525" s="170" t="e">
        <f>IF(shinsei_strtower19_MAX_NOKI_TAKASA="","",shinsei_strtower19_MAX_NOKI_TAKASA)</f>
        <v>#NAME?</v>
      </c>
    </row>
    <row r="2526" spans="1:12" s="10" customFormat="1" ht="18" customHeight="1">
      <c r="A2526" s="12"/>
      <c r="B2526" s="12" t="s">
        <v>3782</v>
      </c>
      <c r="C2526" s="12"/>
      <c r="D2526" s="12"/>
      <c r="E2526" s="11"/>
      <c r="F2526" s="11"/>
      <c r="G2526" s="9"/>
      <c r="H2526" s="9"/>
      <c r="I2526" s="9"/>
    </row>
    <row r="2527" spans="1:12" s="10" customFormat="1" ht="18" customHeight="1">
      <c r="A2527" s="12"/>
      <c r="B2527" s="12"/>
      <c r="C2527" s="11" t="s">
        <v>3783</v>
      </c>
      <c r="D2527" s="12"/>
      <c r="G2527" s="9" t="s">
        <v>6934</v>
      </c>
      <c r="H2527" s="136"/>
      <c r="I2527" s="9" t="s">
        <v>6935</v>
      </c>
      <c r="J2527" s="171" t="e">
        <f>IF(shinsei_strtower19_KAISU_TIJYOU="","",shinsei_strtower19_KAISU_TIJYOU)</f>
        <v>#NAME?</v>
      </c>
      <c r="K2527" s="10" t="s">
        <v>3916</v>
      </c>
      <c r="L2527" s="10" t="s">
        <v>3916</v>
      </c>
    </row>
    <row r="2528" spans="1:12" s="10" customFormat="1" ht="18" customHeight="1">
      <c r="A2528" s="12"/>
      <c r="B2528" s="12"/>
      <c r="C2528" s="11" t="s">
        <v>3785</v>
      </c>
      <c r="D2528" s="12"/>
      <c r="G2528" s="9" t="s">
        <v>6936</v>
      </c>
      <c r="H2528" s="136"/>
      <c r="I2528" s="9" t="s">
        <v>6937</v>
      </c>
      <c r="J2528" s="171" t="e">
        <f>IF(shinsei_strtower19_KAISU_TIKA="","",shinsei_strtower19_KAISU_TIKA)</f>
        <v>#NAME?</v>
      </c>
      <c r="K2528" s="10" t="s">
        <v>3916</v>
      </c>
      <c r="L2528" s="10" t="s">
        <v>3916</v>
      </c>
    </row>
    <row r="2529" spans="1:12" s="10" customFormat="1" ht="18" customHeight="1">
      <c r="A2529" s="12"/>
      <c r="B2529" s="12"/>
      <c r="C2529" s="11" t="s">
        <v>3787</v>
      </c>
      <c r="D2529" s="12"/>
      <c r="G2529" s="9" t="s">
        <v>6938</v>
      </c>
      <c r="H2529" s="136"/>
      <c r="I2529" s="9" t="s">
        <v>6939</v>
      </c>
      <c r="J2529" s="171" t="e">
        <f>IF(shinsei_strtower19_KAISU_TOUYA="","",shinsei_strtower19_KAISU_TOUYA)</f>
        <v>#NAME?</v>
      </c>
      <c r="K2529" s="10" t="s">
        <v>3916</v>
      </c>
      <c r="L2529" s="10" t="s">
        <v>3916</v>
      </c>
    </row>
    <row r="2530" spans="1:12" s="10" customFormat="1" ht="18" customHeight="1">
      <c r="B2530" s="12" t="s">
        <v>3923</v>
      </c>
      <c r="G2530" s="9" t="s">
        <v>6940</v>
      </c>
      <c r="H2530" s="13"/>
      <c r="I2530" s="10" t="s">
        <v>6941</v>
      </c>
      <c r="J2530" s="25" t="e">
        <f>IF(shinsei_strtower19_BUILD_KUBUN="","",shinsei_strtower19_BUILD_KUBUN)</f>
        <v>#NAME?</v>
      </c>
    </row>
    <row r="2531" spans="1:12" s="10" customFormat="1" ht="18" customHeight="1">
      <c r="B2531" s="12" t="s">
        <v>3923</v>
      </c>
      <c r="C2531" s="12"/>
      <c r="D2531" s="12"/>
      <c r="G2531" s="9" t="s">
        <v>6942</v>
      </c>
      <c r="H2531" s="13"/>
      <c r="I2531" s="10" t="s">
        <v>6943</v>
      </c>
      <c r="J2531" s="25" t="e">
        <f>IF(shinsei_strtower19_BUILD_KUBUN_TEXT="","",shinsei_strtower19_BUILD_KUBUN_TEXT)</f>
        <v>#NAME?</v>
      </c>
      <c r="K2531" s="10" t="s">
        <v>3862</v>
      </c>
    </row>
    <row r="2532" spans="1:12" s="10" customFormat="1" ht="18" customHeight="1">
      <c r="A2532" s="149"/>
      <c r="B2532" s="149"/>
      <c r="C2532" s="149" t="s">
        <v>3801</v>
      </c>
      <c r="D2532" s="149"/>
      <c r="E2532" s="149"/>
      <c r="F2532" s="149"/>
      <c r="G2532" s="149"/>
      <c r="H2532" s="12"/>
      <c r="I2532" s="149" t="s">
        <v>6944</v>
      </c>
      <c r="J2532" s="20" t="e">
        <f>IF(shinsei_strtower19_BUILD_KUBUN_TEXT="建築基準法第20条第２号に掲げる建築物","■","□")</f>
        <v>#NAME?</v>
      </c>
    </row>
    <row r="2533" spans="1:12" s="10" customFormat="1" ht="18" customHeight="1">
      <c r="A2533" s="149"/>
      <c r="B2533" s="149"/>
      <c r="C2533" s="149" t="s">
        <v>3801</v>
      </c>
      <c r="D2533" s="149"/>
      <c r="E2533" s="149"/>
      <c r="F2533" s="149"/>
      <c r="G2533" s="149"/>
      <c r="H2533" s="12"/>
      <c r="I2533" s="149" t="s">
        <v>6945</v>
      </c>
      <c r="J2533" s="20" t="e">
        <f>IF(shinsei_strtower19_BUILD_KUBUN_TEXT="建築基準法第20条第３号に掲げる建築物","■","□")</f>
        <v>#NAME?</v>
      </c>
    </row>
    <row r="2534" spans="1:12" s="10" customFormat="1" ht="18" customHeight="1">
      <c r="A2534" s="12"/>
      <c r="B2534" s="12" t="s">
        <v>3932</v>
      </c>
      <c r="C2534" s="12"/>
      <c r="D2534" s="12"/>
      <c r="E2534" s="11"/>
      <c r="F2534" s="11"/>
      <c r="G2534" s="9" t="s">
        <v>6946</v>
      </c>
      <c r="H2534" s="13"/>
      <c r="I2534" s="9" t="s">
        <v>6947</v>
      </c>
      <c r="J2534" s="25" t="e">
        <f>IF(shinsei_strtower19_MENJYO_TEXT="","",shinsei_strtower19_MENJYO_TEXT)</f>
        <v>#NAME?</v>
      </c>
      <c r="K2534" s="10" t="s">
        <v>3862</v>
      </c>
    </row>
    <row r="2535" spans="1:12" s="10" customFormat="1" ht="18" customHeight="1">
      <c r="A2535" s="12"/>
      <c r="B2535" s="12" t="s">
        <v>3935</v>
      </c>
      <c r="C2535" s="12"/>
      <c r="D2535" s="12"/>
      <c r="E2535" s="11"/>
      <c r="F2535" s="11"/>
      <c r="G2535" s="9" t="s">
        <v>6948</v>
      </c>
      <c r="H2535" s="20"/>
      <c r="I2535" s="9" t="s">
        <v>6949</v>
      </c>
      <c r="J2535" s="25" t="e">
        <f>IF(shinsei_strtower19_PROGRAM_KIND="","",shinsei_strtower19_PROGRAM_KIND)</f>
        <v>#NAME?</v>
      </c>
      <c r="K2535" s="10" t="s">
        <v>5704</v>
      </c>
    </row>
    <row r="2536" spans="1:12" s="10" customFormat="1" ht="18" customHeight="1">
      <c r="B2536" s="12" t="s">
        <v>3939</v>
      </c>
      <c r="C2536" s="12"/>
      <c r="D2536" s="12"/>
      <c r="G2536" s="9" t="s">
        <v>6950</v>
      </c>
      <c r="H2536" s="13"/>
      <c r="I2536" s="10" t="s">
        <v>6951</v>
      </c>
      <c r="J2536" s="25" t="e">
        <f>IF(shinsei_strtower19_REI80_2_KOKUJI_TEXT="","",shinsei_strtower19_REI80_2_KOKUJI_TEXT)</f>
        <v>#NAME?</v>
      </c>
    </row>
    <row r="2537" spans="1:12" s="10" customFormat="1" ht="18" customHeight="1">
      <c r="B2537" s="12" t="s">
        <v>3943</v>
      </c>
      <c r="C2537" s="12"/>
      <c r="D2537" s="12"/>
      <c r="G2537" s="9" t="s">
        <v>6952</v>
      </c>
      <c r="H2537" s="13"/>
      <c r="I2537" s="10" t="s">
        <v>6953</v>
      </c>
      <c r="J2537" s="25" t="e">
        <f>IF(shinsei_strtower19_PROGRAM_KIND__nintei__box="■",2,IF(OR(shinsei_strtower19_PROGRAM_KIND__hyouka__box="■",shinsei_strtower19_PROGRAM_KIND__sonota__box="■"),1,0))</f>
        <v>#NAME?</v>
      </c>
      <c r="K2537" s="10" t="s">
        <v>3946</v>
      </c>
    </row>
    <row r="2538" spans="1:12" s="10" customFormat="1" ht="18" customHeight="1">
      <c r="B2538" s="12" t="s">
        <v>3947</v>
      </c>
      <c r="C2538" s="12"/>
      <c r="D2538" s="12"/>
      <c r="G2538" s="9" t="s">
        <v>6954</v>
      </c>
      <c r="H2538" s="13"/>
    </row>
    <row r="2539" spans="1:12" s="10" customFormat="1" ht="18" customHeight="1">
      <c r="B2539" s="12" t="s">
        <v>4305</v>
      </c>
      <c r="C2539" s="12"/>
      <c r="D2539" s="12"/>
      <c r="G2539" s="9" t="s">
        <v>6955</v>
      </c>
      <c r="H2539" s="13"/>
    </row>
    <row r="2540" spans="1:12" s="10" customFormat="1" ht="18" customHeight="1">
      <c r="B2540" s="105" t="s">
        <v>3950</v>
      </c>
      <c r="C2540" s="105"/>
      <c r="D2540" s="105"/>
      <c r="E2540" s="24"/>
      <c r="F2540" s="24"/>
      <c r="G2540" s="9"/>
      <c r="H2540" s="12"/>
    </row>
    <row r="2541" spans="1:12" s="10" customFormat="1" ht="18" customHeight="1">
      <c r="C2541" s="10" t="s">
        <v>3951</v>
      </c>
      <c r="D2541" s="12"/>
      <c r="G2541" s="9" t="s">
        <v>6956</v>
      </c>
      <c r="H2541" s="13"/>
      <c r="K2541" s="10" t="s">
        <v>3862</v>
      </c>
      <c r="L2541" s="10" t="s">
        <v>3879</v>
      </c>
    </row>
    <row r="2542" spans="1:12" s="10" customFormat="1" ht="18" customHeight="1">
      <c r="C2542" s="12" t="s">
        <v>3954</v>
      </c>
      <c r="D2542" s="12"/>
      <c r="E2542" s="12"/>
      <c r="F2542" s="12"/>
      <c r="G2542" s="9" t="s">
        <v>6957</v>
      </c>
      <c r="H2542" s="13"/>
    </row>
    <row r="2543" spans="1:12" s="10" customFormat="1" ht="18" customHeight="1">
      <c r="C2543" s="12" t="s">
        <v>3957</v>
      </c>
      <c r="D2543" s="12"/>
      <c r="G2543" s="9"/>
      <c r="H2543" s="9"/>
      <c r="I2543" s="10" t="s">
        <v>6958</v>
      </c>
      <c r="J2543" s="25" t="e">
        <f>IF(shinsei_strtower19_prgo01_NAME="","",IF(shinsei_strtower19_prgo01_NINTEI_NO="","無","有"))</f>
        <v>#NAME?</v>
      </c>
      <c r="K2543" s="10" t="s">
        <v>3959</v>
      </c>
      <c r="L2543" s="10" t="s">
        <v>3879</v>
      </c>
    </row>
    <row r="2544" spans="1:12" s="10" customFormat="1" ht="18" customHeight="1">
      <c r="C2544" s="12" t="s">
        <v>3960</v>
      </c>
      <c r="D2544" s="12"/>
      <c r="G2544" s="9" t="s">
        <v>6959</v>
      </c>
      <c r="H2544" s="13"/>
      <c r="I2544" s="10" t="s">
        <v>6960</v>
      </c>
      <c r="J2544" s="25" t="e">
        <f>IF(shinsei_strtower19_prgo01_NINTEI_NO="","",shinsei_strtower19_prgo01_NINTEI_NO)</f>
        <v>#NAME?</v>
      </c>
      <c r="K2544" s="10" t="s">
        <v>3862</v>
      </c>
      <c r="L2544" s="10" t="s">
        <v>3879</v>
      </c>
    </row>
    <row r="2545" spans="2:12" s="10" customFormat="1" ht="18" customHeight="1">
      <c r="C2545" s="12" t="s">
        <v>3964</v>
      </c>
      <c r="D2545" s="12"/>
      <c r="G2545" s="9" t="s">
        <v>6961</v>
      </c>
      <c r="H2545" s="74"/>
      <c r="I2545" s="10" t="s">
        <v>6962</v>
      </c>
      <c r="J2545" s="25" t="e">
        <f>IF(shinsei_strtower19_prgo01_NINTEI_DATE="","",TEXT(shinsei_strtower19_prgo01_NINTEI_DATE,"ggge年m月d日")&amp;"  ")</f>
        <v>#NAME?</v>
      </c>
    </row>
    <row r="2546" spans="2:12" s="10" customFormat="1" ht="18" customHeight="1">
      <c r="C2546" s="12" t="s">
        <v>3967</v>
      </c>
      <c r="D2546" s="12"/>
      <c r="G2546" s="9" t="s">
        <v>6963</v>
      </c>
      <c r="H2546" s="13"/>
    </row>
    <row r="2547" spans="2:12" s="10" customFormat="1" ht="18" customHeight="1">
      <c r="C2547" s="12" t="s">
        <v>3970</v>
      </c>
      <c r="D2547" s="12"/>
      <c r="G2547" s="9"/>
      <c r="H2547" s="12"/>
      <c r="I2547" s="9" t="s">
        <v>6964</v>
      </c>
      <c r="J2547" s="25" t="e">
        <f>IF(shinsei_strtower19_prgo01_NAME="","",shinsei_strtower19_prgo01_NAME)&amp;CHAR(10)&amp;IF(shinsei_strtower19_prgo01_VER="","","Ver."&amp;shinsei_strtower19_prgo01_VER&amp;CHAR(10))</f>
        <v>#NAME?</v>
      </c>
    </row>
    <row r="2548" spans="2:12" s="10" customFormat="1" ht="18" customHeight="1">
      <c r="C2548" s="12" t="s">
        <v>3972</v>
      </c>
      <c r="D2548" s="12"/>
      <c r="G2548" s="9"/>
      <c r="H2548" s="12"/>
      <c r="I2548" s="9" t="s">
        <v>6965</v>
      </c>
      <c r="J2548" s="25" t="e">
        <f>IF(shinsei_strtower19_prgo01_NAME="","",shinsei_strtower19_prgo01_NAME&amp;" ")&amp;IF(shinsei_strtower19_prgo01_VER="","","Ver."&amp;shinsei_strtower19_prgo01_VER&amp;"  ")</f>
        <v>#NAME?</v>
      </c>
    </row>
    <row r="2549" spans="2:12" s="10" customFormat="1" ht="18" customHeight="1">
      <c r="C2549" s="12" t="s">
        <v>3974</v>
      </c>
      <c r="D2549" s="12"/>
      <c r="G2549" s="9"/>
      <c r="H2549" s="12"/>
    </row>
    <row r="2550" spans="2:12" s="10" customFormat="1" ht="18" customHeight="1">
      <c r="D2550" s="12" t="s">
        <v>3975</v>
      </c>
      <c r="G2550" s="9"/>
      <c r="H2550" s="12"/>
      <c r="I2550" s="9" t="s">
        <v>6966</v>
      </c>
      <c r="J2550" s="173" t="e">
        <f>IF(cst_shinsei_strtower19_prgo01_NINTEI__umu="有",IF(shinsei_strtower19_prgo01_MAKER_NAME="","",shinsei_strtower19_prgo01_MAKER_NAME&amp;"  "),"")</f>
        <v>#NAME?</v>
      </c>
    </row>
    <row r="2551" spans="2:12" s="10" customFormat="1" ht="18" customHeight="1">
      <c r="B2551" s="12"/>
      <c r="D2551" s="12" t="s">
        <v>3972</v>
      </c>
      <c r="G2551" s="9"/>
      <c r="H2551" s="12"/>
      <c r="I2551" s="9" t="s">
        <v>6967</v>
      </c>
      <c r="J2551" s="25" t="e">
        <f>IF(cst_shinsei_strtower19_prgo01_NINTEI__umu="有",IF(shinsei_strtower19_prgo01_NAME="","",shinsei_strtower19_prgo01_NAME&amp;" ")&amp;IF(shinsei_strtower19_prgo01_VER="","","Ver."&amp;shinsei_strtower19_prgo01_VER&amp;"  "),"")</f>
        <v>#NAME?</v>
      </c>
    </row>
    <row r="2552" spans="2:12" s="10" customFormat="1" ht="18" customHeight="1">
      <c r="C2552" s="12" t="s">
        <v>3981</v>
      </c>
      <c r="D2552" s="12"/>
      <c r="G2552" s="9"/>
      <c r="H2552" s="12"/>
    </row>
    <row r="2553" spans="2:12" s="10" customFormat="1" ht="18" customHeight="1">
      <c r="B2553" s="12"/>
      <c r="D2553" s="12" t="s">
        <v>3975</v>
      </c>
      <c r="G2553" s="9"/>
      <c r="H2553" s="12"/>
      <c r="I2553" s="9" t="s">
        <v>6968</v>
      </c>
      <c r="J2553" s="173" t="e">
        <f>IF(cst_shinsei_strtower19_prgo01_NINTEI__umu="無",IF(shinsei_strtower19_prgo01_MAKER_NAME="","",shinsei_strtower19_prgo01_MAKER_NAME&amp;"  "),"")</f>
        <v>#NAME?</v>
      </c>
    </row>
    <row r="2554" spans="2:12" s="10" customFormat="1" ht="18" customHeight="1">
      <c r="B2554" s="12"/>
      <c r="D2554" s="12" t="s">
        <v>3972</v>
      </c>
      <c r="G2554" s="9"/>
      <c r="H2554" s="12"/>
      <c r="I2554" s="9" t="s">
        <v>6969</v>
      </c>
      <c r="J2554" s="25" t="e">
        <f>IF(cst_shinsei_strtower19_prgo01_NINTEI__umu="無",IF(shinsei_strtower19_prgo01_NAME="","",shinsei_strtower19_prgo01_NAME&amp;" ")&amp;IF(shinsei_strtower19_prgo01_VER="","","Ver."&amp;shinsei_strtower19_prgo01_VER&amp;"  "),"")</f>
        <v>#NAME?</v>
      </c>
    </row>
    <row r="2555" spans="2:12" s="10" customFormat="1" ht="18" customHeight="1">
      <c r="B2555" s="105" t="s">
        <v>4000</v>
      </c>
      <c r="C2555" s="105"/>
      <c r="D2555" s="105"/>
      <c r="E2555" s="24"/>
      <c r="F2555" s="24"/>
      <c r="G2555" s="9"/>
      <c r="H2555" s="12"/>
    </row>
    <row r="2556" spans="2:12" s="10" customFormat="1" ht="18" customHeight="1">
      <c r="C2556" s="10" t="s">
        <v>3951</v>
      </c>
      <c r="D2556" s="12"/>
      <c r="G2556" s="9" t="s">
        <v>6970</v>
      </c>
      <c r="H2556" s="13"/>
      <c r="K2556" s="10" t="s">
        <v>3862</v>
      </c>
      <c r="L2556" s="10" t="s">
        <v>3879</v>
      </c>
    </row>
    <row r="2557" spans="2:12" s="10" customFormat="1" ht="18" customHeight="1">
      <c r="C2557" s="12" t="s">
        <v>3954</v>
      </c>
      <c r="D2557" s="12"/>
      <c r="G2557" s="9" t="s">
        <v>6971</v>
      </c>
      <c r="H2557" s="13"/>
    </row>
    <row r="2558" spans="2:12" s="10" customFormat="1" ht="18" customHeight="1">
      <c r="C2558" s="12" t="s">
        <v>3957</v>
      </c>
      <c r="D2558" s="12"/>
      <c r="G2558" s="9"/>
      <c r="H2558" s="9"/>
      <c r="I2558" s="10" t="s">
        <v>6972</v>
      </c>
      <c r="J2558" s="25" t="e">
        <f>IF(shinsei_strtower19_prgo02_NAME="","",IF(shinsei_strtower19_prgo02_NINTEI_NO="","無","有"))</f>
        <v>#NAME?</v>
      </c>
      <c r="K2558" s="10" t="s">
        <v>2941</v>
      </c>
      <c r="L2558" s="10" t="s">
        <v>3879</v>
      </c>
    </row>
    <row r="2559" spans="2:12" s="10" customFormat="1" ht="18" customHeight="1">
      <c r="C2559" s="12" t="s">
        <v>3960</v>
      </c>
      <c r="D2559" s="12"/>
      <c r="G2559" s="9" t="s">
        <v>6973</v>
      </c>
      <c r="H2559" s="13"/>
      <c r="I2559" s="10" t="s">
        <v>6974</v>
      </c>
      <c r="J2559" s="25" t="e">
        <f>IF(shinsei_strtower19_prgo02_NINTEI_NO="","",shinsei_strtower19_prgo02_NINTEI_NO)</f>
        <v>#NAME?</v>
      </c>
      <c r="K2559" s="10" t="s">
        <v>3862</v>
      </c>
      <c r="L2559" s="10" t="s">
        <v>3879</v>
      </c>
    </row>
    <row r="2560" spans="2:12" s="10" customFormat="1" ht="18" customHeight="1">
      <c r="C2560" s="12" t="s">
        <v>3964</v>
      </c>
      <c r="D2560" s="12"/>
      <c r="G2560" s="9" t="s">
        <v>6975</v>
      </c>
      <c r="H2560" s="74"/>
      <c r="I2560" s="10" t="s">
        <v>6976</v>
      </c>
      <c r="J2560" s="25" t="e">
        <f>IF(shinsei_strtower19_prgo02_NINTEI_DATE="","",shinsei_strtower19_prgo02_NINTEI_DATE)</f>
        <v>#NAME?</v>
      </c>
    </row>
    <row r="2561" spans="2:12" s="10" customFormat="1" ht="18" customHeight="1">
      <c r="C2561" s="12" t="s">
        <v>3967</v>
      </c>
      <c r="D2561" s="12"/>
      <c r="G2561" s="9" t="s">
        <v>6977</v>
      </c>
      <c r="H2561" s="13"/>
    </row>
    <row r="2562" spans="2:12" s="10" customFormat="1" ht="18" customHeight="1">
      <c r="C2562" s="12" t="s">
        <v>3970</v>
      </c>
      <c r="D2562" s="12"/>
      <c r="G2562" s="9"/>
      <c r="H2562" s="12"/>
      <c r="I2562" s="9" t="s">
        <v>6978</v>
      </c>
      <c r="J2562" s="25" t="e">
        <f>IF(shinsei_strtower19_prgo02_NAME="","",shinsei_strtower19_prgo02_NAME)&amp;CHAR(10)&amp;IF(shinsei_strtower19_prgo02_VER="","","Ver."&amp;shinsei_strtower19_prgo02_VER&amp;CHAR(10))</f>
        <v>#NAME?</v>
      </c>
    </row>
    <row r="2563" spans="2:12" s="10" customFormat="1" ht="18" customHeight="1">
      <c r="C2563" s="12" t="s">
        <v>3972</v>
      </c>
      <c r="D2563" s="12"/>
      <c r="G2563" s="9"/>
      <c r="H2563" s="12"/>
      <c r="I2563" s="9" t="s">
        <v>6979</v>
      </c>
      <c r="J2563" s="25" t="e">
        <f>IF(shinsei_strtower19_prgo02_NAME="","",shinsei_strtower19_prgo02_NAME&amp;" ")&amp;IF(shinsei_strtower19_prgo02_VER="","","Ver."&amp;shinsei_strtower19_prgo02_VER&amp;"  ")</f>
        <v>#NAME?</v>
      </c>
    </row>
    <row r="2564" spans="2:12" s="10" customFormat="1" ht="18" customHeight="1">
      <c r="C2564" s="12" t="s">
        <v>3974</v>
      </c>
      <c r="D2564" s="12"/>
      <c r="G2564" s="9"/>
      <c r="H2564" s="12"/>
    </row>
    <row r="2565" spans="2:12" s="10" customFormat="1" ht="18" customHeight="1">
      <c r="D2565" s="12" t="s">
        <v>3975</v>
      </c>
      <c r="G2565" s="9"/>
      <c r="H2565" s="12"/>
      <c r="I2565" s="9" t="s">
        <v>6980</v>
      </c>
      <c r="J2565" s="173" t="e">
        <f>IF(cst_shinsei_strtower19_prgo02_NINTEI__umu="有",IF(shinsei_strtower19_prgo02_MAKER_NAME="","",shinsei_strtower19_prgo02_MAKER_NAME&amp;"  "),"")</f>
        <v>#NAME?</v>
      </c>
    </row>
    <row r="2566" spans="2:12" s="10" customFormat="1" ht="18" customHeight="1">
      <c r="D2566" s="12" t="s">
        <v>3972</v>
      </c>
      <c r="G2566" s="9"/>
      <c r="H2566" s="12"/>
      <c r="I2566" s="9" t="s">
        <v>6981</v>
      </c>
      <c r="J2566" s="25" t="e">
        <f>IF(cst_shinsei_strtower19_prgo02_NINTEI__umu="有",IF(shinsei_strtower19_prgo02_NAME="","",shinsei_strtower19_prgo02_NAME&amp;" ")&amp;IF(shinsei_strtower19_prgo02_VER="","","Ver."&amp;shinsei_strtower19_prgo02_VER&amp;"  "),"")</f>
        <v>#NAME?</v>
      </c>
    </row>
    <row r="2567" spans="2:12" s="10" customFormat="1" ht="18" customHeight="1">
      <c r="C2567" s="12" t="s">
        <v>3981</v>
      </c>
      <c r="D2567" s="12"/>
      <c r="G2567" s="9"/>
      <c r="H2567" s="12"/>
    </row>
    <row r="2568" spans="2:12" s="10" customFormat="1" ht="18" customHeight="1">
      <c r="D2568" s="12" t="s">
        <v>3975</v>
      </c>
      <c r="G2568" s="9"/>
      <c r="H2568" s="12"/>
      <c r="I2568" s="9" t="s">
        <v>6982</v>
      </c>
      <c r="J2568" s="173" t="e">
        <f>IF(cst_shinsei_strtower19_prgo02_NINTEI__umu="無",IF(shinsei_strtower19_prgo02_MAKER_NAME="","",shinsei_strtower19_prgo02_MAKER_NAME&amp;"  "),"")</f>
        <v>#NAME?</v>
      </c>
    </row>
    <row r="2569" spans="2:12" s="10" customFormat="1" ht="18" customHeight="1">
      <c r="D2569" s="12" t="s">
        <v>3972</v>
      </c>
      <c r="G2569" s="9"/>
      <c r="H2569" s="12"/>
      <c r="I2569" s="9" t="s">
        <v>6983</v>
      </c>
      <c r="J2569" s="25" t="e">
        <f>IF(cst_shinsei_strtower19_prgo02_NINTEI__umu="無",IF(shinsei_strtower19_prgo02_NAME="","",shinsei_strtower19_prgo02_NAME&amp;" ")&amp;IF(shinsei_strtower19_prgo02_VER="","","Ver."&amp;shinsei_strtower19_prgo02_VER&amp;"  "),"")</f>
        <v>#NAME?</v>
      </c>
    </row>
    <row r="2570" spans="2:12" s="10" customFormat="1" ht="18" customHeight="1">
      <c r="B2570" s="105" t="s">
        <v>4016</v>
      </c>
      <c r="C2570" s="105"/>
      <c r="D2570" s="105"/>
      <c r="E2570" s="24"/>
      <c r="F2570" s="24"/>
      <c r="G2570" s="9"/>
      <c r="H2570" s="12"/>
    </row>
    <row r="2571" spans="2:12" s="10" customFormat="1" ht="18" customHeight="1">
      <c r="C2571" s="10" t="s">
        <v>3951</v>
      </c>
      <c r="D2571" s="12"/>
      <c r="G2571" s="9" t="s">
        <v>6984</v>
      </c>
      <c r="H2571" s="13"/>
    </row>
    <row r="2572" spans="2:12" s="10" customFormat="1" ht="18" customHeight="1">
      <c r="C2572" s="12" t="s">
        <v>3954</v>
      </c>
      <c r="D2572" s="12"/>
      <c r="G2572" s="9" t="s">
        <v>6985</v>
      </c>
      <c r="H2572" s="13"/>
    </row>
    <row r="2573" spans="2:12" s="10" customFormat="1" ht="18" customHeight="1">
      <c r="C2573" s="12" t="s">
        <v>3957</v>
      </c>
      <c r="D2573" s="12"/>
      <c r="G2573" s="9"/>
      <c r="H2573" s="9"/>
      <c r="I2573" s="10" t="s">
        <v>6986</v>
      </c>
      <c r="J2573" s="25" t="e">
        <f>IF(shinsei_strtower19_prgo03_NAME="","",IF(shinsei_strtower19_prgo03_NINTEI_NO="","無","有"))</f>
        <v>#NAME?</v>
      </c>
      <c r="K2573" s="10" t="s">
        <v>2941</v>
      </c>
      <c r="L2573" s="10" t="s">
        <v>3879</v>
      </c>
    </row>
    <row r="2574" spans="2:12" s="10" customFormat="1" ht="18" customHeight="1">
      <c r="C2574" s="12" t="s">
        <v>3960</v>
      </c>
      <c r="D2574" s="12"/>
      <c r="G2574" s="9" t="s">
        <v>6987</v>
      </c>
      <c r="H2574" s="13"/>
      <c r="K2574" s="10" t="s">
        <v>3862</v>
      </c>
      <c r="L2574" s="10" t="s">
        <v>3879</v>
      </c>
    </row>
    <row r="2575" spans="2:12" s="10" customFormat="1" ht="18" customHeight="1">
      <c r="C2575" s="12" t="s">
        <v>3964</v>
      </c>
      <c r="D2575" s="12"/>
      <c r="G2575" s="9" t="s">
        <v>6988</v>
      </c>
      <c r="H2575" s="74"/>
      <c r="I2575" s="10" t="s">
        <v>6989</v>
      </c>
      <c r="J2575" s="25" t="e">
        <f>IF(shinsei_strtower19_prgo03_NINTEI_DATE="","",TEXT(shinsei_strtower19_prgo03_NINTEI_DATE,"ggge年m月d日")&amp;"  ")</f>
        <v>#NAME?</v>
      </c>
    </row>
    <row r="2576" spans="2:12" s="10" customFormat="1" ht="18" customHeight="1">
      <c r="C2576" s="12" t="s">
        <v>3967</v>
      </c>
      <c r="D2576" s="12"/>
      <c r="G2576" s="9" t="s">
        <v>6990</v>
      </c>
      <c r="H2576" s="13"/>
      <c r="I2576" s="9"/>
      <c r="J2576" s="9"/>
    </row>
    <row r="2577" spans="2:12" s="10" customFormat="1" ht="18" customHeight="1">
      <c r="C2577" s="12" t="s">
        <v>3970</v>
      </c>
      <c r="D2577" s="12"/>
      <c r="G2577" s="9"/>
      <c r="H2577" s="12"/>
      <c r="I2577" s="9" t="s">
        <v>6991</v>
      </c>
      <c r="J2577" s="25" t="e">
        <f>IF(shinsei_strtower19_prgo03_NAME="","",shinsei_strtower19_prgo03_NAME)&amp;CHAR(10)&amp;IF(shinsei_strtower19_prgo03_VER="","","Ver."&amp;shinsei_strtower19_prgo03_VER&amp;CHAR(10))</f>
        <v>#NAME?</v>
      </c>
    </row>
    <row r="2578" spans="2:12" s="10" customFormat="1" ht="18" customHeight="1">
      <c r="C2578" s="12" t="s">
        <v>3972</v>
      </c>
      <c r="D2578" s="12"/>
      <c r="G2578" s="9"/>
      <c r="H2578" s="12"/>
      <c r="I2578" s="9" t="s">
        <v>6992</v>
      </c>
      <c r="J2578" s="25" t="e">
        <f>IF(shinsei_strtower19_prgo03_NAME="","",shinsei_strtower19_prgo03_NAME&amp;" ")&amp;IF(shinsei_strtower19_prgo03_VER="","","Ver."&amp;shinsei_strtower19_prgo03_VER&amp;"  ")</f>
        <v>#NAME?</v>
      </c>
    </row>
    <row r="2579" spans="2:12" s="10" customFormat="1" ht="18" customHeight="1">
      <c r="C2579" s="12" t="s">
        <v>3974</v>
      </c>
      <c r="D2579" s="12"/>
      <c r="G2579" s="9"/>
      <c r="H2579" s="12"/>
    </row>
    <row r="2580" spans="2:12" s="10" customFormat="1" ht="18" customHeight="1">
      <c r="D2580" s="12" t="s">
        <v>3975</v>
      </c>
      <c r="G2580" s="9"/>
      <c r="H2580" s="12"/>
      <c r="I2580" s="9" t="s">
        <v>6993</v>
      </c>
      <c r="J2580" s="173" t="e">
        <f>IF(cst_shinsei_strtower19_prgo03_NINTEI__umu="有",IF(shinsei_strtower19_prgo03_MAKER_NAME="","",shinsei_strtower19_prgo03_MAKER_NAME&amp;"  "),"")</f>
        <v>#NAME?</v>
      </c>
    </row>
    <row r="2581" spans="2:12" s="10" customFormat="1" ht="18" customHeight="1">
      <c r="D2581" s="12" t="s">
        <v>3972</v>
      </c>
      <c r="G2581" s="9"/>
      <c r="H2581" s="12"/>
      <c r="I2581" s="9" t="s">
        <v>6994</v>
      </c>
      <c r="J2581" s="25" t="e">
        <f>IF(cst_shinsei_strtower19_prgo03_NINTEI__umu="有",IF(shinsei_strtower19_prgo03_NAME="","",shinsei_strtower19_prgo03_NAME&amp;" ")&amp;IF(shinsei_strtower19_prgo03_VER="","","Ver."&amp;shinsei_strtower19_prgo03_VER&amp;"  "),"")</f>
        <v>#NAME?</v>
      </c>
    </row>
    <row r="2582" spans="2:12" s="10" customFormat="1" ht="18" customHeight="1">
      <c r="C2582" s="12" t="s">
        <v>3981</v>
      </c>
      <c r="D2582" s="12"/>
      <c r="G2582" s="9"/>
      <c r="H2582" s="12"/>
    </row>
    <row r="2583" spans="2:12" s="10" customFormat="1" ht="18" customHeight="1">
      <c r="D2583" s="12" t="s">
        <v>3975</v>
      </c>
      <c r="G2583" s="9"/>
      <c r="H2583" s="12"/>
      <c r="I2583" s="9" t="s">
        <v>6995</v>
      </c>
      <c r="J2583" s="173" t="e">
        <f>IF(cst_shinsei_strtower19_prgo03_NINTEI__umu="無",IF(shinsei_strtower19_prgo03_MAKER_NAME="","",shinsei_strtower19_prgo03_MAKER_NAME&amp;"  "),"")</f>
        <v>#NAME?</v>
      </c>
    </row>
    <row r="2584" spans="2:12" s="10" customFormat="1" ht="18" customHeight="1">
      <c r="D2584" s="12" t="s">
        <v>3972</v>
      </c>
      <c r="G2584" s="9"/>
      <c r="H2584" s="12"/>
      <c r="I2584" s="9" t="s">
        <v>6996</v>
      </c>
      <c r="J2584" s="25" t="e">
        <f>IF(cst_shinsei_strtower19_prgo03_NINTEI__umu="無",IF(shinsei_strtower19_prgo03_NAME="","",shinsei_strtower19_prgo03_NAME&amp;" ")&amp;IF(shinsei_strtower19_prgo03_VER="","","Ver."&amp;shinsei_strtower19_prgo03_VER&amp;"  "),"")</f>
        <v>#NAME?</v>
      </c>
    </row>
    <row r="2585" spans="2:12" s="10" customFormat="1" ht="18" customHeight="1">
      <c r="B2585" s="105" t="s">
        <v>4031</v>
      </c>
      <c r="C2585" s="105"/>
      <c r="D2585" s="105"/>
      <c r="E2585" s="24"/>
      <c r="F2585" s="24"/>
      <c r="G2585" s="9"/>
      <c r="H2585" s="12"/>
    </row>
    <row r="2586" spans="2:12" s="10" customFormat="1" ht="18" customHeight="1">
      <c r="C2586" s="10" t="s">
        <v>3951</v>
      </c>
      <c r="D2586" s="12"/>
      <c r="G2586" s="9" t="s">
        <v>6997</v>
      </c>
      <c r="H2586" s="13"/>
    </row>
    <row r="2587" spans="2:12" s="10" customFormat="1" ht="18" customHeight="1">
      <c r="C2587" s="12" t="s">
        <v>3954</v>
      </c>
      <c r="D2587" s="12"/>
      <c r="G2587" s="9" t="s">
        <v>6998</v>
      </c>
      <c r="H2587" s="13"/>
    </row>
    <row r="2588" spans="2:12" s="10" customFormat="1" ht="18" customHeight="1">
      <c r="C2588" s="12" t="s">
        <v>3957</v>
      </c>
      <c r="D2588" s="12"/>
      <c r="G2588" s="9"/>
      <c r="H2588" s="9"/>
      <c r="I2588" s="10" t="s">
        <v>6999</v>
      </c>
      <c r="J2588" s="25" t="e">
        <f>IF(shinsei_strtower19_prgo04_NAME="","",IF(shinsei_strtower19_prgo04_NINTEI_NO="","無","有"))</f>
        <v>#NAME?</v>
      </c>
      <c r="K2588" s="10" t="s">
        <v>2941</v>
      </c>
      <c r="L2588" s="10" t="s">
        <v>3879</v>
      </c>
    </row>
    <row r="2589" spans="2:12" s="10" customFormat="1" ht="18" customHeight="1">
      <c r="C2589" s="12" t="s">
        <v>3960</v>
      </c>
      <c r="D2589" s="12"/>
      <c r="G2589" s="9" t="s">
        <v>7000</v>
      </c>
      <c r="H2589" s="13"/>
      <c r="K2589" s="10" t="s">
        <v>3862</v>
      </c>
      <c r="L2589" s="10" t="s">
        <v>3879</v>
      </c>
    </row>
    <row r="2590" spans="2:12" s="10" customFormat="1" ht="18" customHeight="1">
      <c r="C2590" s="12" t="s">
        <v>3964</v>
      </c>
      <c r="D2590" s="12"/>
      <c r="G2590" s="9" t="s">
        <v>7001</v>
      </c>
      <c r="H2590" s="74"/>
      <c r="I2590" s="10" t="s">
        <v>7002</v>
      </c>
      <c r="J2590" s="25" t="e">
        <f>IF(shinsei_strtower19_prgo04_NINTEI_DATE="","",TEXT(shinsei_strtower19_prgo04_NINTEI_DATE,"ggge年m月d日")&amp;"  ")</f>
        <v>#NAME?</v>
      </c>
    </row>
    <row r="2591" spans="2:12" s="10" customFormat="1" ht="18" customHeight="1">
      <c r="C2591" s="12" t="s">
        <v>3967</v>
      </c>
      <c r="D2591" s="12"/>
      <c r="G2591" s="9" t="s">
        <v>7003</v>
      </c>
      <c r="H2591" s="13"/>
      <c r="I2591" s="9"/>
      <c r="J2591" s="9"/>
    </row>
    <row r="2592" spans="2:12" s="10" customFormat="1" ht="18" customHeight="1">
      <c r="C2592" s="12" t="s">
        <v>3970</v>
      </c>
      <c r="D2592" s="12"/>
      <c r="G2592" s="9"/>
      <c r="H2592" s="12"/>
      <c r="I2592" s="9" t="s">
        <v>7004</v>
      </c>
      <c r="J2592" s="25" t="e">
        <f>IF(shinsei_strtower19_prgo04_NAME="","",shinsei_strtower19_prgo04_NAME)&amp;CHAR(10)&amp;IF(shinsei_strtower19_prgo04_VER="","","Ver."&amp;shinsei_strtower19_prgo04_VER&amp;CHAR(10))</f>
        <v>#NAME?</v>
      </c>
    </row>
    <row r="2593" spans="2:12" s="10" customFormat="1" ht="18" customHeight="1">
      <c r="C2593" s="12" t="s">
        <v>3972</v>
      </c>
      <c r="D2593" s="12"/>
      <c r="G2593" s="9"/>
      <c r="H2593" s="12"/>
      <c r="I2593" s="9" t="s">
        <v>7005</v>
      </c>
      <c r="J2593" s="25" t="e">
        <f>IF(shinsei_strtower19_prgo04_NAME="","",shinsei_strtower19_prgo04_NAME&amp;" ")&amp;IF(shinsei_strtower19_prgo04_VER="","","Ver."&amp;shinsei_strtower19_prgo04_VER&amp;"  ")</f>
        <v>#NAME?</v>
      </c>
    </row>
    <row r="2594" spans="2:12" s="10" customFormat="1" ht="18" customHeight="1">
      <c r="C2594" s="12" t="s">
        <v>3974</v>
      </c>
      <c r="D2594" s="12"/>
      <c r="G2594" s="9"/>
      <c r="H2594" s="12"/>
    </row>
    <row r="2595" spans="2:12" s="10" customFormat="1" ht="18" customHeight="1">
      <c r="D2595" s="12" t="s">
        <v>3975</v>
      </c>
      <c r="G2595" s="9"/>
      <c r="H2595" s="12"/>
      <c r="I2595" s="9" t="s">
        <v>8380</v>
      </c>
      <c r="J2595" s="173" t="e">
        <f>IF(cst_shinsei_strtower19_prgo04_NINTEI__umu="有",IF(shinsei_strtower19_prgo04_MAKER_NAME="","",shinsei_strtower19_prgo04_MAKER_NAME&amp;"  "),"")</f>
        <v>#NAME?</v>
      </c>
    </row>
    <row r="2596" spans="2:12" s="10" customFormat="1" ht="18" customHeight="1">
      <c r="D2596" s="12" t="s">
        <v>3972</v>
      </c>
      <c r="G2596" s="9"/>
      <c r="H2596" s="12"/>
      <c r="I2596" s="9" t="s">
        <v>8381</v>
      </c>
      <c r="J2596" s="25" t="e">
        <f>IF(cst_shinsei_strtower19_prgo04_NINTEI__umu="有",IF(shinsei_strtower19_prgo04_NAME="","",shinsei_strtower19_prgo04_NAME&amp;" ")&amp;IF(shinsei_strtower19_prgo04_VER="","","Ver."&amp;shinsei_strtower19_prgo04_VER&amp;"  "),"")</f>
        <v>#NAME?</v>
      </c>
    </row>
    <row r="2597" spans="2:12" s="10" customFormat="1" ht="18" customHeight="1">
      <c r="C2597" s="12" t="s">
        <v>3981</v>
      </c>
      <c r="D2597" s="12"/>
      <c r="G2597" s="9"/>
      <c r="H2597" s="12"/>
    </row>
    <row r="2598" spans="2:12" s="10" customFormat="1" ht="18" customHeight="1">
      <c r="D2598" s="12" t="s">
        <v>3975</v>
      </c>
      <c r="G2598" s="9"/>
      <c r="H2598" s="12"/>
      <c r="I2598" s="9" t="s">
        <v>8382</v>
      </c>
      <c r="J2598" s="173" t="e">
        <f>IF(cst_shinsei_strtower19_prgo04_NINTEI__umu="無",IF(shinsei_strtower19_prgo04_MAKER_NAME="","",shinsei_strtower19_prgo04_MAKER_NAME&amp;"  "),"")</f>
        <v>#NAME?</v>
      </c>
    </row>
    <row r="2599" spans="2:12" s="10" customFormat="1" ht="18" customHeight="1">
      <c r="D2599" s="12" t="s">
        <v>3972</v>
      </c>
      <c r="G2599" s="9"/>
      <c r="H2599" s="12"/>
      <c r="I2599" s="9" t="s">
        <v>8383</v>
      </c>
      <c r="J2599" s="25" t="e">
        <f>IF(cst_shinsei_strtower19_prgo04_NINTEI__umu="無",IF(shinsei_strtower19_prgo04_NAME="","",shinsei_strtower19_prgo04_NAME&amp;" ")&amp;IF(shinsei_strtower19_prgo04_VER="","","Ver."&amp;shinsei_strtower19_prgo04_VER&amp;"  "),"")</f>
        <v>#NAME?</v>
      </c>
    </row>
    <row r="2600" spans="2:12" s="10" customFormat="1" ht="18" customHeight="1">
      <c r="B2600" s="105" t="s">
        <v>4049</v>
      </c>
      <c r="C2600" s="105"/>
      <c r="D2600" s="105"/>
      <c r="E2600" s="24"/>
      <c r="F2600" s="24"/>
      <c r="G2600" s="9"/>
      <c r="H2600" s="12"/>
    </row>
    <row r="2601" spans="2:12" s="10" customFormat="1" ht="18" customHeight="1">
      <c r="C2601" s="10" t="s">
        <v>3951</v>
      </c>
      <c r="D2601" s="12"/>
      <c r="G2601" s="9" t="s">
        <v>8384</v>
      </c>
      <c r="H2601" s="13"/>
    </row>
    <row r="2602" spans="2:12" s="10" customFormat="1" ht="18" customHeight="1">
      <c r="C2602" s="12" t="s">
        <v>3954</v>
      </c>
      <c r="D2602" s="12"/>
      <c r="G2602" s="9" t="s">
        <v>8385</v>
      </c>
      <c r="H2602" s="13"/>
    </row>
    <row r="2603" spans="2:12" s="10" customFormat="1" ht="18" customHeight="1">
      <c r="C2603" s="12" t="s">
        <v>3957</v>
      </c>
      <c r="D2603" s="12"/>
      <c r="G2603" s="9"/>
      <c r="H2603" s="9"/>
      <c r="I2603" s="10" t="s">
        <v>8386</v>
      </c>
      <c r="J2603" s="25" t="e">
        <f>IF(shinsei_strtower19_prgo05_NAME="","",IF(shinsei_strtower19_prgo05_NINTEI_NO="","無","有"))</f>
        <v>#NAME?</v>
      </c>
      <c r="K2603" s="10" t="s">
        <v>2941</v>
      </c>
      <c r="L2603" s="10" t="s">
        <v>3879</v>
      </c>
    </row>
    <row r="2604" spans="2:12" s="10" customFormat="1" ht="18" customHeight="1">
      <c r="C2604" s="12" t="s">
        <v>3960</v>
      </c>
      <c r="D2604" s="12"/>
      <c r="G2604" s="9" t="s">
        <v>8387</v>
      </c>
      <c r="H2604" s="13"/>
      <c r="K2604" s="10" t="s">
        <v>3862</v>
      </c>
      <c r="L2604" s="10" t="s">
        <v>3879</v>
      </c>
    </row>
    <row r="2605" spans="2:12" s="10" customFormat="1" ht="18" customHeight="1">
      <c r="C2605" s="12" t="s">
        <v>3964</v>
      </c>
      <c r="D2605" s="12"/>
      <c r="G2605" s="9" t="s">
        <v>8388</v>
      </c>
      <c r="H2605" s="74"/>
      <c r="I2605" s="10" t="s">
        <v>8389</v>
      </c>
      <c r="J2605" s="25" t="e">
        <f>IF(shinsei_strtower19_prgo05_NINTEI_DATE="","",TEXT(shinsei_strtower19_prgo05_NINTEI_DATE,"ggge年m月d日")&amp;"  ")</f>
        <v>#NAME?</v>
      </c>
    </row>
    <row r="2606" spans="2:12" s="10" customFormat="1" ht="18" customHeight="1">
      <c r="C2606" s="12" t="s">
        <v>3967</v>
      </c>
      <c r="D2606" s="12"/>
      <c r="G2606" s="9" t="s">
        <v>8390</v>
      </c>
      <c r="H2606" s="13"/>
    </row>
    <row r="2607" spans="2:12" s="10" customFormat="1" ht="18" customHeight="1">
      <c r="C2607" s="12" t="s">
        <v>3970</v>
      </c>
      <c r="D2607" s="12"/>
      <c r="G2607" s="9"/>
      <c r="H2607" s="12"/>
      <c r="I2607" s="9" t="s">
        <v>8391</v>
      </c>
      <c r="J2607" s="25" t="e">
        <f>IF(shinsei_strtower19_prgo05_NAME="","",shinsei_strtower19_prgo05_NAME)&amp;CHAR(10)&amp;IF(shinsei_strtower19_prgo05_VER="","","Ver."&amp;shinsei_strtower19_prgo05_VER&amp;CHAR(10))</f>
        <v>#NAME?</v>
      </c>
    </row>
    <row r="2608" spans="2:12" s="10" customFormat="1" ht="18" customHeight="1">
      <c r="C2608" s="12" t="s">
        <v>3972</v>
      </c>
      <c r="D2608" s="12"/>
      <c r="G2608" s="9"/>
      <c r="H2608" s="12"/>
      <c r="I2608" s="9" t="s">
        <v>8392</v>
      </c>
      <c r="J2608" s="25" t="e">
        <f>IF(shinsei_strtower19_prgo05_NAME="","",shinsei_strtower19_prgo05_NAME&amp;" ")&amp;IF(shinsei_strtower19_prgo05_VER="","","Ver."&amp;shinsei_strtower19_prgo05_VER&amp;"  ")</f>
        <v>#NAME?</v>
      </c>
    </row>
    <row r="2609" spans="2:10" s="10" customFormat="1" ht="18" customHeight="1">
      <c r="C2609" s="12" t="s">
        <v>3974</v>
      </c>
      <c r="D2609" s="12"/>
      <c r="G2609" s="9"/>
      <c r="H2609" s="12"/>
    </row>
    <row r="2610" spans="2:10" s="10" customFormat="1" ht="18" customHeight="1">
      <c r="D2610" s="12" t="s">
        <v>3975</v>
      </c>
      <c r="G2610" s="9"/>
      <c r="H2610" s="12"/>
      <c r="I2610" s="9" t="s">
        <v>8393</v>
      </c>
      <c r="J2610" s="173" t="e">
        <f>IF(cst_shinsei_strtower19_prgo05_NINTEI__umu="有",IF(shinsei_strtower19_prgo05_MAKER_NAME="","",shinsei_strtower19_prgo05_MAKER_NAME&amp;"  "),"")</f>
        <v>#NAME?</v>
      </c>
    </row>
    <row r="2611" spans="2:10" s="10" customFormat="1" ht="18" customHeight="1">
      <c r="D2611" s="12" t="s">
        <v>3972</v>
      </c>
      <c r="G2611" s="9"/>
      <c r="H2611" s="12"/>
      <c r="I2611" s="9" t="s">
        <v>8394</v>
      </c>
      <c r="J2611" s="25" t="e">
        <f>IF(cst_shinsei_strtower19_prgo05_NINTEI__umu="有",IF(shinsei_strtower19_prgo05_NAME="","",shinsei_strtower19_prgo05_NAME&amp;" ")&amp;IF(shinsei_strtower19_prgo05_VER="","","Ver."&amp;shinsei_strtower19_prgo05_VER&amp;"  "),"")</f>
        <v>#NAME?</v>
      </c>
    </row>
    <row r="2612" spans="2:10" s="10" customFormat="1" ht="18" customHeight="1">
      <c r="C2612" s="12" t="s">
        <v>3981</v>
      </c>
      <c r="D2612" s="12"/>
      <c r="G2612" s="9"/>
      <c r="H2612" s="12"/>
    </row>
    <row r="2613" spans="2:10" s="10" customFormat="1" ht="18" customHeight="1">
      <c r="D2613" s="12" t="s">
        <v>3975</v>
      </c>
      <c r="G2613" s="9"/>
      <c r="H2613" s="12"/>
      <c r="I2613" s="9" t="s">
        <v>8395</v>
      </c>
      <c r="J2613" s="173" t="e">
        <f>IF(cst_shinsei_strtower19_prgo05_NINTEI__umu="無",IF(shinsei_strtower19_prgo05_MAKER_NAME="","",shinsei_strtower19_prgo05_MAKER_NAME&amp;"  "),"")</f>
        <v>#NAME?</v>
      </c>
    </row>
    <row r="2614" spans="2:10" s="10" customFormat="1" ht="18" customHeight="1">
      <c r="D2614" s="12" t="s">
        <v>3972</v>
      </c>
      <c r="G2614" s="9"/>
      <c r="H2614" s="12"/>
      <c r="I2614" s="9" t="s">
        <v>8396</v>
      </c>
      <c r="J2614" s="25" t="e">
        <f>IF(cst_shinsei_strtower19_prgo05_NINTEI__umu="無",IF(shinsei_strtower19_prgo05_NAME="","",shinsei_strtower19_prgo05_NAME&amp;" ")&amp;IF(shinsei_strtower19_prgo05_VER="","","Ver."&amp;shinsei_strtower19_prgo05_VER&amp;"  "),"")</f>
        <v>#NAME?</v>
      </c>
    </row>
    <row r="2615" spans="2:10" s="10" customFormat="1" ht="18" customHeight="1">
      <c r="B2615" s="13" t="s">
        <v>3827</v>
      </c>
      <c r="C2615" s="13"/>
      <c r="D2615" s="13"/>
      <c r="E2615" s="25"/>
      <c r="F2615" s="25"/>
      <c r="G2615" s="9"/>
      <c r="H2615" s="80"/>
      <c r="I2615" s="9"/>
      <c r="J2615" s="80"/>
    </row>
    <row r="2616" spans="2:10" s="10" customFormat="1" ht="18" customHeight="1">
      <c r="C2616" s="12" t="s">
        <v>3970</v>
      </c>
      <c r="D2616" s="12"/>
      <c r="G2616" s="9"/>
      <c r="H2616" s="80"/>
      <c r="I2616" s="166" t="s">
        <v>8397</v>
      </c>
      <c r="J2616" s="74" t="e">
        <f>cst_shinsei_strtower19_prgo01_NAME_VER&amp;cst_shinsei_strtower19_prgo02_NAME_VER&amp;cst_shinsei_strtower19_prgo03_NAME_VER&amp;cst_shinsei_strtower19_prgo04_NAME_VER&amp;cst_shinsei_strtower19_prgo05_NAME_VER</f>
        <v>#NAME?</v>
      </c>
    </row>
    <row r="2617" spans="2:10" s="10" customFormat="1" ht="18" customHeight="1">
      <c r="C2617" s="12" t="s">
        <v>3972</v>
      </c>
      <c r="D2617" s="12"/>
      <c r="G2617" s="9"/>
      <c r="H2617" s="80"/>
      <c r="I2617" s="166" t="s">
        <v>8398</v>
      </c>
      <c r="J2617" s="74" t="e">
        <f>cst_shinsei_strtower19_prgo01_NAME_VER__SP&amp;cst_shinsei_strtower19_prgo02_NAME_VER__SP&amp;cst_shinsei_strtower19_prgo03_NAME_VER__SP&amp;cst_shinsei_strtower19_prgo04_NAME_VER__SP&amp;cst_shinsei_strtower19_prgo05_NAME_VER__SP</f>
        <v>#NAME?</v>
      </c>
    </row>
    <row r="2618" spans="2:10" s="10" customFormat="1" ht="18" customHeight="1">
      <c r="B2618" s="13" t="s">
        <v>4068</v>
      </c>
      <c r="C2618" s="13"/>
      <c r="D2618" s="13"/>
      <c r="E2618" s="25"/>
      <c r="F2618" s="25"/>
      <c r="G2618" s="9"/>
      <c r="H2618" s="80"/>
      <c r="I2618" s="9"/>
      <c r="J2618" s="80"/>
    </row>
    <row r="2619" spans="2:10" s="10" customFormat="1" ht="18" customHeight="1">
      <c r="C2619" s="12" t="s">
        <v>3975</v>
      </c>
      <c r="D2619" s="12"/>
      <c r="G2619" s="9"/>
      <c r="H2619" s="80"/>
      <c r="I2619" s="166" t="s">
        <v>8399</v>
      </c>
      <c r="J2619" s="74" t="e">
        <f>cst_shinsei_strtower19_prgo01_MAKER__NINTEI_ari&amp;cst_shinsei_strtower19_prgo02_MAKER__NINTEI_ari&amp;cst_shinsei_strtower19_prgo03_MAKER__NINTEI_ari&amp;cst_shinsei_strtower19_prgo04_MAKER__NINTEI_ari&amp;cst_shinsei_strtower19_prgo05_MAKER__NINTEI_ari</f>
        <v>#NAME?</v>
      </c>
    </row>
    <row r="2620" spans="2:10" s="10" customFormat="1" ht="18" customHeight="1">
      <c r="C2620" s="12" t="s">
        <v>3972</v>
      </c>
      <c r="D2620" s="12"/>
      <c r="G2620" s="9"/>
      <c r="H2620" s="80"/>
      <c r="I2620" s="166" t="s">
        <v>8400</v>
      </c>
      <c r="J2620" s="173" t="e">
        <f>cst_shinsei_strtower19_prgo01_NAME_VER__NINTEI_ari&amp;cst_shinsei_strtower19_prgo02_NAME_VER__NINTEI_ari&amp;cst_shinsei_strtower19_prgo03_NAME_VER__NINTEI_ari&amp;cst_shinsei_strtower19_prgo04_NAME_VER__NINTEI_ari&amp;cst_shinsei_strtower19_prgo05_NAME_VER__NINTEI_ari</f>
        <v>#NAME?</v>
      </c>
    </row>
    <row r="2621" spans="2:10" s="10" customFormat="1" ht="18" customHeight="1">
      <c r="C2621" s="12" t="s">
        <v>3964</v>
      </c>
      <c r="D2621" s="12"/>
      <c r="G2621" s="9"/>
      <c r="H2621" s="80"/>
      <c r="I2621" s="166" t="s">
        <v>8401</v>
      </c>
      <c r="J2621" s="74" t="e">
        <f>cst_shinsei_strtower19_prgo01_NINTEI_DATE_dsp&amp;cst_shinsei_strtower19_prgo02_NINTEI_DATE_dsp&amp;cst_shinsei_strtower19_prgo03_NINTEI_DATE_dsp&amp;cst_shinsei_strtower19_prgo04_NINTEI_DATE_dsp&amp;cst_shinsei_strtower19_prgo05_NINTEI_DATE_dsp</f>
        <v>#NAME?</v>
      </c>
    </row>
    <row r="2622" spans="2:10" s="10" customFormat="1" ht="18" customHeight="1">
      <c r="B2622" s="13" t="s">
        <v>4072</v>
      </c>
      <c r="C2622" s="13"/>
      <c r="D2622" s="13"/>
      <c r="E2622" s="25"/>
      <c r="F2622" s="25"/>
      <c r="G2622" s="9"/>
      <c r="H2622" s="80"/>
      <c r="I2622" s="9"/>
      <c r="J2622" s="80"/>
    </row>
    <row r="2623" spans="2:10" s="10" customFormat="1" ht="18" customHeight="1">
      <c r="C2623" s="12" t="s">
        <v>3975</v>
      </c>
      <c r="D2623" s="12"/>
      <c r="G2623" s="9"/>
      <c r="H2623" s="80"/>
      <c r="I2623" s="166" t="s">
        <v>8402</v>
      </c>
      <c r="J2623" s="74" t="e">
        <f>cst_shinsei_strtower19_prgo01_MAKER__NINTEI_non&amp;cst_shinsei_strtower19_prgo02_MAKER__NINTEI_non&amp;cst_shinsei_strtower19_prgo03_MAKER__NINTEI_non&amp;cst_shinsei_strtower19_prgo04_MAKER__NINTEI_non&amp;cst_shinsei_strtower19_prgo05_MAKER__NINTEI_non</f>
        <v>#NAME?</v>
      </c>
    </row>
    <row r="2624" spans="2:10" s="10" customFormat="1" ht="18" customHeight="1">
      <c r="C2624" s="12" t="s">
        <v>3972</v>
      </c>
      <c r="D2624" s="12"/>
      <c r="G2624" s="9"/>
      <c r="H2624" s="80"/>
      <c r="I2624" s="166" t="s">
        <v>8403</v>
      </c>
      <c r="J2624" s="173" t="e">
        <f>cst_shinsei_strtower19_prgo01_NAME_VER__NINTEI_non&amp;cst_shinsei_strtower19_prgo02_NAME_VER__NINTEI_non&amp;cst_shinsei_strtower19_prgo03_NAME_VER__NINTEI_non&amp;cst_shinsei_strtower19_prgo04_NAME_VER__NINTEI_non&amp;cst_shinsei_strtower19_prgo05_NAME_VER__NINTEI_non</f>
        <v>#NAME?</v>
      </c>
    </row>
    <row r="2625" spans="1:12" s="10" customFormat="1" ht="18" customHeight="1">
      <c r="B2625" s="12" t="s">
        <v>4075</v>
      </c>
      <c r="G2625" s="9" t="s">
        <v>8404</v>
      </c>
      <c r="H2625" s="20"/>
      <c r="I2625" s="9" t="s">
        <v>8405</v>
      </c>
      <c r="J2625" s="20" t="e">
        <f>IF(shinsei_strtower19_DISK_FLAG="","",IF(shinsei_strtower19_DISK_FLAG=1,"有","無"))</f>
        <v>#NAME?</v>
      </c>
    </row>
    <row r="2626" spans="1:12" s="10" customFormat="1" ht="18" customHeight="1">
      <c r="A2626" s="9"/>
      <c r="B2626" s="9" t="s">
        <v>2955</v>
      </c>
      <c r="C2626" s="9"/>
      <c r="D2626" s="9"/>
      <c r="E2626" s="9"/>
      <c r="F2626" s="9"/>
      <c r="G2626" s="9" t="s">
        <v>8406</v>
      </c>
      <c r="H2626" s="136"/>
      <c r="I2626" s="19" t="s">
        <v>8407</v>
      </c>
      <c r="J2626" s="171" t="e">
        <f>IF(shinsei_strtower19_CHARGE="","",shinsei_strtower19_CHARGE)</f>
        <v>#NAME?</v>
      </c>
      <c r="K2626" s="9" t="s">
        <v>2528</v>
      </c>
      <c r="L2626" s="9" t="s">
        <v>2528</v>
      </c>
    </row>
    <row r="2627" spans="1:12" ht="18" customHeight="1">
      <c r="A2627" s="149"/>
      <c r="B2627" s="149"/>
      <c r="C2627" s="149"/>
      <c r="D2627" s="149"/>
      <c r="E2627" s="12" t="s">
        <v>3907</v>
      </c>
      <c r="F2627" s="12"/>
      <c r="G2627" s="149"/>
      <c r="I2627" s="100" t="s">
        <v>8408</v>
      </c>
      <c r="J2627" s="171" t="e">
        <f>IF(shinsei_strtower19_CHARGE="","",TEXT(shinsei_strtower19_CHARGE,"#,##0_ ")&amp;"円")</f>
        <v>#NAME?</v>
      </c>
      <c r="K2627" s="9"/>
      <c r="L2627" s="9"/>
    </row>
    <row r="2628" spans="1:12" ht="18" customHeight="1">
      <c r="A2628" s="149"/>
      <c r="B2628" s="149" t="s">
        <v>3041</v>
      </c>
      <c r="C2628" s="149"/>
      <c r="D2628" s="149"/>
      <c r="E2628" s="149"/>
      <c r="F2628" s="149"/>
      <c r="G2628" s="149" t="s">
        <v>8409</v>
      </c>
      <c r="H2628" s="136"/>
      <c r="I2628" s="100" t="s">
        <v>8410</v>
      </c>
      <c r="J2628" s="136" t="e">
        <f>IF(shinsei_strtower19_CHARGE_WARIMASHI="","",shinsei_strtower19_CHARGE_WARIMASHI)</f>
        <v>#NAME?</v>
      </c>
      <c r="K2628" s="9" t="s">
        <v>2528</v>
      </c>
      <c r="L2628" s="9" t="s">
        <v>2528</v>
      </c>
    </row>
    <row r="2629" spans="1:12" ht="18" customHeight="1">
      <c r="A2629" s="149"/>
      <c r="B2629" s="149" t="s">
        <v>3043</v>
      </c>
      <c r="C2629" s="149"/>
      <c r="D2629" s="149"/>
      <c r="E2629" s="149"/>
      <c r="F2629" s="149"/>
      <c r="G2629" s="149" t="s">
        <v>8411</v>
      </c>
      <c r="H2629" s="136"/>
      <c r="I2629" s="100" t="s">
        <v>8412</v>
      </c>
      <c r="J2629" s="136" t="e">
        <f>IF(shinsei_strtower19_CHARGE_TOTAL="","",shinsei_strtower19_CHARGE_TOTAL)</f>
        <v>#NAME?</v>
      </c>
      <c r="K2629" s="9" t="s">
        <v>2528</v>
      </c>
      <c r="L2629" s="9" t="s">
        <v>2528</v>
      </c>
    </row>
    <row r="2630" spans="1:12" ht="18" customHeight="1">
      <c r="A2630" s="149"/>
      <c r="B2630" s="149" t="s">
        <v>5637</v>
      </c>
      <c r="C2630" s="149"/>
      <c r="D2630" s="149"/>
      <c r="E2630" s="149"/>
      <c r="F2630" s="149"/>
      <c r="G2630" s="149" t="s">
        <v>8413</v>
      </c>
      <c r="H2630" s="13"/>
      <c r="I2630" s="176" t="s">
        <v>8414</v>
      </c>
      <c r="J2630" s="20" t="e">
        <f>IF(shinsei_strtower19_CHARGE_KEISAN_NOTE="","",shinsei_strtower19_CHARGE_KEISAN_NOTE)</f>
        <v>#NAME?</v>
      </c>
      <c r="K2630" s="10" t="s">
        <v>3862</v>
      </c>
      <c r="L2630" s="10" t="s">
        <v>3879</v>
      </c>
    </row>
    <row r="2631" spans="1:12" ht="18" customHeight="1">
      <c r="A2631" s="149"/>
      <c r="B2631" s="149"/>
      <c r="C2631" s="149"/>
      <c r="D2631" s="149"/>
      <c r="E2631" s="149" t="s">
        <v>5640</v>
      </c>
      <c r="F2631" s="149"/>
      <c r="G2631" s="149"/>
      <c r="I2631" s="100" t="s">
        <v>8415</v>
      </c>
      <c r="J2631" s="20" t="e">
        <f>IF(shinsei_INSPECTION_TYPE="計画変更",IF(shinsei_strtower19_CHARGE="","","延べ面積×1/2により算出"),IF(shinsei_strtower19_CHARGE_KEISAN_NOTE="","",shinsei_strtower19_CHARGE_KEISAN_NOTE))</f>
        <v>#NAME?</v>
      </c>
    </row>
    <row r="2632" spans="1:12" ht="18" customHeight="1">
      <c r="A2632" s="149"/>
      <c r="B2632" s="149" t="s">
        <v>5642</v>
      </c>
      <c r="C2632" s="149"/>
      <c r="D2632" s="149"/>
      <c r="E2632" s="149"/>
      <c r="F2632" s="149"/>
      <c r="G2632" s="149" t="s">
        <v>8416</v>
      </c>
      <c r="H2632" s="13"/>
      <c r="I2632" s="149" t="s">
        <v>8417</v>
      </c>
      <c r="J2632" s="20" t="e">
        <f>IF(shinsei_strtower19_KEISAN_X_ROUTE="","",shinsei_strtower19_KEISAN_X_ROUTE)</f>
        <v>#NAME?</v>
      </c>
    </row>
    <row r="2633" spans="1:12" ht="18" customHeight="1">
      <c r="A2633" s="149"/>
      <c r="B2633" s="149" t="s">
        <v>5645</v>
      </c>
      <c r="C2633" s="149"/>
      <c r="D2633" s="149"/>
      <c r="E2633" s="149"/>
      <c r="F2633" s="149"/>
      <c r="G2633" s="149" t="s">
        <v>8418</v>
      </c>
      <c r="H2633" s="13"/>
      <c r="I2633" s="149" t="s">
        <v>8419</v>
      </c>
      <c r="J2633" s="20" t="e">
        <f>IF(shinsei_strtower19_KEISAN_Y_ROUTE="","",shinsei_strtower19_KEISAN_Y_ROUTE)</f>
        <v>#NAME?</v>
      </c>
    </row>
    <row r="2634" spans="1:12" ht="18" customHeight="1">
      <c r="A2634" s="149"/>
      <c r="B2634" s="149"/>
      <c r="C2634" s="149" t="s">
        <v>3805</v>
      </c>
      <c r="D2634" s="149"/>
      <c r="E2634" s="149"/>
      <c r="F2634" s="149"/>
      <c r="G2634" s="149"/>
      <c r="H2634" s="12"/>
      <c r="I2634" s="149" t="s">
        <v>8420</v>
      </c>
      <c r="J2634" s="20" t="e">
        <f>IF(AND(cst_shinsei_strtower19_KEISAN_X_ROUTE="3",cst_shinsei_strtower19_KEISAN_Y_ROUTE="3"),"■","□")</f>
        <v>#NAME?</v>
      </c>
    </row>
    <row r="2635" spans="1:12" ht="18" customHeight="1">
      <c r="A2635" s="149"/>
      <c r="B2635" s="149" t="s">
        <v>5650</v>
      </c>
      <c r="C2635" s="149"/>
      <c r="D2635" s="149"/>
      <c r="E2635" s="149"/>
      <c r="F2635" s="149"/>
      <c r="G2635" s="149" t="s">
        <v>8421</v>
      </c>
      <c r="H2635" s="13"/>
      <c r="I2635" s="149" t="s">
        <v>8422</v>
      </c>
      <c r="J2635" s="20" t="e">
        <f>IF(shinsei_strtower19_PROGRAM_KIND_SONOTA="","",shinsei_strtower19_PROGRAM_KIND_SONOTA)</f>
        <v>#NAME?</v>
      </c>
    </row>
    <row r="2636" spans="1:12" ht="18" customHeight="1">
      <c r="A2636" s="149"/>
      <c r="B2636" s="149"/>
      <c r="C2636" s="149"/>
      <c r="D2636" s="149"/>
      <c r="E2636" s="149"/>
      <c r="F2636" s="149"/>
      <c r="G2636" s="149"/>
      <c r="I2636" s="149"/>
    </row>
    <row r="2637" spans="1:12" s="10" customFormat="1" ht="18" customHeight="1">
      <c r="A2637" s="162" t="s">
        <v>3137</v>
      </c>
      <c r="B2637" s="162"/>
      <c r="C2637" s="162"/>
      <c r="D2637" s="162"/>
      <c r="E2637" s="163"/>
      <c r="F2637" s="163"/>
      <c r="G2637" s="164"/>
      <c r="H2637" s="165"/>
      <c r="I2637" s="9"/>
    </row>
    <row r="2638" spans="1:12" s="10" customFormat="1" ht="18" customHeight="1">
      <c r="A2638" s="12"/>
      <c r="B2638" s="12" t="s">
        <v>3859</v>
      </c>
      <c r="C2638" s="12"/>
      <c r="D2638" s="12"/>
      <c r="E2638" s="11"/>
      <c r="F2638" s="11"/>
      <c r="G2638" s="10" t="s">
        <v>8423</v>
      </c>
      <c r="H2638" s="13"/>
      <c r="I2638" s="19" t="s">
        <v>8424</v>
      </c>
      <c r="J2638" s="25" t="e">
        <f>IF(shinsei_strtower20_TOWER_NO="","",shinsei_strtower20_TOWER_NO)</f>
        <v>#NAME?</v>
      </c>
      <c r="K2638" s="10" t="s">
        <v>3862</v>
      </c>
    </row>
    <row r="2639" spans="1:12" s="10" customFormat="1" ht="18" customHeight="1">
      <c r="A2639" s="12"/>
      <c r="B2639" s="12" t="s">
        <v>3864</v>
      </c>
      <c r="C2639" s="12"/>
      <c r="D2639" s="12"/>
      <c r="E2639" s="11"/>
      <c r="F2639" s="11"/>
      <c r="G2639" s="9" t="s">
        <v>8425</v>
      </c>
      <c r="H2639" s="13"/>
      <c r="I2639" s="19" t="s">
        <v>8426</v>
      </c>
      <c r="J2639" s="25" t="e">
        <f>IF(shinsei_strtower20_STR_TOWER_NO="","",shinsei_strtower20_STR_TOWER_NO)</f>
        <v>#NAME?</v>
      </c>
      <c r="K2639" s="10" t="s">
        <v>3862</v>
      </c>
      <c r="L2639" s="10" t="s">
        <v>3879</v>
      </c>
    </row>
    <row r="2640" spans="1:12" s="166" customFormat="1" ht="18" customHeight="1">
      <c r="B2640" s="12" t="s">
        <v>3868</v>
      </c>
      <c r="I2640" s="9" t="s">
        <v>8427</v>
      </c>
      <c r="J2640" s="167" t="e">
        <f>CONCATENATE(cst_shinsei_strtower20_TOWER_NO," - ",cst_shinsei_strtower20_STR_TOWER_NO)</f>
        <v>#NAME?</v>
      </c>
    </row>
    <row r="2641" spans="1:12" s="166" customFormat="1" ht="18" customHeight="1">
      <c r="B2641" s="12" t="s">
        <v>3870</v>
      </c>
      <c r="I2641" s="9" t="s">
        <v>8428</v>
      </c>
      <c r="J2641" s="167" t="e">
        <f>CONCATENATE(cst_shinsei_strtower20_STR_TOWER_NO," ／ ",cst_shinsei_STR_SHINSEI_TOWERS)</f>
        <v>#NAME?</v>
      </c>
    </row>
    <row r="2642" spans="1:12" s="10" customFormat="1" ht="18" customHeight="1">
      <c r="A2642" s="12"/>
      <c r="B2642" s="12" t="s">
        <v>3872</v>
      </c>
      <c r="C2642" s="11"/>
      <c r="D2642" s="11"/>
      <c r="E2642" s="11"/>
      <c r="F2642" s="11"/>
      <c r="G2642" s="9" t="s">
        <v>8429</v>
      </c>
      <c r="H2642" s="13"/>
      <c r="I2642" s="9" t="s">
        <v>8430</v>
      </c>
      <c r="J2642" s="25" t="e">
        <f>IF(shinsei_strtower20_STR_TOWER_NAME="","",shinsei_strtower20_STR_TOWER_NAME)</f>
        <v>#NAME?</v>
      </c>
    </row>
    <row r="2643" spans="1:12" s="10" customFormat="1" ht="18" customHeight="1">
      <c r="A2643" s="12"/>
      <c r="B2643" s="12" t="s">
        <v>3875</v>
      </c>
      <c r="C2643" s="12"/>
      <c r="D2643" s="12"/>
      <c r="E2643" s="11"/>
      <c r="F2643" s="11"/>
      <c r="G2643" s="9" t="s">
        <v>8431</v>
      </c>
      <c r="H2643" s="20"/>
      <c r="I2643" s="20" t="s">
        <v>8432</v>
      </c>
      <c r="J2643" s="25" t="e">
        <f>IF(shinsei_strtower20_JUDGE="","",shinsei_strtower20_JUDGE)</f>
        <v>#NAME?</v>
      </c>
      <c r="K2643" s="10" t="s">
        <v>3878</v>
      </c>
      <c r="L2643" s="10" t="s">
        <v>3879</v>
      </c>
    </row>
    <row r="2644" spans="1:12" s="10" customFormat="1" ht="18" customHeight="1">
      <c r="A2644" s="12"/>
      <c r="B2644" s="12" t="s">
        <v>4441</v>
      </c>
      <c r="C2644" s="12"/>
      <c r="D2644" s="12"/>
      <c r="E2644" s="11"/>
      <c r="F2644" s="11"/>
      <c r="G2644" s="9" t="s">
        <v>8433</v>
      </c>
      <c r="H2644" s="13"/>
      <c r="I2644" s="9" t="s">
        <v>8434</v>
      </c>
      <c r="J2644" s="25" t="e">
        <f>IF(shinsei_strtower20_STR_TOWER_YOUTO_TEXT="","",shinsei_strtower20_STR_TOWER_YOUTO_TEXT)</f>
        <v>#NAME?</v>
      </c>
      <c r="K2644" s="10" t="s">
        <v>3862</v>
      </c>
      <c r="L2644" s="10" t="s">
        <v>3879</v>
      </c>
    </row>
    <row r="2645" spans="1:12" s="10" customFormat="1" ht="18" customHeight="1">
      <c r="A2645" s="12"/>
      <c r="B2645" s="12" t="s">
        <v>3790</v>
      </c>
      <c r="C2645" s="12"/>
      <c r="D2645" s="12"/>
      <c r="E2645" s="11"/>
      <c r="F2645" s="11"/>
      <c r="G2645" s="9" t="s">
        <v>8435</v>
      </c>
      <c r="H2645" s="13"/>
      <c r="I2645" s="9" t="s">
        <v>8436</v>
      </c>
      <c r="J2645" s="25" t="e">
        <f>IF(shinsei_strtower20_KOUJI_TEXT="","",shinsei_strtower20_KOUJI_TEXT)</f>
        <v>#NAME?</v>
      </c>
      <c r="K2645" s="10" t="s">
        <v>3862</v>
      </c>
      <c r="L2645" s="10" t="s">
        <v>3879</v>
      </c>
    </row>
    <row r="2646" spans="1:12" s="10" customFormat="1" ht="18" customHeight="1">
      <c r="A2646" s="12"/>
      <c r="B2646" s="12" t="s">
        <v>3888</v>
      </c>
      <c r="C2646" s="11"/>
      <c r="D2646" s="11"/>
      <c r="E2646" s="11"/>
      <c r="F2646" s="11"/>
      <c r="G2646" s="9" t="s">
        <v>8437</v>
      </c>
      <c r="H2646" s="13"/>
      <c r="I2646" s="9" t="s">
        <v>8438</v>
      </c>
      <c r="J2646" s="25" t="e">
        <f>IF(shinsei_strtower20_KOUZOU_TEXT="","",shinsei_strtower20_KOUZOU_TEXT)</f>
        <v>#NAME?</v>
      </c>
    </row>
    <row r="2647" spans="1:12" s="10" customFormat="1" ht="18" customHeight="1">
      <c r="A2647" s="12"/>
      <c r="B2647" s="12" t="s">
        <v>3888</v>
      </c>
      <c r="C2647" s="12"/>
      <c r="D2647" s="12"/>
      <c r="E2647" s="11"/>
      <c r="F2647" s="11"/>
      <c r="G2647" s="9" t="s">
        <v>8439</v>
      </c>
      <c r="H2647" s="13"/>
      <c r="I2647" s="9" t="s">
        <v>8440</v>
      </c>
      <c r="J2647" s="25" t="e">
        <f>IF(shinsei_strtower20_KOUZOU_TEXT="","",shinsei_strtower20_KOUZOU_TEXT)</f>
        <v>#NAME?</v>
      </c>
    </row>
    <row r="2648" spans="1:12" s="10" customFormat="1" ht="18" customHeight="1">
      <c r="A2648" s="12"/>
      <c r="B2648" s="12" t="s">
        <v>3893</v>
      </c>
      <c r="C2648" s="11"/>
      <c r="D2648" s="11"/>
      <c r="E2648" s="11"/>
      <c r="F2648" s="11"/>
      <c r="G2648" s="9" t="s">
        <v>8441</v>
      </c>
      <c r="H2648" s="13"/>
      <c r="I2648" s="9" t="s">
        <v>8442</v>
      </c>
      <c r="J2648" s="25" t="e">
        <f>IF(shinsei_strtower20_KOUZOU_KEISAN="","",shinsei_strtower20_KOUZOU_KEISAN)</f>
        <v>#NAME?</v>
      </c>
    </row>
    <row r="2649" spans="1:12" s="10" customFormat="1" ht="18" customHeight="1">
      <c r="A2649" s="12"/>
      <c r="B2649" s="12" t="s">
        <v>3893</v>
      </c>
      <c r="C2649" s="12"/>
      <c r="D2649" s="12"/>
      <c r="E2649" s="11"/>
      <c r="F2649" s="11"/>
      <c r="G2649" s="9" t="s">
        <v>8443</v>
      </c>
      <c r="H2649" s="13"/>
      <c r="I2649" s="10" t="s">
        <v>8444</v>
      </c>
      <c r="J2649" s="25" t="e">
        <f>IF(shinsei_strtower20_KOUZOU_KEISAN_TEXT="","",shinsei_strtower20_KOUZOU_KEISAN_TEXT)</f>
        <v>#NAME?</v>
      </c>
    </row>
    <row r="2650" spans="1:12" s="10" customFormat="1" ht="18" customHeight="1">
      <c r="A2650" s="12"/>
      <c r="B2650" s="12" t="s">
        <v>3902</v>
      </c>
      <c r="C2650" s="12"/>
      <c r="D2650" s="12"/>
      <c r="E2650" s="11"/>
      <c r="F2650" s="11"/>
      <c r="G2650" s="9" t="s">
        <v>8445</v>
      </c>
      <c r="H2650" s="65"/>
      <c r="I2650" s="19" t="s">
        <v>8446</v>
      </c>
      <c r="J2650" s="168" t="e">
        <f>IF(shinsei_strtower20_MENSEKI="","",shinsei_strtower20_MENSEKI)</f>
        <v>#NAME?</v>
      </c>
      <c r="K2650" s="10" t="s">
        <v>3906</v>
      </c>
      <c r="L2650" s="10" t="s">
        <v>3906</v>
      </c>
    </row>
    <row r="2651" spans="1:12" ht="18" customHeight="1">
      <c r="A2651" s="12"/>
      <c r="B2651" s="12"/>
      <c r="C2651" s="12"/>
      <c r="D2651" s="12"/>
      <c r="E2651" s="12" t="s">
        <v>3907</v>
      </c>
      <c r="F2651" s="12"/>
      <c r="G2651" s="9"/>
      <c r="H2651" s="9"/>
      <c r="I2651" s="9" t="s">
        <v>8447</v>
      </c>
      <c r="J2651" s="168" t="e">
        <f>IF(shinsei_strtower20_MENSEKI="","",TEXT(shinsei_strtower20_MENSEKI,"#,##0.00_ ")&amp;"㎡")</f>
        <v>#NAME?</v>
      </c>
    </row>
    <row r="2652" spans="1:12" s="10" customFormat="1" ht="18" customHeight="1">
      <c r="A2652" s="12"/>
      <c r="B2652" s="12" t="s">
        <v>4390</v>
      </c>
      <c r="C2652" s="12"/>
      <c r="D2652" s="12"/>
      <c r="E2652" s="11"/>
      <c r="F2652" s="11"/>
      <c r="G2652" s="9" t="s">
        <v>8448</v>
      </c>
      <c r="H2652" s="93"/>
      <c r="I2652" s="9" t="s">
        <v>8449</v>
      </c>
      <c r="J2652" s="170" t="e">
        <f>IF(shinsei_strtower20_MAX_TAKASA="","",shinsei_strtower20_MAX_TAKASA)</f>
        <v>#NAME?</v>
      </c>
      <c r="K2652" s="10" t="s">
        <v>3911</v>
      </c>
      <c r="L2652" s="10" t="s">
        <v>3911</v>
      </c>
    </row>
    <row r="2653" spans="1:12" s="10" customFormat="1" ht="18" customHeight="1">
      <c r="A2653" s="12"/>
      <c r="B2653" s="12" t="s">
        <v>4388</v>
      </c>
      <c r="C2653" s="11"/>
      <c r="D2653" s="11"/>
      <c r="E2653" s="11"/>
      <c r="F2653" s="11"/>
      <c r="G2653" s="9" t="s">
        <v>8450</v>
      </c>
      <c r="H2653" s="93"/>
      <c r="I2653" s="9" t="s">
        <v>8451</v>
      </c>
      <c r="J2653" s="170" t="e">
        <f>IF(shinsei_strtower20_MAX_NOKI_TAKASA="","",shinsei_strtower20_MAX_NOKI_TAKASA)</f>
        <v>#NAME?</v>
      </c>
    </row>
    <row r="2654" spans="1:12" s="10" customFormat="1" ht="18" customHeight="1">
      <c r="A2654" s="12"/>
      <c r="B2654" s="12" t="s">
        <v>3782</v>
      </c>
      <c r="C2654" s="12"/>
      <c r="D2654" s="12"/>
      <c r="E2654" s="11"/>
      <c r="F2654" s="11"/>
      <c r="G2654" s="9"/>
      <c r="H2654" s="9"/>
      <c r="I2654" s="9"/>
    </row>
    <row r="2655" spans="1:12" s="10" customFormat="1" ht="18" customHeight="1">
      <c r="A2655" s="12"/>
      <c r="B2655" s="12"/>
      <c r="C2655" s="11" t="s">
        <v>3783</v>
      </c>
      <c r="D2655" s="12"/>
      <c r="G2655" s="9" t="s">
        <v>8452</v>
      </c>
      <c r="H2655" s="136"/>
      <c r="I2655" s="9" t="s">
        <v>8453</v>
      </c>
      <c r="J2655" s="171" t="e">
        <f>IF(shinsei_strtower20_KAISU_TIJYOU="","",shinsei_strtower20_KAISU_TIJYOU)</f>
        <v>#NAME?</v>
      </c>
      <c r="K2655" s="10" t="s">
        <v>3916</v>
      </c>
      <c r="L2655" s="10" t="s">
        <v>3916</v>
      </c>
    </row>
    <row r="2656" spans="1:12" s="10" customFormat="1" ht="18" customHeight="1">
      <c r="A2656" s="12"/>
      <c r="B2656" s="12"/>
      <c r="C2656" s="11" t="s">
        <v>3785</v>
      </c>
      <c r="D2656" s="12"/>
      <c r="G2656" s="9" t="s">
        <v>8454</v>
      </c>
      <c r="H2656" s="136"/>
      <c r="I2656" s="9" t="s">
        <v>8455</v>
      </c>
      <c r="J2656" s="171" t="e">
        <f>IF(shinsei_strtower20_KAISU_TIKA="","",shinsei_strtower20_KAISU_TIKA)</f>
        <v>#NAME?</v>
      </c>
      <c r="K2656" s="10" t="s">
        <v>3916</v>
      </c>
      <c r="L2656" s="10" t="s">
        <v>3916</v>
      </c>
    </row>
    <row r="2657" spans="1:12" s="10" customFormat="1" ht="18" customHeight="1">
      <c r="A2657" s="12"/>
      <c r="B2657" s="12"/>
      <c r="C2657" s="11" t="s">
        <v>3787</v>
      </c>
      <c r="D2657" s="12"/>
      <c r="G2657" s="9" t="s">
        <v>8456</v>
      </c>
      <c r="H2657" s="136"/>
      <c r="I2657" s="9" t="s">
        <v>8457</v>
      </c>
      <c r="J2657" s="171" t="e">
        <f>IF(shinsei_strtower20_KAISU_TOUYA="","",shinsei_strtower20_KAISU_TOUYA)</f>
        <v>#NAME?</v>
      </c>
      <c r="K2657" s="10" t="s">
        <v>3916</v>
      </c>
      <c r="L2657" s="10" t="s">
        <v>3916</v>
      </c>
    </row>
    <row r="2658" spans="1:12" s="10" customFormat="1" ht="18" customHeight="1">
      <c r="B2658" s="12" t="s">
        <v>3923</v>
      </c>
      <c r="G2658" s="9" t="s">
        <v>8458</v>
      </c>
      <c r="H2658" s="13"/>
      <c r="I2658" s="10" t="s">
        <v>8459</v>
      </c>
      <c r="J2658" s="25" t="e">
        <f>IF(shinsei_strtower20_BUILD_KUBUN="","",shinsei_strtower20_BUILD_KUBUN)</f>
        <v>#NAME?</v>
      </c>
    </row>
    <row r="2659" spans="1:12" s="10" customFormat="1" ht="18" customHeight="1">
      <c r="B2659" s="12" t="s">
        <v>3923</v>
      </c>
      <c r="C2659" s="12"/>
      <c r="D2659" s="12"/>
      <c r="G2659" s="9" t="s">
        <v>8460</v>
      </c>
      <c r="H2659" s="13"/>
      <c r="I2659" s="10" t="s">
        <v>8461</v>
      </c>
      <c r="J2659" s="25" t="e">
        <f>IF(shinsei_strtower20_BUILD_KUBUN_TEXT="","",shinsei_strtower20_BUILD_KUBUN_TEXT)</f>
        <v>#NAME?</v>
      </c>
      <c r="K2659" s="10" t="s">
        <v>3862</v>
      </c>
    </row>
    <row r="2660" spans="1:12" s="10" customFormat="1" ht="18" customHeight="1">
      <c r="A2660" s="149"/>
      <c r="B2660" s="149"/>
      <c r="C2660" s="149" t="s">
        <v>3801</v>
      </c>
      <c r="D2660" s="149"/>
      <c r="E2660" s="149"/>
      <c r="F2660" s="149"/>
      <c r="G2660" s="149"/>
      <c r="H2660" s="12"/>
      <c r="I2660" s="149" t="s">
        <v>8462</v>
      </c>
      <c r="J2660" s="20" t="e">
        <f>IF(shinsei_strtower20_BUILD_KUBUN_TEXT="建築基準法第20条第２号に掲げる建築物","■","□")</f>
        <v>#NAME?</v>
      </c>
    </row>
    <row r="2661" spans="1:12" s="10" customFormat="1" ht="18" customHeight="1">
      <c r="A2661" s="149"/>
      <c r="B2661" s="149"/>
      <c r="C2661" s="149" t="s">
        <v>3801</v>
      </c>
      <c r="D2661" s="149"/>
      <c r="E2661" s="149"/>
      <c r="F2661" s="149"/>
      <c r="G2661" s="149"/>
      <c r="H2661" s="12"/>
      <c r="I2661" s="149" t="s">
        <v>8463</v>
      </c>
      <c r="J2661" s="20" t="e">
        <f>IF(shinsei_strtower20_BUILD_KUBUN_TEXT="建築基準法第20条第３号に掲げる建築物","■","□")</f>
        <v>#NAME?</v>
      </c>
    </row>
    <row r="2662" spans="1:12" s="10" customFormat="1" ht="18" customHeight="1">
      <c r="A2662" s="12"/>
      <c r="B2662" s="12" t="s">
        <v>3932</v>
      </c>
      <c r="C2662" s="12"/>
      <c r="D2662" s="12"/>
      <c r="E2662" s="11"/>
      <c r="F2662" s="11"/>
      <c r="G2662" s="9" t="s">
        <v>8464</v>
      </c>
      <c r="H2662" s="13"/>
      <c r="I2662" s="9" t="s">
        <v>8465</v>
      </c>
      <c r="J2662" s="25" t="e">
        <f>IF(shinsei_strtower20_MENJYO_TEXT="","",shinsei_strtower20_MENJYO_TEXT)</f>
        <v>#NAME?</v>
      </c>
      <c r="K2662" s="10" t="s">
        <v>3862</v>
      </c>
    </row>
    <row r="2663" spans="1:12" s="10" customFormat="1" ht="18" customHeight="1">
      <c r="A2663" s="12"/>
      <c r="B2663" s="12" t="s">
        <v>3935</v>
      </c>
      <c r="C2663" s="12"/>
      <c r="D2663" s="12"/>
      <c r="E2663" s="11"/>
      <c r="F2663" s="11"/>
      <c r="G2663" s="9" t="s">
        <v>8466</v>
      </c>
      <c r="H2663" s="20"/>
      <c r="I2663" s="9" t="s">
        <v>8467</v>
      </c>
      <c r="J2663" s="25" t="e">
        <f>IF(shinsei_strtower20_PROGRAM_KIND="","",shinsei_strtower20_PROGRAM_KIND)</f>
        <v>#NAME?</v>
      </c>
      <c r="K2663" s="10" t="s">
        <v>5704</v>
      </c>
    </row>
    <row r="2664" spans="1:12" s="10" customFormat="1" ht="18" customHeight="1">
      <c r="B2664" s="12" t="s">
        <v>3939</v>
      </c>
      <c r="C2664" s="12"/>
      <c r="D2664" s="12"/>
      <c r="G2664" s="9" t="s">
        <v>8468</v>
      </c>
      <c r="H2664" s="13"/>
      <c r="I2664" s="10" t="s">
        <v>8469</v>
      </c>
      <c r="J2664" s="25" t="e">
        <f>IF(shinsei_strtower20_REI80_2_KOKUJI_TEXT="","",shinsei_strtower20_REI80_2_KOKUJI_TEXT)</f>
        <v>#NAME?</v>
      </c>
    </row>
    <row r="2665" spans="1:12" s="10" customFormat="1" ht="18" customHeight="1">
      <c r="B2665" s="12" t="s">
        <v>3943</v>
      </c>
      <c r="C2665" s="12"/>
      <c r="D2665" s="12"/>
      <c r="G2665" s="9" t="s">
        <v>8470</v>
      </c>
      <c r="H2665" s="13"/>
      <c r="I2665" s="10" t="s">
        <v>8471</v>
      </c>
      <c r="J2665" s="25" t="e">
        <f>IF(shinsei_strtower20_PROGRAM_KIND__nintei__box="■",2,IF(OR(shinsei_strtower20_PROGRAM_KIND__hyouka__box="■",shinsei_strtower20_PROGRAM_KIND__sonota__box="■"),1,0))</f>
        <v>#NAME?</v>
      </c>
      <c r="K2665" s="10" t="s">
        <v>3946</v>
      </c>
    </row>
    <row r="2666" spans="1:12" s="10" customFormat="1" ht="18" customHeight="1">
      <c r="B2666" s="12" t="s">
        <v>3947</v>
      </c>
      <c r="C2666" s="12"/>
      <c r="D2666" s="12"/>
      <c r="G2666" s="9" t="s">
        <v>8472</v>
      </c>
      <c r="H2666" s="13"/>
    </row>
    <row r="2667" spans="1:12" s="10" customFormat="1" ht="18" customHeight="1">
      <c r="B2667" s="12" t="s">
        <v>4305</v>
      </c>
      <c r="C2667" s="12"/>
      <c r="D2667" s="12"/>
      <c r="G2667" s="9" t="s">
        <v>8473</v>
      </c>
      <c r="H2667" s="13"/>
    </row>
    <row r="2668" spans="1:12" s="10" customFormat="1" ht="18" customHeight="1">
      <c r="B2668" s="105" t="s">
        <v>3950</v>
      </c>
      <c r="C2668" s="105"/>
      <c r="D2668" s="105"/>
      <c r="E2668" s="24"/>
      <c r="F2668" s="24"/>
      <c r="G2668" s="9"/>
      <c r="H2668" s="12"/>
    </row>
    <row r="2669" spans="1:12" s="10" customFormat="1" ht="18" customHeight="1">
      <c r="C2669" s="10" t="s">
        <v>3951</v>
      </c>
      <c r="D2669" s="12"/>
      <c r="G2669" s="9" t="s">
        <v>8474</v>
      </c>
      <c r="H2669" s="13"/>
      <c r="K2669" s="10" t="s">
        <v>3862</v>
      </c>
      <c r="L2669" s="10" t="s">
        <v>3879</v>
      </c>
    </row>
    <row r="2670" spans="1:12" s="10" customFormat="1" ht="18" customHeight="1">
      <c r="C2670" s="12" t="s">
        <v>3954</v>
      </c>
      <c r="D2670" s="12"/>
      <c r="E2670" s="12"/>
      <c r="F2670" s="12"/>
      <c r="G2670" s="9" t="s">
        <v>8475</v>
      </c>
      <c r="H2670" s="13"/>
    </row>
    <row r="2671" spans="1:12" s="10" customFormat="1" ht="18" customHeight="1">
      <c r="C2671" s="12" t="s">
        <v>3957</v>
      </c>
      <c r="D2671" s="12"/>
      <c r="G2671" s="9"/>
      <c r="H2671" s="9"/>
      <c r="I2671" s="10" t="s">
        <v>8476</v>
      </c>
      <c r="J2671" s="25" t="e">
        <f>IF(shinsei_strtower20_prgo01_NAME="","",IF(shinsei_strtower20_prgo01_NINTEI_NO="","無","有"))</f>
        <v>#NAME?</v>
      </c>
      <c r="K2671" s="10" t="s">
        <v>3959</v>
      </c>
      <c r="L2671" s="10" t="s">
        <v>3879</v>
      </c>
    </row>
    <row r="2672" spans="1:12" s="10" customFormat="1" ht="18" customHeight="1">
      <c r="C2672" s="12" t="s">
        <v>3960</v>
      </c>
      <c r="D2672" s="12"/>
      <c r="G2672" s="9" t="s">
        <v>8477</v>
      </c>
      <c r="H2672" s="13"/>
      <c r="I2672" s="10" t="s">
        <v>8478</v>
      </c>
      <c r="J2672" s="25" t="e">
        <f>IF(shinsei_strtower20_prgo01_NINTEI_NO="","",shinsei_strtower20_prgo01_NINTEI_NO)</f>
        <v>#NAME?</v>
      </c>
      <c r="K2672" s="10" t="s">
        <v>3862</v>
      </c>
      <c r="L2672" s="10" t="s">
        <v>3879</v>
      </c>
    </row>
    <row r="2673" spans="2:12" s="10" customFormat="1" ht="18" customHeight="1">
      <c r="C2673" s="12" t="s">
        <v>3964</v>
      </c>
      <c r="D2673" s="12"/>
      <c r="G2673" s="9" t="s">
        <v>8479</v>
      </c>
      <c r="H2673" s="74"/>
      <c r="I2673" s="10" t="s">
        <v>8480</v>
      </c>
      <c r="J2673" s="25" t="e">
        <f>IF(shinsei_strtower20_prgo01_NINTEI_DATE="","",TEXT(shinsei_strtower20_prgo01_NINTEI_DATE,"ggge年m月d日")&amp;"  ")</f>
        <v>#NAME?</v>
      </c>
    </row>
    <row r="2674" spans="2:12" s="10" customFormat="1" ht="18" customHeight="1">
      <c r="C2674" s="12" t="s">
        <v>3967</v>
      </c>
      <c r="D2674" s="12"/>
      <c r="G2674" s="9" t="s">
        <v>8481</v>
      </c>
      <c r="H2674" s="13"/>
    </row>
    <row r="2675" spans="2:12" s="10" customFormat="1" ht="18" customHeight="1">
      <c r="C2675" s="12" t="s">
        <v>3970</v>
      </c>
      <c r="D2675" s="12"/>
      <c r="G2675" s="9"/>
      <c r="H2675" s="12"/>
      <c r="I2675" s="9" t="s">
        <v>8482</v>
      </c>
      <c r="J2675" s="25" t="e">
        <f>IF(shinsei_strtower20_prgo01_NAME="","",shinsei_strtower20_prgo01_NAME)&amp;CHAR(10)&amp;IF(shinsei_strtower20_prgo01_VER="","","Ver."&amp;shinsei_strtower20_prgo01_VER&amp;CHAR(10))</f>
        <v>#NAME?</v>
      </c>
    </row>
    <row r="2676" spans="2:12" s="10" customFormat="1" ht="18" customHeight="1">
      <c r="C2676" s="12" t="s">
        <v>3972</v>
      </c>
      <c r="D2676" s="12"/>
      <c r="G2676" s="9"/>
      <c r="H2676" s="12"/>
      <c r="I2676" s="9" t="s">
        <v>8483</v>
      </c>
      <c r="J2676" s="25" t="e">
        <f>IF(shinsei_strtower20_prgo01_NAME="","",shinsei_strtower20_prgo01_NAME&amp;" ")&amp;IF(shinsei_strtower20_prgo01_VER="","","Ver."&amp;shinsei_strtower20_prgo01_VER&amp;"  ")</f>
        <v>#NAME?</v>
      </c>
    </row>
    <row r="2677" spans="2:12" s="10" customFormat="1" ht="18" customHeight="1">
      <c r="C2677" s="12" t="s">
        <v>3974</v>
      </c>
      <c r="D2677" s="12"/>
      <c r="G2677" s="9"/>
      <c r="H2677" s="12"/>
    </row>
    <row r="2678" spans="2:12" s="10" customFormat="1" ht="18" customHeight="1">
      <c r="D2678" s="12" t="s">
        <v>3975</v>
      </c>
      <c r="G2678" s="9"/>
      <c r="H2678" s="12"/>
      <c r="I2678" s="9" t="s">
        <v>8484</v>
      </c>
      <c r="J2678" s="173" t="e">
        <f>IF(cst_shinsei_strtower20_prgo01_NINTEI__umu="有",IF(shinsei_strtower20_prgo01_MAKER_NAME="","",shinsei_strtower20_prgo01_MAKER_NAME&amp;"  "),"")</f>
        <v>#NAME?</v>
      </c>
    </row>
    <row r="2679" spans="2:12" s="10" customFormat="1" ht="18" customHeight="1">
      <c r="B2679" s="12"/>
      <c r="D2679" s="12" t="s">
        <v>3972</v>
      </c>
      <c r="G2679" s="9"/>
      <c r="H2679" s="12"/>
      <c r="I2679" s="9" t="s">
        <v>8485</v>
      </c>
      <c r="J2679" s="25" t="e">
        <f>IF(cst_shinsei_strtower20_prgo01_NINTEI__umu="有",IF(shinsei_strtower20_prgo01_NAME="","",shinsei_strtower20_prgo01_NAME&amp;" ")&amp;IF(shinsei_strtower20_prgo01_VER="","","Ver."&amp;shinsei_strtower20_prgo01_VER&amp;"  "),"")</f>
        <v>#NAME?</v>
      </c>
    </row>
    <row r="2680" spans="2:12" s="10" customFormat="1" ht="18" customHeight="1">
      <c r="C2680" s="12" t="s">
        <v>3981</v>
      </c>
      <c r="D2680" s="12"/>
      <c r="G2680" s="9"/>
      <c r="H2680" s="12"/>
    </row>
    <row r="2681" spans="2:12" s="10" customFormat="1" ht="18" customHeight="1">
      <c r="B2681" s="12"/>
      <c r="D2681" s="12" t="s">
        <v>3975</v>
      </c>
      <c r="G2681" s="9"/>
      <c r="H2681" s="12"/>
      <c r="I2681" s="9" t="s">
        <v>8486</v>
      </c>
      <c r="J2681" s="173" t="e">
        <f>IF(cst_shinsei_strtower20_prgo01_NINTEI__umu="無",IF(shinsei_strtower20_prgo01_MAKER_NAME="","",shinsei_strtower20_prgo01_MAKER_NAME&amp;"  "),"")</f>
        <v>#NAME?</v>
      </c>
    </row>
    <row r="2682" spans="2:12" s="10" customFormat="1" ht="18" customHeight="1">
      <c r="B2682" s="12"/>
      <c r="D2682" s="12" t="s">
        <v>3972</v>
      </c>
      <c r="G2682" s="9"/>
      <c r="H2682" s="12"/>
      <c r="I2682" s="9" t="s">
        <v>8487</v>
      </c>
      <c r="J2682" s="25" t="e">
        <f>IF(cst_shinsei_strtower20_prgo01_NINTEI__umu="無",IF(shinsei_strtower20_prgo01_NAME="","",shinsei_strtower20_prgo01_NAME&amp;" ")&amp;IF(shinsei_strtower20_prgo01_VER="","","Ver."&amp;shinsei_strtower20_prgo01_VER&amp;"  "),"")</f>
        <v>#NAME?</v>
      </c>
    </row>
    <row r="2683" spans="2:12" s="10" customFormat="1" ht="18" customHeight="1">
      <c r="B2683" s="105" t="s">
        <v>4000</v>
      </c>
      <c r="C2683" s="105"/>
      <c r="D2683" s="105"/>
      <c r="E2683" s="24"/>
      <c r="F2683" s="24"/>
      <c r="G2683" s="9"/>
      <c r="H2683" s="12"/>
    </row>
    <row r="2684" spans="2:12" s="10" customFormat="1" ht="18" customHeight="1">
      <c r="C2684" s="10" t="s">
        <v>3951</v>
      </c>
      <c r="D2684" s="12"/>
      <c r="G2684" s="9" t="s">
        <v>8488</v>
      </c>
      <c r="H2684" s="13"/>
      <c r="K2684" s="10" t="s">
        <v>3862</v>
      </c>
      <c r="L2684" s="10" t="s">
        <v>3879</v>
      </c>
    </row>
    <row r="2685" spans="2:12" s="10" customFormat="1" ht="18" customHeight="1">
      <c r="C2685" s="12" t="s">
        <v>3954</v>
      </c>
      <c r="D2685" s="12"/>
      <c r="G2685" s="9" t="s">
        <v>8489</v>
      </c>
      <c r="H2685" s="13"/>
    </row>
    <row r="2686" spans="2:12" s="10" customFormat="1" ht="18" customHeight="1">
      <c r="C2686" s="12" t="s">
        <v>3957</v>
      </c>
      <c r="D2686" s="12"/>
      <c r="G2686" s="9"/>
      <c r="H2686" s="9"/>
      <c r="I2686" s="10" t="s">
        <v>8490</v>
      </c>
      <c r="J2686" s="25" t="e">
        <f>IF(shinsei_strtower20_prgo02_NAME="","",IF(shinsei_strtower20_prgo02_NINTEI_NO="","無","有"))</f>
        <v>#NAME?</v>
      </c>
      <c r="K2686" s="10" t="s">
        <v>2941</v>
      </c>
      <c r="L2686" s="10" t="s">
        <v>3879</v>
      </c>
    </row>
    <row r="2687" spans="2:12" s="10" customFormat="1" ht="18" customHeight="1">
      <c r="C2687" s="12" t="s">
        <v>3960</v>
      </c>
      <c r="D2687" s="12"/>
      <c r="G2687" s="9" t="s">
        <v>8491</v>
      </c>
      <c r="H2687" s="13"/>
      <c r="I2687" s="10" t="s">
        <v>8492</v>
      </c>
      <c r="J2687" s="25" t="e">
        <f>IF(shinsei_strtower20_prgo02_NINTEI_NO="","",shinsei_strtower20_prgo02_NINTEI_NO)</f>
        <v>#NAME?</v>
      </c>
      <c r="K2687" s="10" t="s">
        <v>3862</v>
      </c>
      <c r="L2687" s="10" t="s">
        <v>3879</v>
      </c>
    </row>
    <row r="2688" spans="2:12" s="10" customFormat="1" ht="18" customHeight="1">
      <c r="C2688" s="12" t="s">
        <v>3964</v>
      </c>
      <c r="D2688" s="12"/>
      <c r="G2688" s="9" t="s">
        <v>8493</v>
      </c>
      <c r="H2688" s="74"/>
      <c r="I2688" s="10" t="s">
        <v>8494</v>
      </c>
      <c r="J2688" s="25" t="e">
        <f>IF(shinsei_strtower20_prgo02_NINTEI_DATE="","",shinsei_strtower20_prgo02_NINTEI_DATE)</f>
        <v>#NAME?</v>
      </c>
    </row>
    <row r="2689" spans="2:12" s="10" customFormat="1" ht="18" customHeight="1">
      <c r="C2689" s="12" t="s">
        <v>3967</v>
      </c>
      <c r="D2689" s="12"/>
      <c r="G2689" s="9" t="s">
        <v>8495</v>
      </c>
      <c r="H2689" s="13"/>
    </row>
    <row r="2690" spans="2:12" s="10" customFormat="1" ht="18" customHeight="1">
      <c r="C2690" s="12" t="s">
        <v>3970</v>
      </c>
      <c r="D2690" s="12"/>
      <c r="G2690" s="9"/>
      <c r="H2690" s="12"/>
      <c r="I2690" s="9" t="s">
        <v>8496</v>
      </c>
      <c r="J2690" s="25" t="e">
        <f>IF(shinsei_strtower20_prgo02_NAME="","",shinsei_strtower20_prgo02_NAME)&amp;CHAR(10)&amp;IF(shinsei_strtower20_prgo02_VER="","","Ver."&amp;shinsei_strtower20_prgo02_VER&amp;CHAR(10))</f>
        <v>#NAME?</v>
      </c>
    </row>
    <row r="2691" spans="2:12" s="10" customFormat="1" ht="18" customHeight="1">
      <c r="C2691" s="12" t="s">
        <v>3972</v>
      </c>
      <c r="D2691" s="12"/>
      <c r="G2691" s="9"/>
      <c r="H2691" s="12"/>
      <c r="I2691" s="9" t="s">
        <v>8497</v>
      </c>
      <c r="J2691" s="25" t="e">
        <f>IF(shinsei_strtower20_prgo02_NAME="","",shinsei_strtower20_prgo02_NAME&amp;" ")&amp;IF(shinsei_strtower20_prgo02_VER="","","Ver."&amp;shinsei_strtower20_prgo02_VER&amp;"  ")</f>
        <v>#NAME?</v>
      </c>
    </row>
    <row r="2692" spans="2:12" s="10" customFormat="1" ht="18" customHeight="1">
      <c r="C2692" s="12" t="s">
        <v>3974</v>
      </c>
      <c r="D2692" s="12"/>
      <c r="G2692" s="9"/>
      <c r="H2692" s="12"/>
    </row>
    <row r="2693" spans="2:12" s="10" customFormat="1" ht="18" customHeight="1">
      <c r="D2693" s="12" t="s">
        <v>3975</v>
      </c>
      <c r="G2693" s="9"/>
      <c r="H2693" s="12"/>
      <c r="I2693" s="9" t="s">
        <v>8498</v>
      </c>
      <c r="J2693" s="173" t="e">
        <f>IF(cst_shinsei_strtower20_prgo02_NINTEI__umu="有",IF(shinsei_strtower20_prgo02_MAKER_NAME="","",shinsei_strtower20_prgo02_MAKER_NAME&amp;"  "),"")</f>
        <v>#NAME?</v>
      </c>
    </row>
    <row r="2694" spans="2:12" s="10" customFormat="1" ht="18" customHeight="1">
      <c r="D2694" s="12" t="s">
        <v>3972</v>
      </c>
      <c r="G2694" s="9"/>
      <c r="H2694" s="12"/>
      <c r="I2694" s="9" t="s">
        <v>8499</v>
      </c>
      <c r="J2694" s="25" t="e">
        <f>IF(cst_shinsei_strtower20_prgo02_NINTEI__umu="有",IF(shinsei_strtower20_prgo02_NAME="","",shinsei_strtower20_prgo02_NAME&amp;" ")&amp;IF(shinsei_strtower20_prgo02_VER="","","Ver."&amp;shinsei_strtower20_prgo02_VER&amp;"  "),"")</f>
        <v>#NAME?</v>
      </c>
    </row>
    <row r="2695" spans="2:12" s="10" customFormat="1" ht="18" customHeight="1">
      <c r="C2695" s="12" t="s">
        <v>3981</v>
      </c>
      <c r="D2695" s="12"/>
      <c r="G2695" s="9"/>
      <c r="H2695" s="12"/>
    </row>
    <row r="2696" spans="2:12" s="10" customFormat="1" ht="18" customHeight="1">
      <c r="D2696" s="12" t="s">
        <v>3975</v>
      </c>
      <c r="G2696" s="9"/>
      <c r="H2696" s="12"/>
      <c r="I2696" s="9" t="s">
        <v>8500</v>
      </c>
      <c r="J2696" s="173" t="e">
        <f>IF(cst_shinsei_strtower20_prgo02_NINTEI__umu="無",IF(shinsei_strtower20_prgo02_MAKER_NAME="","",shinsei_strtower20_prgo02_MAKER_NAME&amp;"  "),"")</f>
        <v>#NAME?</v>
      </c>
    </row>
    <row r="2697" spans="2:12" s="10" customFormat="1" ht="18" customHeight="1">
      <c r="D2697" s="12" t="s">
        <v>3972</v>
      </c>
      <c r="G2697" s="9"/>
      <c r="H2697" s="12"/>
      <c r="I2697" s="9" t="s">
        <v>8501</v>
      </c>
      <c r="J2697" s="25" t="e">
        <f>IF(cst_shinsei_strtower20_prgo02_NINTEI__umu="無",IF(shinsei_strtower20_prgo02_NAME="","",shinsei_strtower20_prgo02_NAME&amp;" ")&amp;IF(shinsei_strtower20_prgo02_VER="","","Ver."&amp;shinsei_strtower20_prgo02_VER&amp;"  "),"")</f>
        <v>#NAME?</v>
      </c>
    </row>
    <row r="2698" spans="2:12" s="10" customFormat="1" ht="18" customHeight="1">
      <c r="B2698" s="105" t="s">
        <v>4016</v>
      </c>
      <c r="C2698" s="105"/>
      <c r="D2698" s="105"/>
      <c r="E2698" s="24"/>
      <c r="F2698" s="24"/>
      <c r="G2698" s="9"/>
      <c r="H2698" s="12"/>
    </row>
    <row r="2699" spans="2:12" s="10" customFormat="1" ht="18" customHeight="1">
      <c r="C2699" s="10" t="s">
        <v>3951</v>
      </c>
      <c r="D2699" s="12"/>
      <c r="G2699" s="9" t="s">
        <v>8502</v>
      </c>
      <c r="H2699" s="13"/>
    </row>
    <row r="2700" spans="2:12" s="10" customFormat="1" ht="18" customHeight="1">
      <c r="C2700" s="12" t="s">
        <v>3954</v>
      </c>
      <c r="D2700" s="12"/>
      <c r="G2700" s="9" t="s">
        <v>8503</v>
      </c>
      <c r="H2700" s="13"/>
    </row>
    <row r="2701" spans="2:12" s="10" customFormat="1" ht="18" customHeight="1">
      <c r="C2701" s="12" t="s">
        <v>3957</v>
      </c>
      <c r="D2701" s="12"/>
      <c r="G2701" s="9"/>
      <c r="H2701" s="9"/>
      <c r="I2701" s="10" t="s">
        <v>8504</v>
      </c>
      <c r="J2701" s="25" t="e">
        <f>IF(shinsei_strtower20_prgo03_NAME="","",IF(shinsei_strtower20_prgo03_NINTEI_NO="","無","有"))</f>
        <v>#NAME?</v>
      </c>
      <c r="K2701" s="10" t="s">
        <v>2941</v>
      </c>
      <c r="L2701" s="10" t="s">
        <v>3879</v>
      </c>
    </row>
    <row r="2702" spans="2:12" s="10" customFormat="1" ht="18" customHeight="1">
      <c r="C2702" s="12" t="s">
        <v>3960</v>
      </c>
      <c r="D2702" s="12"/>
      <c r="G2702" s="9" t="s">
        <v>8505</v>
      </c>
      <c r="H2702" s="13"/>
      <c r="K2702" s="10" t="s">
        <v>3862</v>
      </c>
      <c r="L2702" s="10" t="s">
        <v>3879</v>
      </c>
    </row>
    <row r="2703" spans="2:12" s="10" customFormat="1" ht="18" customHeight="1">
      <c r="C2703" s="12" t="s">
        <v>3964</v>
      </c>
      <c r="D2703" s="12"/>
      <c r="G2703" s="9" t="s">
        <v>8506</v>
      </c>
      <c r="H2703" s="74"/>
      <c r="I2703" s="10" t="s">
        <v>8507</v>
      </c>
      <c r="J2703" s="25" t="e">
        <f>IF(shinsei_strtower20_prgo03_NINTEI_DATE="","",TEXT(shinsei_strtower20_prgo03_NINTEI_DATE,"ggge年m月d日")&amp;"  ")</f>
        <v>#NAME?</v>
      </c>
    </row>
    <row r="2704" spans="2:12" s="10" customFormat="1" ht="18" customHeight="1">
      <c r="C2704" s="12" t="s">
        <v>3967</v>
      </c>
      <c r="D2704" s="12"/>
      <c r="G2704" s="9" t="s">
        <v>8508</v>
      </c>
      <c r="H2704" s="13"/>
      <c r="I2704" s="9"/>
      <c r="J2704" s="9"/>
    </row>
    <row r="2705" spans="2:12" s="10" customFormat="1" ht="18" customHeight="1">
      <c r="C2705" s="12" t="s">
        <v>3970</v>
      </c>
      <c r="D2705" s="12"/>
      <c r="G2705" s="9"/>
      <c r="H2705" s="12"/>
      <c r="I2705" s="9" t="s">
        <v>8509</v>
      </c>
      <c r="J2705" s="25" t="e">
        <f>IF(shinsei_strtower20_prgo03_NAME="","",shinsei_strtower20_prgo03_NAME)&amp;CHAR(10)&amp;IF(shinsei_strtower20_prgo03_VER="","","Ver."&amp;shinsei_strtower20_prgo03_VER&amp;CHAR(10))</f>
        <v>#NAME?</v>
      </c>
    </row>
    <row r="2706" spans="2:12" s="10" customFormat="1" ht="18" customHeight="1">
      <c r="C2706" s="12" t="s">
        <v>3972</v>
      </c>
      <c r="D2706" s="12"/>
      <c r="G2706" s="9"/>
      <c r="H2706" s="12"/>
      <c r="I2706" s="9" t="s">
        <v>8510</v>
      </c>
      <c r="J2706" s="25" t="e">
        <f>IF(shinsei_strtower20_prgo03_NAME="","",shinsei_strtower20_prgo03_NAME&amp;" ")&amp;IF(shinsei_strtower20_prgo03_VER="","","Ver."&amp;shinsei_strtower20_prgo03_VER&amp;"  ")</f>
        <v>#NAME?</v>
      </c>
    </row>
    <row r="2707" spans="2:12" s="10" customFormat="1" ht="18" customHeight="1">
      <c r="C2707" s="12" t="s">
        <v>3974</v>
      </c>
      <c r="D2707" s="12"/>
      <c r="G2707" s="9"/>
      <c r="H2707" s="12"/>
    </row>
    <row r="2708" spans="2:12" s="10" customFormat="1" ht="18" customHeight="1">
      <c r="D2708" s="12" t="s">
        <v>3975</v>
      </c>
      <c r="G2708" s="9"/>
      <c r="H2708" s="12"/>
      <c r="I2708" s="9" t="s">
        <v>8511</v>
      </c>
      <c r="J2708" s="173" t="e">
        <f>IF(cst_shinsei_strtower20_prgo03_NINTEI__umu="有",IF(shinsei_strtower20_prgo03_MAKER_NAME="","",shinsei_strtower20_prgo03_MAKER_NAME&amp;"  "),"")</f>
        <v>#NAME?</v>
      </c>
    </row>
    <row r="2709" spans="2:12" s="10" customFormat="1" ht="18" customHeight="1">
      <c r="D2709" s="12" t="s">
        <v>3972</v>
      </c>
      <c r="G2709" s="9"/>
      <c r="H2709" s="12"/>
      <c r="I2709" s="9" t="s">
        <v>8512</v>
      </c>
      <c r="J2709" s="25" t="e">
        <f>IF(cst_shinsei_strtower20_prgo03_NINTEI__umu="有",IF(shinsei_strtower20_prgo03_NAME="","",shinsei_strtower20_prgo03_NAME&amp;" ")&amp;IF(shinsei_strtower20_prgo03_VER="","","Ver."&amp;shinsei_strtower20_prgo03_VER&amp;"  "),"")</f>
        <v>#NAME?</v>
      </c>
    </row>
    <row r="2710" spans="2:12" s="10" customFormat="1" ht="18" customHeight="1">
      <c r="C2710" s="12" t="s">
        <v>3981</v>
      </c>
      <c r="D2710" s="12"/>
      <c r="G2710" s="9"/>
      <c r="H2710" s="12"/>
    </row>
    <row r="2711" spans="2:12" s="10" customFormat="1" ht="18" customHeight="1">
      <c r="D2711" s="12" t="s">
        <v>3975</v>
      </c>
      <c r="G2711" s="9"/>
      <c r="H2711" s="12"/>
      <c r="I2711" s="9" t="s">
        <v>8513</v>
      </c>
      <c r="J2711" s="173" t="e">
        <f>IF(cst_shinsei_strtower20_prgo03_NINTEI__umu="無",IF(shinsei_strtower20_prgo03_MAKER_NAME="","",shinsei_strtower20_prgo03_MAKER_NAME&amp;"  "),"")</f>
        <v>#NAME?</v>
      </c>
    </row>
    <row r="2712" spans="2:12" s="10" customFormat="1" ht="18" customHeight="1">
      <c r="D2712" s="12" t="s">
        <v>3972</v>
      </c>
      <c r="G2712" s="9"/>
      <c r="H2712" s="12"/>
      <c r="I2712" s="9" t="s">
        <v>8514</v>
      </c>
      <c r="J2712" s="25" t="e">
        <f>IF(cst_shinsei_strtower20_prgo03_NINTEI__umu="無",IF(shinsei_strtower20_prgo03_NAME="","",shinsei_strtower20_prgo03_NAME&amp;" ")&amp;IF(shinsei_strtower20_prgo03_VER="","","Ver."&amp;shinsei_strtower20_prgo03_VER&amp;"  "),"")</f>
        <v>#NAME?</v>
      </c>
    </row>
    <row r="2713" spans="2:12" s="10" customFormat="1" ht="18" customHeight="1">
      <c r="B2713" s="105" t="s">
        <v>4031</v>
      </c>
      <c r="C2713" s="105"/>
      <c r="D2713" s="105"/>
      <c r="E2713" s="24"/>
      <c r="F2713" s="24"/>
      <c r="G2713" s="9"/>
      <c r="H2713" s="12"/>
    </row>
    <row r="2714" spans="2:12" s="10" customFormat="1" ht="18" customHeight="1">
      <c r="C2714" s="10" t="s">
        <v>3951</v>
      </c>
      <c r="D2714" s="12"/>
      <c r="G2714" s="9" t="s">
        <v>8515</v>
      </c>
      <c r="H2714" s="13"/>
    </row>
    <row r="2715" spans="2:12" s="10" customFormat="1" ht="18" customHeight="1">
      <c r="C2715" s="12" t="s">
        <v>3954</v>
      </c>
      <c r="D2715" s="12"/>
      <c r="G2715" s="9" t="s">
        <v>8516</v>
      </c>
      <c r="H2715" s="13"/>
    </row>
    <row r="2716" spans="2:12" s="10" customFormat="1" ht="18" customHeight="1">
      <c r="C2716" s="12" t="s">
        <v>3957</v>
      </c>
      <c r="D2716" s="12"/>
      <c r="G2716" s="9"/>
      <c r="H2716" s="9"/>
      <c r="I2716" s="10" t="s">
        <v>8517</v>
      </c>
      <c r="J2716" s="25" t="e">
        <f>IF(shinsei_strtower20_prgo04_NAME="","",IF(shinsei_strtower20_prgo04_NINTEI_NO="","無","有"))</f>
        <v>#NAME?</v>
      </c>
      <c r="K2716" s="10" t="s">
        <v>2941</v>
      </c>
      <c r="L2716" s="10" t="s">
        <v>3879</v>
      </c>
    </row>
    <row r="2717" spans="2:12" s="10" customFormat="1" ht="18" customHeight="1">
      <c r="C2717" s="12" t="s">
        <v>3960</v>
      </c>
      <c r="D2717" s="12"/>
      <c r="G2717" s="9" t="s">
        <v>8518</v>
      </c>
      <c r="H2717" s="13"/>
      <c r="K2717" s="10" t="s">
        <v>3862</v>
      </c>
      <c r="L2717" s="10" t="s">
        <v>3879</v>
      </c>
    </row>
    <row r="2718" spans="2:12" s="10" customFormat="1" ht="18" customHeight="1">
      <c r="C2718" s="12" t="s">
        <v>3964</v>
      </c>
      <c r="D2718" s="12"/>
      <c r="G2718" s="9" t="s">
        <v>8519</v>
      </c>
      <c r="H2718" s="74"/>
      <c r="I2718" s="10" t="s">
        <v>8520</v>
      </c>
      <c r="J2718" s="25" t="e">
        <f>IF(shinsei_strtower20_prgo04_NINTEI_DATE="","",TEXT(shinsei_strtower20_prgo04_NINTEI_DATE,"ggge年m月d日")&amp;"  ")</f>
        <v>#NAME?</v>
      </c>
    </row>
    <row r="2719" spans="2:12" s="10" customFormat="1" ht="18" customHeight="1">
      <c r="C2719" s="12" t="s">
        <v>3967</v>
      </c>
      <c r="D2719" s="12"/>
      <c r="G2719" s="9" t="s">
        <v>8521</v>
      </c>
      <c r="H2719" s="13"/>
      <c r="I2719" s="9"/>
      <c r="J2719" s="9"/>
    </row>
    <row r="2720" spans="2:12" s="10" customFormat="1" ht="18" customHeight="1">
      <c r="C2720" s="12" t="s">
        <v>3970</v>
      </c>
      <c r="D2720" s="12"/>
      <c r="G2720" s="9"/>
      <c r="H2720" s="12"/>
      <c r="I2720" s="9" t="s">
        <v>8522</v>
      </c>
      <c r="J2720" s="25" t="e">
        <f>IF(shinsei_strtower20_prgo04_NAME="","",shinsei_strtower20_prgo04_NAME)&amp;CHAR(10)&amp;IF(shinsei_strtower20_prgo04_VER="","","Ver."&amp;shinsei_strtower20_prgo04_VER&amp;CHAR(10))</f>
        <v>#NAME?</v>
      </c>
    </row>
    <row r="2721" spans="2:12" s="10" customFormat="1" ht="18" customHeight="1">
      <c r="C2721" s="12" t="s">
        <v>3972</v>
      </c>
      <c r="D2721" s="12"/>
      <c r="G2721" s="9"/>
      <c r="H2721" s="12"/>
      <c r="I2721" s="9" t="s">
        <v>8523</v>
      </c>
      <c r="J2721" s="25" t="e">
        <f>IF(shinsei_strtower20_prgo04_NAME="","",shinsei_strtower20_prgo04_NAME&amp;" ")&amp;IF(shinsei_strtower20_prgo04_VER="","","Ver."&amp;shinsei_strtower20_prgo04_VER&amp;"  ")</f>
        <v>#NAME?</v>
      </c>
    </row>
    <row r="2722" spans="2:12" s="10" customFormat="1" ht="18" customHeight="1">
      <c r="C2722" s="12" t="s">
        <v>3974</v>
      </c>
      <c r="D2722" s="12"/>
      <c r="G2722" s="9"/>
      <c r="H2722" s="12"/>
    </row>
    <row r="2723" spans="2:12" s="10" customFormat="1" ht="18" customHeight="1">
      <c r="D2723" s="12" t="s">
        <v>3975</v>
      </c>
      <c r="G2723" s="9"/>
      <c r="H2723" s="12"/>
      <c r="I2723" s="9" t="s">
        <v>8524</v>
      </c>
      <c r="J2723" s="173" t="e">
        <f>IF(cst_shinsei_strtower20_prgo04_NINTEI__umu="有",IF(shinsei_strtower20_prgo04_MAKER_NAME="","",shinsei_strtower20_prgo04_MAKER_NAME&amp;"  "),"")</f>
        <v>#NAME?</v>
      </c>
    </row>
    <row r="2724" spans="2:12" s="10" customFormat="1" ht="18" customHeight="1">
      <c r="D2724" s="12" t="s">
        <v>3972</v>
      </c>
      <c r="G2724" s="9"/>
      <c r="H2724" s="12"/>
      <c r="I2724" s="9" t="s">
        <v>8525</v>
      </c>
      <c r="J2724" s="25" t="e">
        <f>IF(cst_shinsei_strtower20_prgo04_NINTEI__umu="有",IF(shinsei_strtower20_prgo04_NAME="","",shinsei_strtower20_prgo04_NAME&amp;" ")&amp;IF(shinsei_strtower20_prgo04_VER="","","Ver."&amp;shinsei_strtower20_prgo04_VER&amp;"  "),"")</f>
        <v>#NAME?</v>
      </c>
    </row>
    <row r="2725" spans="2:12" s="10" customFormat="1" ht="18" customHeight="1">
      <c r="C2725" s="12" t="s">
        <v>3981</v>
      </c>
      <c r="D2725" s="12"/>
      <c r="G2725" s="9"/>
      <c r="H2725" s="12"/>
    </row>
    <row r="2726" spans="2:12" s="10" customFormat="1" ht="18" customHeight="1">
      <c r="D2726" s="12" t="s">
        <v>3975</v>
      </c>
      <c r="G2726" s="9"/>
      <c r="H2726" s="12"/>
      <c r="I2726" s="9" t="s">
        <v>8526</v>
      </c>
      <c r="J2726" s="173" t="e">
        <f>IF(cst_shinsei_strtower20_prgo04_NINTEI__umu="無",IF(shinsei_strtower20_prgo04_MAKER_NAME="","",shinsei_strtower20_prgo04_MAKER_NAME&amp;"  "),"")</f>
        <v>#NAME?</v>
      </c>
    </row>
    <row r="2727" spans="2:12" s="10" customFormat="1" ht="18" customHeight="1">
      <c r="D2727" s="12" t="s">
        <v>3972</v>
      </c>
      <c r="G2727" s="9"/>
      <c r="H2727" s="12"/>
      <c r="I2727" s="9" t="s">
        <v>8527</v>
      </c>
      <c r="J2727" s="25" t="e">
        <f>IF(cst_shinsei_strtower20_prgo04_NINTEI__umu="無",IF(shinsei_strtower20_prgo04_NAME="","",shinsei_strtower20_prgo04_NAME&amp;" ")&amp;IF(shinsei_strtower20_prgo04_VER="","","Ver."&amp;shinsei_strtower20_prgo04_VER&amp;"  "),"")</f>
        <v>#NAME?</v>
      </c>
    </row>
    <row r="2728" spans="2:12" s="10" customFormat="1" ht="18" customHeight="1">
      <c r="B2728" s="105" t="s">
        <v>4049</v>
      </c>
      <c r="C2728" s="105"/>
      <c r="D2728" s="105"/>
      <c r="E2728" s="24"/>
      <c r="F2728" s="24"/>
      <c r="G2728" s="9"/>
      <c r="H2728" s="12"/>
    </row>
    <row r="2729" spans="2:12" s="10" customFormat="1" ht="18" customHeight="1">
      <c r="C2729" s="10" t="s">
        <v>3951</v>
      </c>
      <c r="D2729" s="12"/>
      <c r="G2729" s="9" t="s">
        <v>8528</v>
      </c>
      <c r="H2729" s="13"/>
    </row>
    <row r="2730" spans="2:12" s="10" customFormat="1" ht="18" customHeight="1">
      <c r="C2730" s="12" t="s">
        <v>3954</v>
      </c>
      <c r="D2730" s="12"/>
      <c r="G2730" s="9" t="s">
        <v>8529</v>
      </c>
      <c r="H2730" s="13"/>
    </row>
    <row r="2731" spans="2:12" s="10" customFormat="1" ht="18" customHeight="1">
      <c r="C2731" s="12" t="s">
        <v>3957</v>
      </c>
      <c r="D2731" s="12"/>
      <c r="G2731" s="9"/>
      <c r="H2731" s="9"/>
      <c r="I2731" s="10" t="s">
        <v>8530</v>
      </c>
      <c r="J2731" s="25" t="e">
        <f>IF(shinsei_strtower20_prgo05_NAME="","",IF(shinsei_strtower20_prgo05_NINTEI_NO="","無","有"))</f>
        <v>#NAME?</v>
      </c>
      <c r="K2731" s="10" t="s">
        <v>2941</v>
      </c>
      <c r="L2731" s="10" t="s">
        <v>3879</v>
      </c>
    </row>
    <row r="2732" spans="2:12" s="10" customFormat="1" ht="18" customHeight="1">
      <c r="C2732" s="12" t="s">
        <v>3960</v>
      </c>
      <c r="D2732" s="12"/>
      <c r="G2732" s="9" t="s">
        <v>8531</v>
      </c>
      <c r="H2732" s="13"/>
      <c r="K2732" s="10" t="s">
        <v>3862</v>
      </c>
      <c r="L2732" s="10" t="s">
        <v>3879</v>
      </c>
    </row>
    <row r="2733" spans="2:12" s="10" customFormat="1" ht="18" customHeight="1">
      <c r="C2733" s="12" t="s">
        <v>3964</v>
      </c>
      <c r="D2733" s="12"/>
      <c r="G2733" s="9" t="s">
        <v>8532</v>
      </c>
      <c r="H2733" s="74"/>
      <c r="I2733" s="10" t="s">
        <v>8533</v>
      </c>
      <c r="J2733" s="25" t="e">
        <f>IF(shinsei_strtower20_prgo05_NINTEI_DATE="","",TEXT(shinsei_strtower20_prgo05_NINTEI_DATE,"ggge年m月d日")&amp;"  ")</f>
        <v>#NAME?</v>
      </c>
    </row>
    <row r="2734" spans="2:12" s="10" customFormat="1" ht="18" customHeight="1">
      <c r="C2734" s="12" t="s">
        <v>3967</v>
      </c>
      <c r="D2734" s="12"/>
      <c r="G2734" s="9" t="s">
        <v>8534</v>
      </c>
      <c r="H2734" s="13"/>
    </row>
    <row r="2735" spans="2:12" s="10" customFormat="1" ht="18" customHeight="1">
      <c r="C2735" s="12" t="s">
        <v>3970</v>
      </c>
      <c r="D2735" s="12"/>
      <c r="G2735" s="9"/>
      <c r="H2735" s="12"/>
      <c r="I2735" s="9" t="s">
        <v>8535</v>
      </c>
      <c r="J2735" s="25" t="e">
        <f>IF(shinsei_strtower20_prgo05_NAME="","",shinsei_strtower20_prgo05_NAME)&amp;CHAR(10)&amp;IF(shinsei_strtower20_prgo05_VER="","","Ver."&amp;shinsei_strtower20_prgo05_VER&amp;CHAR(10))</f>
        <v>#NAME?</v>
      </c>
    </row>
    <row r="2736" spans="2:12" s="10" customFormat="1" ht="18" customHeight="1">
      <c r="C2736" s="12" t="s">
        <v>3972</v>
      </c>
      <c r="D2736" s="12"/>
      <c r="G2736" s="9"/>
      <c r="H2736" s="12"/>
      <c r="I2736" s="9" t="s">
        <v>8536</v>
      </c>
      <c r="J2736" s="25" t="e">
        <f>IF(shinsei_strtower20_prgo05_NAME="","",shinsei_strtower20_prgo05_NAME&amp;" ")&amp;IF(shinsei_strtower20_prgo05_VER="","","Ver."&amp;shinsei_strtower20_prgo05_VER&amp;"  ")</f>
        <v>#NAME?</v>
      </c>
    </row>
    <row r="2737" spans="2:10" s="10" customFormat="1" ht="18" customHeight="1">
      <c r="C2737" s="12" t="s">
        <v>3974</v>
      </c>
      <c r="D2737" s="12"/>
      <c r="G2737" s="9"/>
      <c r="H2737" s="12"/>
    </row>
    <row r="2738" spans="2:10" s="10" customFormat="1" ht="18" customHeight="1">
      <c r="D2738" s="12" t="s">
        <v>3975</v>
      </c>
      <c r="G2738" s="9"/>
      <c r="H2738" s="12"/>
      <c r="I2738" s="9" t="s">
        <v>8537</v>
      </c>
      <c r="J2738" s="173" t="e">
        <f>IF(cst_shinsei_strtower20_prgo05_NINTEI__umu="有",IF(shinsei_strtower20_prgo05_MAKER_NAME="","",shinsei_strtower20_prgo05_MAKER_NAME&amp;"  "),"")</f>
        <v>#NAME?</v>
      </c>
    </row>
    <row r="2739" spans="2:10" s="10" customFormat="1" ht="18" customHeight="1">
      <c r="D2739" s="12" t="s">
        <v>3972</v>
      </c>
      <c r="G2739" s="9"/>
      <c r="H2739" s="12"/>
      <c r="I2739" s="9" t="s">
        <v>8538</v>
      </c>
      <c r="J2739" s="25" t="e">
        <f>IF(cst_shinsei_strtower20_prgo05_NINTEI__umu="有",IF(shinsei_strtower20_prgo05_NAME="","",shinsei_strtower20_prgo05_NAME&amp;" ")&amp;IF(shinsei_strtower20_prgo05_VER="","","Ver."&amp;shinsei_strtower20_prgo05_VER&amp;"  "),"")</f>
        <v>#NAME?</v>
      </c>
    </row>
    <row r="2740" spans="2:10" s="10" customFormat="1" ht="18" customHeight="1">
      <c r="C2740" s="12" t="s">
        <v>3981</v>
      </c>
      <c r="D2740" s="12"/>
      <c r="G2740" s="9"/>
      <c r="H2740" s="12"/>
    </row>
    <row r="2741" spans="2:10" s="10" customFormat="1" ht="18" customHeight="1">
      <c r="D2741" s="12" t="s">
        <v>3975</v>
      </c>
      <c r="G2741" s="9"/>
      <c r="H2741" s="12"/>
      <c r="I2741" s="9" t="s">
        <v>8539</v>
      </c>
      <c r="J2741" s="173" t="e">
        <f>IF(cst_shinsei_strtower20_prgo05_NINTEI__umu="無",IF(shinsei_strtower20_prgo05_MAKER_NAME="","",shinsei_strtower20_prgo05_MAKER_NAME&amp;"  "),"")</f>
        <v>#NAME?</v>
      </c>
    </row>
    <row r="2742" spans="2:10" s="10" customFormat="1" ht="18" customHeight="1">
      <c r="D2742" s="12" t="s">
        <v>3972</v>
      </c>
      <c r="G2742" s="9"/>
      <c r="H2742" s="12"/>
      <c r="I2742" s="9" t="s">
        <v>8540</v>
      </c>
      <c r="J2742" s="25" t="e">
        <f>IF(cst_shinsei_strtower20_prgo05_NINTEI__umu="無",IF(shinsei_strtower20_prgo05_NAME="","",shinsei_strtower20_prgo05_NAME&amp;" ")&amp;IF(shinsei_strtower20_prgo05_VER="","","Ver."&amp;shinsei_strtower20_prgo05_VER&amp;"  "),"")</f>
        <v>#NAME?</v>
      </c>
    </row>
    <row r="2743" spans="2:10" s="10" customFormat="1" ht="18" customHeight="1">
      <c r="B2743" s="13" t="s">
        <v>3827</v>
      </c>
      <c r="C2743" s="13"/>
      <c r="D2743" s="13"/>
      <c r="E2743" s="25"/>
      <c r="F2743" s="25"/>
      <c r="G2743" s="9"/>
      <c r="H2743" s="80"/>
      <c r="I2743" s="9"/>
      <c r="J2743" s="80"/>
    </row>
    <row r="2744" spans="2:10" s="10" customFormat="1" ht="18" customHeight="1">
      <c r="C2744" s="12" t="s">
        <v>3970</v>
      </c>
      <c r="D2744" s="12"/>
      <c r="G2744" s="9"/>
      <c r="H2744" s="80"/>
      <c r="I2744" s="166" t="s">
        <v>8541</v>
      </c>
      <c r="J2744" s="74" t="e">
        <f>cst_shinsei_strtower20_prgo01_NAME_VER&amp;cst_shinsei_strtower20_prgo02_NAME_VER&amp;cst_shinsei_strtower20_prgo03_NAME_VER&amp;cst_shinsei_strtower20_prgo04_NAME_VER&amp;cst_shinsei_strtower20_prgo05_NAME_VER</f>
        <v>#NAME?</v>
      </c>
    </row>
    <row r="2745" spans="2:10" s="10" customFormat="1" ht="18" customHeight="1">
      <c r="C2745" s="12" t="s">
        <v>3972</v>
      </c>
      <c r="D2745" s="12"/>
      <c r="G2745" s="9"/>
      <c r="H2745" s="80"/>
      <c r="I2745" s="166" t="s">
        <v>8542</v>
      </c>
      <c r="J2745" s="74" t="e">
        <f>cst_shinsei_strtower20_prgo01_NAME_VER__SP&amp;cst_shinsei_strtower20_prgo02_NAME_VER__SP&amp;cst_shinsei_strtower20_prgo03_NAME_VER__SP&amp;cst_shinsei_strtower20_prgo04_NAME_VER__SP&amp;cst_shinsei_strtower20_prgo05_NAME_VER__SP</f>
        <v>#NAME?</v>
      </c>
    </row>
    <row r="2746" spans="2:10" s="10" customFormat="1" ht="18" customHeight="1">
      <c r="B2746" s="13" t="s">
        <v>4068</v>
      </c>
      <c r="C2746" s="13"/>
      <c r="D2746" s="13"/>
      <c r="E2746" s="25"/>
      <c r="F2746" s="25"/>
      <c r="G2746" s="9"/>
      <c r="H2746" s="80"/>
      <c r="I2746" s="9"/>
      <c r="J2746" s="80"/>
    </row>
    <row r="2747" spans="2:10" s="10" customFormat="1" ht="18" customHeight="1">
      <c r="C2747" s="12" t="s">
        <v>3975</v>
      </c>
      <c r="D2747" s="12"/>
      <c r="G2747" s="9"/>
      <c r="H2747" s="80"/>
      <c r="I2747" s="166" t="s">
        <v>8543</v>
      </c>
      <c r="J2747" s="74" t="e">
        <f>cst_shinsei_strtower20_prgo01_MAKER__NINTEI_ari&amp;cst_shinsei_strtower20_prgo02_MAKER__NINTEI_ari&amp;cst_shinsei_strtower20_prgo03_MAKER__NINTEI_ari&amp;cst_shinsei_strtower20_prgo04_MAKER__NINTEI_ari&amp;cst_shinsei_strtower20_prgo05_MAKER__NINTEI_ari</f>
        <v>#NAME?</v>
      </c>
    </row>
    <row r="2748" spans="2:10" s="10" customFormat="1" ht="18" customHeight="1">
      <c r="C2748" s="12" t="s">
        <v>3972</v>
      </c>
      <c r="D2748" s="12"/>
      <c r="G2748" s="9"/>
      <c r="H2748" s="80"/>
      <c r="I2748" s="166" t="s">
        <v>8544</v>
      </c>
      <c r="J2748" s="173" t="e">
        <f>cst_shinsei_strtower20_prgo01_NAME_VER__NINTEI_ari&amp;cst_shinsei_strtower20_prgo02_NAME_VER__NINTEI_ari&amp;cst_shinsei_strtower20_prgo03_NAME_VER__NINTEI_ari&amp;cst_shinsei_strtower20_prgo04_NAME_VER__NINTEI_ari&amp;cst_shinsei_strtower20_prgo05_NAME_VER__NINTEI_ari</f>
        <v>#NAME?</v>
      </c>
    </row>
    <row r="2749" spans="2:10" s="10" customFormat="1" ht="18" customHeight="1">
      <c r="C2749" s="12" t="s">
        <v>3964</v>
      </c>
      <c r="D2749" s="12"/>
      <c r="G2749" s="9"/>
      <c r="H2749" s="80"/>
      <c r="I2749" s="166" t="s">
        <v>8545</v>
      </c>
      <c r="J2749" s="74" t="e">
        <f>cst_shinsei_strtower20_prgo01_NINTEI_DATE_dsp&amp;cst_shinsei_strtower20_prgo02_NINTEI_DATE_dsp&amp;cst_shinsei_strtower20_prgo03_NINTEI_DATE_dsp&amp;cst_shinsei_strtower20_prgo04_NINTEI_DATE_dsp&amp;cst_shinsei_strtower20_prgo05_NINTEI_DATE_dsp</f>
        <v>#NAME?</v>
      </c>
    </row>
    <row r="2750" spans="2:10" s="10" customFormat="1" ht="18" customHeight="1">
      <c r="B2750" s="13" t="s">
        <v>4072</v>
      </c>
      <c r="C2750" s="13"/>
      <c r="D2750" s="13"/>
      <c r="E2750" s="25"/>
      <c r="F2750" s="25"/>
      <c r="G2750" s="9"/>
      <c r="H2750" s="80"/>
      <c r="I2750" s="9"/>
      <c r="J2750" s="80"/>
    </row>
    <row r="2751" spans="2:10" s="10" customFormat="1" ht="18" customHeight="1">
      <c r="C2751" s="12" t="s">
        <v>3975</v>
      </c>
      <c r="D2751" s="12"/>
      <c r="G2751" s="9"/>
      <c r="H2751" s="80"/>
      <c r="I2751" s="166" t="s">
        <v>8546</v>
      </c>
      <c r="J2751" s="74" t="e">
        <f>cst_shinsei_strtower20_prgo01_MAKER__NINTEI_non&amp;cst_shinsei_strtower20_prgo02_MAKER__NINTEI_non&amp;cst_shinsei_strtower20_prgo03_MAKER__NINTEI_non&amp;cst_shinsei_strtower20_prgo04_MAKER__NINTEI_non&amp;cst_shinsei_strtower20_prgo05_MAKER__NINTEI_non</f>
        <v>#NAME?</v>
      </c>
    </row>
    <row r="2752" spans="2:10" s="10" customFormat="1" ht="18" customHeight="1">
      <c r="C2752" s="12" t="s">
        <v>3972</v>
      </c>
      <c r="D2752" s="12"/>
      <c r="G2752" s="9"/>
      <c r="H2752" s="80"/>
      <c r="I2752" s="166" t="s">
        <v>8547</v>
      </c>
      <c r="J2752" s="173" t="e">
        <f>cst_shinsei_strtower20_prgo01_NAME_VER__NINTEI_non&amp;cst_shinsei_strtower20_prgo02_NAME_VER__NINTEI_non&amp;cst_shinsei_strtower20_prgo03_NAME_VER__NINTEI_non&amp;cst_shinsei_strtower20_prgo04_NAME_VER__NINTEI_non&amp;cst_shinsei_strtower20_prgo05_NAME_VER__NINTEI_non</f>
        <v>#NAME?</v>
      </c>
    </row>
    <row r="2753" spans="1:12" s="10" customFormat="1" ht="18" customHeight="1">
      <c r="B2753" s="12" t="s">
        <v>4075</v>
      </c>
      <c r="G2753" s="9" t="s">
        <v>8548</v>
      </c>
      <c r="H2753" s="20"/>
      <c r="I2753" s="9" t="s">
        <v>8549</v>
      </c>
      <c r="J2753" s="20" t="e">
        <f>IF(shinsei_strtower20_DISK_FLAG="","",IF(shinsei_strtower20_DISK_FLAG=1,"有","無"))</f>
        <v>#NAME?</v>
      </c>
    </row>
    <row r="2754" spans="1:12" s="10" customFormat="1" ht="18" customHeight="1">
      <c r="A2754" s="9"/>
      <c r="B2754" s="9" t="s">
        <v>2955</v>
      </c>
      <c r="C2754" s="9"/>
      <c r="D2754" s="9"/>
      <c r="E2754" s="9"/>
      <c r="F2754" s="9"/>
      <c r="G2754" s="9" t="s">
        <v>8550</v>
      </c>
      <c r="H2754" s="136"/>
      <c r="I2754" s="19" t="s">
        <v>8551</v>
      </c>
      <c r="J2754" s="171" t="e">
        <f>IF(shinsei_strtower20_CHARGE="","",shinsei_strtower20_CHARGE)</f>
        <v>#NAME?</v>
      </c>
      <c r="K2754" s="9" t="s">
        <v>2528</v>
      </c>
      <c r="L2754" s="9" t="s">
        <v>2528</v>
      </c>
    </row>
    <row r="2755" spans="1:12" ht="18" customHeight="1">
      <c r="A2755" s="149"/>
      <c r="B2755" s="149"/>
      <c r="C2755" s="149"/>
      <c r="D2755" s="149"/>
      <c r="E2755" s="12" t="s">
        <v>3907</v>
      </c>
      <c r="F2755" s="12"/>
      <c r="G2755" s="149"/>
      <c r="I2755" s="100" t="s">
        <v>8552</v>
      </c>
      <c r="J2755" s="171" t="e">
        <f>IF(shinsei_strtower20_CHARGE="","",TEXT(shinsei_strtower20_CHARGE,"#,##0_ ")&amp;"円")</f>
        <v>#NAME?</v>
      </c>
      <c r="K2755" s="9"/>
      <c r="L2755" s="9"/>
    </row>
    <row r="2756" spans="1:12" ht="18" customHeight="1">
      <c r="A2756" s="149"/>
      <c r="B2756" s="149" t="s">
        <v>3041</v>
      </c>
      <c r="C2756" s="149"/>
      <c r="D2756" s="149"/>
      <c r="E2756" s="149"/>
      <c r="F2756" s="149"/>
      <c r="G2756" s="149" t="s">
        <v>8553</v>
      </c>
      <c r="H2756" s="136"/>
      <c r="I2756" s="100" t="s">
        <v>8554</v>
      </c>
      <c r="J2756" s="136" t="e">
        <f>IF(shinsei_strtower20_CHARGE_WARIMASHI="","",shinsei_strtower20_CHARGE_WARIMASHI)</f>
        <v>#NAME?</v>
      </c>
      <c r="K2756" s="9" t="s">
        <v>2528</v>
      </c>
      <c r="L2756" s="9" t="s">
        <v>2528</v>
      </c>
    </row>
    <row r="2757" spans="1:12" ht="18" customHeight="1">
      <c r="A2757" s="149"/>
      <c r="B2757" s="149" t="s">
        <v>3043</v>
      </c>
      <c r="C2757" s="149"/>
      <c r="D2757" s="149"/>
      <c r="E2757" s="149"/>
      <c r="F2757" s="149"/>
      <c r="G2757" s="149" t="s">
        <v>8555</v>
      </c>
      <c r="H2757" s="136"/>
      <c r="I2757" s="100" t="s">
        <v>8556</v>
      </c>
      <c r="J2757" s="136" t="e">
        <f>IF(shinsei_strtower20_CHARGE_TOTAL="","",shinsei_strtower20_CHARGE_TOTAL)</f>
        <v>#NAME?</v>
      </c>
      <c r="K2757" s="9" t="s">
        <v>2528</v>
      </c>
      <c r="L2757" s="9" t="s">
        <v>2528</v>
      </c>
    </row>
    <row r="2758" spans="1:12" ht="18" customHeight="1">
      <c r="A2758" s="149"/>
      <c r="B2758" s="149" t="s">
        <v>5637</v>
      </c>
      <c r="C2758" s="149"/>
      <c r="D2758" s="149"/>
      <c r="E2758" s="149"/>
      <c r="F2758" s="149"/>
      <c r="G2758" s="149" t="s">
        <v>8557</v>
      </c>
      <c r="H2758" s="13"/>
      <c r="I2758" s="176" t="s">
        <v>8558</v>
      </c>
      <c r="J2758" s="20" t="e">
        <f>IF(shinsei_strtower20_CHARGE_KEISAN_NOTE="","",shinsei_strtower20_CHARGE_KEISAN_NOTE)</f>
        <v>#NAME?</v>
      </c>
      <c r="K2758" s="10" t="s">
        <v>3862</v>
      </c>
      <c r="L2758" s="10" t="s">
        <v>3879</v>
      </c>
    </row>
    <row r="2759" spans="1:12" ht="18" customHeight="1">
      <c r="A2759" s="149"/>
      <c r="B2759" s="149"/>
      <c r="C2759" s="149"/>
      <c r="D2759" s="149"/>
      <c r="E2759" s="149" t="s">
        <v>5640</v>
      </c>
      <c r="F2759" s="149"/>
      <c r="G2759" s="149"/>
      <c r="I2759" s="100" t="s">
        <v>8559</v>
      </c>
      <c r="J2759" s="20" t="e">
        <f>IF(shinsei_INSPECTION_TYPE="計画変更",IF(shinsei_strtower20_CHARGE="","","延べ面積×1/2により算出"),IF(shinsei_strtower20_CHARGE_KEISAN_NOTE="","",shinsei_strtower20_CHARGE_KEISAN_NOTE))</f>
        <v>#NAME?</v>
      </c>
    </row>
    <row r="2760" spans="1:12" ht="18" customHeight="1">
      <c r="A2760" s="149"/>
      <c r="B2760" s="149" t="s">
        <v>5642</v>
      </c>
      <c r="C2760" s="149"/>
      <c r="D2760" s="149"/>
      <c r="E2760" s="149"/>
      <c r="F2760" s="149"/>
      <c r="G2760" s="149" t="s">
        <v>8560</v>
      </c>
      <c r="H2760" s="13"/>
      <c r="I2760" s="149" t="s">
        <v>8561</v>
      </c>
      <c r="J2760" s="20" t="e">
        <f>IF(shinsei_strtower20_KEISAN_X_ROUTE="","",shinsei_strtower20_KEISAN_X_ROUTE)</f>
        <v>#NAME?</v>
      </c>
    </row>
    <row r="2761" spans="1:12" ht="18" customHeight="1">
      <c r="A2761" s="149"/>
      <c r="B2761" s="149" t="s">
        <v>5645</v>
      </c>
      <c r="C2761" s="149"/>
      <c r="D2761" s="149"/>
      <c r="E2761" s="149"/>
      <c r="F2761" s="149"/>
      <c r="G2761" s="149" t="s">
        <v>8562</v>
      </c>
      <c r="H2761" s="13"/>
      <c r="I2761" s="149" t="s">
        <v>8563</v>
      </c>
      <c r="J2761" s="20" t="e">
        <f>IF(shinsei_strtower20_KEISAN_Y_ROUTE="","",shinsei_strtower20_KEISAN_Y_ROUTE)</f>
        <v>#NAME?</v>
      </c>
    </row>
    <row r="2762" spans="1:12" ht="18" customHeight="1">
      <c r="A2762" s="149"/>
      <c r="B2762" s="149"/>
      <c r="C2762" s="149" t="s">
        <v>3805</v>
      </c>
      <c r="D2762" s="149"/>
      <c r="E2762" s="149"/>
      <c r="F2762" s="149"/>
      <c r="G2762" s="149"/>
      <c r="H2762" s="12"/>
      <c r="I2762" s="149" t="s">
        <v>8564</v>
      </c>
      <c r="J2762" s="20" t="e">
        <f>IF(AND(cst_shinsei_strtower20_KEISAN_X_ROUTE="3",cst_shinsei_strtower20_KEISAN_Y_ROUTE="3"),"■","□")</f>
        <v>#NAME?</v>
      </c>
    </row>
    <row r="2763" spans="1:12" ht="18" customHeight="1">
      <c r="A2763" s="149"/>
      <c r="B2763" s="149" t="s">
        <v>5650</v>
      </c>
      <c r="C2763" s="149"/>
      <c r="D2763" s="149"/>
      <c r="E2763" s="149"/>
      <c r="F2763" s="149"/>
      <c r="G2763" s="149" t="s">
        <v>8565</v>
      </c>
      <c r="H2763" s="13"/>
      <c r="I2763" s="149" t="s">
        <v>8566</v>
      </c>
      <c r="J2763" s="20" t="e">
        <f>IF(shinsei_strtower20_PROGRAM_KIND_SONOTA="","",shinsei_strtower20_PROGRAM_KIND_SONOTA)</f>
        <v>#NAME?</v>
      </c>
    </row>
    <row r="2764" spans="1:12" ht="18" customHeight="1">
      <c r="A2764" s="149"/>
      <c r="B2764" s="149"/>
      <c r="C2764" s="149"/>
      <c r="D2764" s="149"/>
      <c r="E2764" s="149"/>
      <c r="F2764" s="149"/>
      <c r="G2764" s="149"/>
    </row>
    <row r="2765" spans="1:12" s="10" customFormat="1" ht="18" customHeight="1">
      <c r="A2765" s="162" t="s">
        <v>3142</v>
      </c>
      <c r="B2765" s="162"/>
      <c r="C2765" s="162"/>
      <c r="D2765" s="162"/>
      <c r="E2765" s="163"/>
      <c r="F2765" s="163"/>
      <c r="G2765" s="164"/>
      <c r="H2765" s="165"/>
      <c r="I2765" s="9"/>
    </row>
    <row r="2766" spans="1:12" s="10" customFormat="1" ht="18" customHeight="1">
      <c r="A2766" s="12"/>
      <c r="B2766" s="12" t="s">
        <v>3859</v>
      </c>
      <c r="C2766" s="12"/>
      <c r="D2766" s="12"/>
      <c r="E2766" s="11"/>
      <c r="F2766" s="11"/>
      <c r="G2766" s="10" t="s">
        <v>8567</v>
      </c>
      <c r="H2766" s="13"/>
      <c r="I2766" s="19" t="s">
        <v>8568</v>
      </c>
      <c r="J2766" s="25" t="e">
        <f>IF(shinsei_strtower21_TOWER_NO="","",shinsei_strtower21_TOWER_NO)</f>
        <v>#NAME?</v>
      </c>
      <c r="K2766" s="10" t="s">
        <v>3862</v>
      </c>
    </row>
    <row r="2767" spans="1:12" s="10" customFormat="1" ht="18" customHeight="1">
      <c r="A2767" s="12"/>
      <c r="B2767" s="12" t="s">
        <v>3864</v>
      </c>
      <c r="C2767" s="12"/>
      <c r="D2767" s="12"/>
      <c r="E2767" s="11"/>
      <c r="F2767" s="11"/>
      <c r="G2767" s="9" t="s">
        <v>8569</v>
      </c>
      <c r="H2767" s="13"/>
      <c r="I2767" s="19" t="s">
        <v>8570</v>
      </c>
      <c r="J2767" s="25" t="e">
        <f>IF(shinsei_strtower21_STR_TOWER_NO="","",shinsei_strtower21_STR_TOWER_NO)</f>
        <v>#NAME?</v>
      </c>
      <c r="K2767" s="10" t="s">
        <v>3862</v>
      </c>
      <c r="L2767" s="10" t="s">
        <v>3879</v>
      </c>
    </row>
    <row r="2768" spans="1:12" s="166" customFormat="1" ht="18" customHeight="1">
      <c r="B2768" s="12" t="s">
        <v>3868</v>
      </c>
      <c r="I2768" s="9" t="s">
        <v>8571</v>
      </c>
      <c r="J2768" s="167" t="e">
        <f>CONCATENATE(cst_shinsei_strtower21_TOWER_NO," - ",cst_shinsei_strtower21_STR_TOWER_NO)</f>
        <v>#NAME?</v>
      </c>
    </row>
    <row r="2769" spans="1:12" s="166" customFormat="1" ht="18" customHeight="1">
      <c r="B2769" s="12" t="s">
        <v>3870</v>
      </c>
      <c r="I2769" s="9" t="s">
        <v>8572</v>
      </c>
      <c r="J2769" s="167" t="e">
        <f>CONCATENATE(cst_shinsei_strtower21_STR_TOWER_NO," ／ ",cst_shinsei_STR_SHINSEI_TOWERS)</f>
        <v>#NAME?</v>
      </c>
    </row>
    <row r="2770" spans="1:12" s="10" customFormat="1" ht="18" customHeight="1">
      <c r="A2770" s="12"/>
      <c r="B2770" s="12" t="s">
        <v>3872</v>
      </c>
      <c r="C2770" s="11"/>
      <c r="D2770" s="11"/>
      <c r="E2770" s="11"/>
      <c r="F2770" s="11"/>
      <c r="G2770" s="9" t="s">
        <v>8573</v>
      </c>
      <c r="H2770" s="13"/>
      <c r="I2770" s="9" t="s">
        <v>8574</v>
      </c>
      <c r="J2770" s="25" t="e">
        <f>IF(shinsei_strtower21_STR_TOWER_NAME="","",shinsei_strtower21_STR_TOWER_NAME)</f>
        <v>#NAME?</v>
      </c>
    </row>
    <row r="2771" spans="1:12" s="10" customFormat="1" ht="18" customHeight="1">
      <c r="A2771" s="12"/>
      <c r="B2771" s="12" t="s">
        <v>3875</v>
      </c>
      <c r="C2771" s="12"/>
      <c r="D2771" s="12"/>
      <c r="E2771" s="11"/>
      <c r="F2771" s="11"/>
      <c r="G2771" s="9" t="s">
        <v>8575</v>
      </c>
      <c r="H2771" s="20"/>
      <c r="I2771" s="20" t="s">
        <v>8576</v>
      </c>
      <c r="J2771" s="25" t="e">
        <f>IF(shinsei_strtower21_JUDGE="","",shinsei_strtower21_JUDGE)</f>
        <v>#NAME?</v>
      </c>
      <c r="K2771" s="10" t="s">
        <v>3878</v>
      </c>
      <c r="L2771" s="10" t="s">
        <v>3879</v>
      </c>
    </row>
    <row r="2772" spans="1:12" s="10" customFormat="1" ht="18" customHeight="1">
      <c r="A2772" s="12"/>
      <c r="B2772" s="12" t="s">
        <v>4441</v>
      </c>
      <c r="C2772" s="12"/>
      <c r="D2772" s="12"/>
      <c r="E2772" s="11"/>
      <c r="F2772" s="11"/>
      <c r="G2772" s="9" t="s">
        <v>8577</v>
      </c>
      <c r="H2772" s="13"/>
      <c r="I2772" s="9" t="s">
        <v>8578</v>
      </c>
      <c r="J2772" s="25" t="e">
        <f>IF(shinsei_strtower21_STR_TOWER_YOUTO_TEXT="","",shinsei_strtower21_STR_TOWER_YOUTO_TEXT)</f>
        <v>#NAME?</v>
      </c>
      <c r="K2772" s="10" t="s">
        <v>3862</v>
      </c>
      <c r="L2772" s="10" t="s">
        <v>3879</v>
      </c>
    </row>
    <row r="2773" spans="1:12" s="10" customFormat="1" ht="18" customHeight="1">
      <c r="A2773" s="12"/>
      <c r="B2773" s="12" t="s">
        <v>3790</v>
      </c>
      <c r="C2773" s="12"/>
      <c r="D2773" s="12"/>
      <c r="E2773" s="11"/>
      <c r="F2773" s="11"/>
      <c r="G2773" s="9" t="s">
        <v>8579</v>
      </c>
      <c r="H2773" s="13"/>
      <c r="I2773" s="9" t="s">
        <v>8580</v>
      </c>
      <c r="J2773" s="25" t="e">
        <f>IF(shinsei_strtower21_KOUJI_TEXT="","",shinsei_strtower21_KOUJI_TEXT)</f>
        <v>#NAME?</v>
      </c>
      <c r="K2773" s="10" t="s">
        <v>3862</v>
      </c>
      <c r="L2773" s="10" t="s">
        <v>3879</v>
      </c>
    </row>
    <row r="2774" spans="1:12" s="10" customFormat="1" ht="18" customHeight="1">
      <c r="A2774" s="12"/>
      <c r="B2774" s="12" t="s">
        <v>3888</v>
      </c>
      <c r="C2774" s="11"/>
      <c r="D2774" s="11"/>
      <c r="E2774" s="11"/>
      <c r="F2774" s="11"/>
      <c r="G2774" s="9" t="s">
        <v>8581</v>
      </c>
      <c r="H2774" s="13"/>
      <c r="I2774" s="9" t="s">
        <v>8582</v>
      </c>
      <c r="J2774" s="25" t="e">
        <f>IF(shinsei_strtower21_KOUZOU_TEXT="","",shinsei_strtower21_KOUZOU_TEXT)</f>
        <v>#NAME?</v>
      </c>
    </row>
    <row r="2775" spans="1:12" s="10" customFormat="1" ht="18" customHeight="1">
      <c r="A2775" s="12"/>
      <c r="B2775" s="12" t="s">
        <v>3888</v>
      </c>
      <c r="C2775" s="12"/>
      <c r="D2775" s="12"/>
      <c r="E2775" s="11"/>
      <c r="F2775" s="11"/>
      <c r="G2775" s="9" t="s">
        <v>8583</v>
      </c>
      <c r="H2775" s="13"/>
      <c r="I2775" s="9" t="s">
        <v>8584</v>
      </c>
      <c r="J2775" s="25" t="e">
        <f>IF(shinsei_strtower21_KOUZOU_TEXT="","",shinsei_strtower21_KOUZOU_TEXT)</f>
        <v>#NAME?</v>
      </c>
    </row>
    <row r="2776" spans="1:12" s="10" customFormat="1" ht="18" customHeight="1">
      <c r="A2776" s="12"/>
      <c r="B2776" s="12" t="s">
        <v>3893</v>
      </c>
      <c r="C2776" s="11"/>
      <c r="D2776" s="11"/>
      <c r="E2776" s="11"/>
      <c r="F2776" s="11"/>
      <c r="G2776" s="9" t="s">
        <v>8585</v>
      </c>
      <c r="H2776" s="13"/>
      <c r="I2776" s="9" t="s">
        <v>8586</v>
      </c>
      <c r="J2776" s="25" t="e">
        <f>IF(shinsei_strtower21_KOUZOU_KEISAN="","",shinsei_strtower21_KOUZOU_KEISAN)</f>
        <v>#NAME?</v>
      </c>
    </row>
    <row r="2777" spans="1:12" s="10" customFormat="1" ht="18" customHeight="1">
      <c r="A2777" s="12"/>
      <c r="B2777" s="12" t="s">
        <v>3893</v>
      </c>
      <c r="C2777" s="12"/>
      <c r="D2777" s="12"/>
      <c r="E2777" s="11"/>
      <c r="F2777" s="11"/>
      <c r="G2777" s="9" t="s">
        <v>8587</v>
      </c>
      <c r="H2777" s="13"/>
      <c r="I2777" s="10" t="s">
        <v>8588</v>
      </c>
      <c r="J2777" s="25" t="e">
        <f>IF(shinsei_strtower21_KOUZOU_KEISAN_TEXT="","",shinsei_strtower21_KOUZOU_KEISAN_TEXT)</f>
        <v>#NAME?</v>
      </c>
    </row>
    <row r="2778" spans="1:12" s="10" customFormat="1" ht="18" customHeight="1">
      <c r="A2778" s="12"/>
      <c r="B2778" s="12" t="s">
        <v>3902</v>
      </c>
      <c r="C2778" s="12"/>
      <c r="D2778" s="12"/>
      <c r="E2778" s="11"/>
      <c r="F2778" s="11"/>
      <c r="G2778" s="9" t="s">
        <v>8589</v>
      </c>
      <c r="H2778" s="65"/>
      <c r="I2778" s="19" t="s">
        <v>8590</v>
      </c>
      <c r="J2778" s="168" t="e">
        <f>IF(shinsei_strtower21_MENSEKI="","",shinsei_strtower21_MENSEKI)</f>
        <v>#NAME?</v>
      </c>
      <c r="K2778" s="10" t="s">
        <v>3906</v>
      </c>
      <c r="L2778" s="10" t="s">
        <v>3906</v>
      </c>
    </row>
    <row r="2779" spans="1:12" ht="18" customHeight="1">
      <c r="A2779" s="12"/>
      <c r="B2779" s="12"/>
      <c r="C2779" s="12"/>
      <c r="D2779" s="12"/>
      <c r="E2779" s="12" t="s">
        <v>3907</v>
      </c>
      <c r="F2779" s="12"/>
      <c r="G2779" s="9"/>
      <c r="H2779" s="9"/>
      <c r="I2779" s="9" t="s">
        <v>8591</v>
      </c>
      <c r="J2779" s="168" t="e">
        <f>IF(shinsei_strtower21_MENSEKI="","",TEXT(shinsei_strtower21_MENSEKI,"#,##0.00_ ")&amp;"㎡")</f>
        <v>#NAME?</v>
      </c>
    </row>
    <row r="2780" spans="1:12" s="10" customFormat="1" ht="18" customHeight="1">
      <c r="A2780" s="12"/>
      <c r="B2780" s="12" t="s">
        <v>4390</v>
      </c>
      <c r="C2780" s="12"/>
      <c r="D2780" s="12"/>
      <c r="E2780" s="11"/>
      <c r="F2780" s="11"/>
      <c r="G2780" s="9" t="s">
        <v>8592</v>
      </c>
      <c r="H2780" s="93"/>
      <c r="I2780" s="9" t="s">
        <v>8593</v>
      </c>
      <c r="J2780" s="170" t="e">
        <f>IF(shinsei_strtower21_MAX_TAKASA="","",shinsei_strtower21_MAX_TAKASA)</f>
        <v>#NAME?</v>
      </c>
      <c r="K2780" s="10" t="s">
        <v>3911</v>
      </c>
      <c r="L2780" s="10" t="s">
        <v>3911</v>
      </c>
    </row>
    <row r="2781" spans="1:12" s="10" customFormat="1" ht="18" customHeight="1">
      <c r="A2781" s="12"/>
      <c r="B2781" s="12" t="s">
        <v>4388</v>
      </c>
      <c r="C2781" s="11"/>
      <c r="D2781" s="11"/>
      <c r="E2781" s="11"/>
      <c r="F2781" s="11"/>
      <c r="G2781" s="9" t="s">
        <v>8594</v>
      </c>
      <c r="H2781" s="93"/>
      <c r="I2781" s="9" t="s">
        <v>8595</v>
      </c>
      <c r="J2781" s="170" t="e">
        <f>IF(shinsei_strtower21_MAX_NOKI_TAKASA="","",shinsei_strtower21_MAX_NOKI_TAKASA)</f>
        <v>#NAME?</v>
      </c>
    </row>
    <row r="2782" spans="1:12" s="10" customFormat="1" ht="18" customHeight="1">
      <c r="A2782" s="12"/>
      <c r="B2782" s="12" t="s">
        <v>3782</v>
      </c>
      <c r="C2782" s="12"/>
      <c r="D2782" s="12"/>
      <c r="E2782" s="11"/>
      <c r="F2782" s="11"/>
      <c r="G2782" s="9"/>
      <c r="H2782" s="9"/>
      <c r="I2782" s="9"/>
    </row>
    <row r="2783" spans="1:12" s="10" customFormat="1" ht="18" customHeight="1">
      <c r="A2783" s="12"/>
      <c r="B2783" s="12"/>
      <c r="C2783" s="11" t="s">
        <v>3783</v>
      </c>
      <c r="D2783" s="12"/>
      <c r="G2783" s="9" t="s">
        <v>8596</v>
      </c>
      <c r="H2783" s="136"/>
      <c r="I2783" s="9" t="s">
        <v>8597</v>
      </c>
      <c r="J2783" s="171" t="e">
        <f>IF(shinsei_strtower21_KAISU_TIJYOU="","",shinsei_strtower21_KAISU_TIJYOU)</f>
        <v>#NAME?</v>
      </c>
      <c r="K2783" s="10" t="s">
        <v>3916</v>
      </c>
      <c r="L2783" s="10" t="s">
        <v>3916</v>
      </c>
    </row>
    <row r="2784" spans="1:12" s="10" customFormat="1" ht="18" customHeight="1">
      <c r="A2784" s="12"/>
      <c r="B2784" s="12"/>
      <c r="C2784" s="11" t="s">
        <v>3785</v>
      </c>
      <c r="D2784" s="12"/>
      <c r="G2784" s="9" t="s">
        <v>8598</v>
      </c>
      <c r="H2784" s="136"/>
      <c r="I2784" s="9" t="s">
        <v>8599</v>
      </c>
      <c r="J2784" s="171" t="e">
        <f>IF(shinsei_strtower21_KAISU_TIKA="","",shinsei_strtower21_KAISU_TIKA)</f>
        <v>#NAME?</v>
      </c>
      <c r="K2784" s="10" t="s">
        <v>3916</v>
      </c>
      <c r="L2784" s="10" t="s">
        <v>3916</v>
      </c>
    </row>
    <row r="2785" spans="1:12" s="10" customFormat="1" ht="18" customHeight="1">
      <c r="A2785" s="12"/>
      <c r="B2785" s="12"/>
      <c r="C2785" s="11" t="s">
        <v>3787</v>
      </c>
      <c r="D2785" s="12"/>
      <c r="G2785" s="9" t="s">
        <v>8600</v>
      </c>
      <c r="H2785" s="136"/>
      <c r="I2785" s="9" t="s">
        <v>8601</v>
      </c>
      <c r="J2785" s="171" t="e">
        <f>IF(shinsei_strtower21_KAISU_TOUYA="","",shinsei_strtower21_KAISU_TOUYA)</f>
        <v>#NAME?</v>
      </c>
      <c r="K2785" s="10" t="s">
        <v>3916</v>
      </c>
      <c r="L2785" s="10" t="s">
        <v>3916</v>
      </c>
    </row>
    <row r="2786" spans="1:12" s="10" customFormat="1" ht="18" customHeight="1">
      <c r="B2786" s="12" t="s">
        <v>3923</v>
      </c>
      <c r="G2786" s="9" t="s">
        <v>8602</v>
      </c>
      <c r="H2786" s="13"/>
      <c r="I2786" s="10" t="s">
        <v>8603</v>
      </c>
      <c r="J2786" s="25" t="e">
        <f>IF(shinsei_strtower21_BUILD_KUBUN="","",shinsei_strtower21_BUILD_KUBUN)</f>
        <v>#NAME?</v>
      </c>
    </row>
    <row r="2787" spans="1:12" s="10" customFormat="1" ht="18" customHeight="1">
      <c r="B2787" s="12" t="s">
        <v>3923</v>
      </c>
      <c r="C2787" s="12"/>
      <c r="D2787" s="12"/>
      <c r="G2787" s="9" t="s">
        <v>8604</v>
      </c>
      <c r="H2787" s="13"/>
      <c r="I2787" s="10" t="s">
        <v>8605</v>
      </c>
      <c r="J2787" s="25" t="e">
        <f>IF(shinsei_strtower21_BUILD_KUBUN_TEXT="","",shinsei_strtower21_BUILD_KUBUN_TEXT)</f>
        <v>#NAME?</v>
      </c>
      <c r="K2787" s="10" t="s">
        <v>3862</v>
      </c>
    </row>
    <row r="2788" spans="1:12" s="10" customFormat="1" ht="18" customHeight="1">
      <c r="A2788" s="149"/>
      <c r="B2788" s="149"/>
      <c r="C2788" s="149" t="s">
        <v>3801</v>
      </c>
      <c r="D2788" s="149"/>
      <c r="E2788" s="149"/>
      <c r="F2788" s="149"/>
      <c r="G2788" s="149"/>
      <c r="H2788" s="12"/>
      <c r="I2788" s="149" t="s">
        <v>8606</v>
      </c>
      <c r="J2788" s="20" t="e">
        <f>IF(shinsei_strtower21_BUILD_KUBUN_TEXT="建築基準法第20条第２号に掲げる建築物","■","□")</f>
        <v>#NAME?</v>
      </c>
    </row>
    <row r="2789" spans="1:12" s="10" customFormat="1" ht="18" customHeight="1">
      <c r="A2789" s="149"/>
      <c r="B2789" s="149"/>
      <c r="C2789" s="149" t="s">
        <v>3801</v>
      </c>
      <c r="D2789" s="149"/>
      <c r="E2789" s="149"/>
      <c r="F2789" s="149"/>
      <c r="G2789" s="149"/>
      <c r="H2789" s="12"/>
      <c r="I2789" s="149" t="s">
        <v>8607</v>
      </c>
      <c r="J2789" s="20" t="e">
        <f>IF(shinsei_strtower21_BUILD_KUBUN_TEXT="建築基準法第20条第３号に掲げる建築物","■","□")</f>
        <v>#NAME?</v>
      </c>
    </row>
    <row r="2790" spans="1:12" s="10" customFormat="1" ht="18" customHeight="1">
      <c r="A2790" s="12"/>
      <c r="B2790" s="12" t="s">
        <v>3932</v>
      </c>
      <c r="C2790" s="12"/>
      <c r="D2790" s="12"/>
      <c r="E2790" s="11"/>
      <c r="F2790" s="11"/>
      <c r="G2790" s="9" t="s">
        <v>8608</v>
      </c>
      <c r="H2790" s="13"/>
      <c r="I2790" s="9" t="s">
        <v>8609</v>
      </c>
      <c r="J2790" s="25" t="e">
        <f>IF(shinsei_strtower21_MENJYO_TEXT="","",shinsei_strtower21_MENJYO_TEXT)</f>
        <v>#NAME?</v>
      </c>
      <c r="K2790" s="10" t="s">
        <v>3862</v>
      </c>
    </row>
    <row r="2791" spans="1:12" s="10" customFormat="1" ht="18" customHeight="1">
      <c r="A2791" s="12"/>
      <c r="B2791" s="12" t="s">
        <v>3935</v>
      </c>
      <c r="C2791" s="12"/>
      <c r="D2791" s="12"/>
      <c r="E2791" s="11"/>
      <c r="F2791" s="11"/>
      <c r="G2791" s="9" t="s">
        <v>8610</v>
      </c>
      <c r="H2791" s="20"/>
      <c r="I2791" s="9" t="s">
        <v>8611</v>
      </c>
      <c r="J2791" s="25" t="e">
        <f>IF(shinsei_strtower21_PROGRAM_KIND="","",shinsei_strtower21_PROGRAM_KIND)</f>
        <v>#NAME?</v>
      </c>
      <c r="K2791" s="10" t="s">
        <v>5704</v>
      </c>
    </row>
    <row r="2792" spans="1:12" s="10" customFormat="1" ht="18" customHeight="1">
      <c r="B2792" s="12" t="s">
        <v>3939</v>
      </c>
      <c r="C2792" s="12"/>
      <c r="D2792" s="12"/>
      <c r="G2792" s="9" t="s">
        <v>8612</v>
      </c>
      <c r="H2792" s="13"/>
      <c r="I2792" s="10" t="s">
        <v>8613</v>
      </c>
      <c r="J2792" s="25" t="e">
        <f>IF(shinsei_strtower21_REI80_2_KOKUJI_TEXT="","",shinsei_strtower21_REI80_2_KOKUJI_TEXT)</f>
        <v>#NAME?</v>
      </c>
    </row>
    <row r="2793" spans="1:12" s="10" customFormat="1" ht="18" customHeight="1">
      <c r="B2793" s="12" t="s">
        <v>3943</v>
      </c>
      <c r="C2793" s="12"/>
      <c r="D2793" s="12"/>
      <c r="G2793" s="9" t="s">
        <v>8614</v>
      </c>
      <c r="H2793" s="13"/>
      <c r="I2793" s="10" t="s">
        <v>8615</v>
      </c>
      <c r="J2793" s="25" t="e">
        <f>IF(shinsei_strtower21_PROGRAM_KIND__nintei__box="■",2,IF(OR(shinsei_strtower21_PROGRAM_KIND__hyouka__box="■",shinsei_strtower21_PROGRAM_KIND__sonota__box="■"),1,0))</f>
        <v>#NAME?</v>
      </c>
      <c r="K2793" s="10" t="s">
        <v>3946</v>
      </c>
    </row>
    <row r="2794" spans="1:12" s="10" customFormat="1" ht="18" customHeight="1">
      <c r="B2794" s="12" t="s">
        <v>3947</v>
      </c>
      <c r="C2794" s="12"/>
      <c r="D2794" s="12"/>
      <c r="G2794" s="9" t="s">
        <v>8616</v>
      </c>
      <c r="H2794" s="13"/>
    </row>
    <row r="2795" spans="1:12" s="10" customFormat="1" ht="18" customHeight="1">
      <c r="B2795" s="12" t="s">
        <v>4305</v>
      </c>
      <c r="C2795" s="12"/>
      <c r="D2795" s="12"/>
      <c r="G2795" s="9" t="s">
        <v>8617</v>
      </c>
      <c r="H2795" s="13"/>
    </row>
    <row r="2796" spans="1:12" s="10" customFormat="1" ht="18" customHeight="1">
      <c r="B2796" s="105" t="s">
        <v>3950</v>
      </c>
      <c r="C2796" s="105"/>
      <c r="D2796" s="105"/>
      <c r="E2796" s="24"/>
      <c r="F2796" s="24"/>
      <c r="G2796" s="9"/>
      <c r="H2796" s="12"/>
    </row>
    <row r="2797" spans="1:12" s="10" customFormat="1" ht="18" customHeight="1">
      <c r="C2797" s="10" t="s">
        <v>3951</v>
      </c>
      <c r="D2797" s="12"/>
      <c r="G2797" s="9" t="s">
        <v>8618</v>
      </c>
      <c r="H2797" s="13"/>
      <c r="K2797" s="10" t="s">
        <v>3862</v>
      </c>
      <c r="L2797" s="10" t="s">
        <v>3879</v>
      </c>
    </row>
    <row r="2798" spans="1:12" s="10" customFormat="1" ht="18" customHeight="1">
      <c r="C2798" s="12" t="s">
        <v>3954</v>
      </c>
      <c r="D2798" s="12"/>
      <c r="E2798" s="12"/>
      <c r="F2798" s="12"/>
      <c r="G2798" s="9" t="s">
        <v>8619</v>
      </c>
      <c r="H2798" s="13"/>
    </row>
    <row r="2799" spans="1:12" s="10" customFormat="1" ht="18" customHeight="1">
      <c r="C2799" s="12" t="s">
        <v>3957</v>
      </c>
      <c r="D2799" s="12"/>
      <c r="G2799" s="9"/>
      <c r="H2799" s="9"/>
      <c r="I2799" s="10" t="s">
        <v>8620</v>
      </c>
      <c r="J2799" s="25" t="e">
        <f>IF(shinsei_strtower21_prgo01_NAME="","",IF(shinsei_strtower21_prgo01_NINTEI_NO="","無","有"))</f>
        <v>#NAME?</v>
      </c>
      <c r="K2799" s="10" t="s">
        <v>3959</v>
      </c>
      <c r="L2799" s="10" t="s">
        <v>3879</v>
      </c>
    </row>
    <row r="2800" spans="1:12" s="10" customFormat="1" ht="18" customHeight="1">
      <c r="C2800" s="12" t="s">
        <v>3960</v>
      </c>
      <c r="D2800" s="12"/>
      <c r="G2800" s="9" t="s">
        <v>8621</v>
      </c>
      <c r="H2800" s="13"/>
      <c r="I2800" s="10" t="s">
        <v>8622</v>
      </c>
      <c r="J2800" s="25" t="e">
        <f>IF(shinsei_strtower21_prgo01_NINTEI_NO="","",shinsei_strtower21_prgo01_NINTEI_NO)</f>
        <v>#NAME?</v>
      </c>
      <c r="K2800" s="10" t="s">
        <v>3862</v>
      </c>
      <c r="L2800" s="10" t="s">
        <v>3879</v>
      </c>
    </row>
    <row r="2801" spans="2:12" s="10" customFormat="1" ht="18" customHeight="1">
      <c r="C2801" s="12" t="s">
        <v>3964</v>
      </c>
      <c r="D2801" s="12"/>
      <c r="G2801" s="9" t="s">
        <v>8623</v>
      </c>
      <c r="H2801" s="74"/>
      <c r="I2801" s="10" t="s">
        <v>8624</v>
      </c>
      <c r="J2801" s="25" t="e">
        <f>IF(shinsei_strtower21_prgo01_NINTEI_DATE="","",TEXT(shinsei_strtower21_prgo01_NINTEI_DATE,"ggge年m月d日")&amp;"  ")</f>
        <v>#NAME?</v>
      </c>
    </row>
    <row r="2802" spans="2:12" s="10" customFormat="1" ht="18" customHeight="1">
      <c r="C2802" s="12" t="s">
        <v>3967</v>
      </c>
      <c r="D2802" s="12"/>
      <c r="G2802" s="9" t="s">
        <v>8625</v>
      </c>
      <c r="H2802" s="13"/>
    </row>
    <row r="2803" spans="2:12" s="10" customFormat="1" ht="18" customHeight="1">
      <c r="C2803" s="12" t="s">
        <v>3970</v>
      </c>
      <c r="D2803" s="12"/>
      <c r="G2803" s="9"/>
      <c r="H2803" s="12"/>
      <c r="I2803" s="9" t="s">
        <v>8626</v>
      </c>
      <c r="J2803" s="25" t="e">
        <f>IF(shinsei_strtower21_prgo01_NAME="","",shinsei_strtower21_prgo01_NAME)&amp;CHAR(10)&amp;IF(shinsei_strtower21_prgo01_VER="","","Ver."&amp;shinsei_strtower21_prgo01_VER&amp;CHAR(10))</f>
        <v>#NAME?</v>
      </c>
    </row>
    <row r="2804" spans="2:12" s="10" customFormat="1" ht="18" customHeight="1">
      <c r="C2804" s="12" t="s">
        <v>3972</v>
      </c>
      <c r="D2804" s="12"/>
      <c r="G2804" s="9"/>
      <c r="H2804" s="12"/>
      <c r="I2804" s="9" t="s">
        <v>8627</v>
      </c>
      <c r="J2804" s="25" t="e">
        <f>IF(shinsei_strtower21_prgo01_NAME="","",shinsei_strtower21_prgo01_NAME&amp;" ")&amp;IF(shinsei_strtower21_prgo01_VER="","","Ver."&amp;shinsei_strtower21_prgo01_VER&amp;"  ")</f>
        <v>#NAME?</v>
      </c>
    </row>
    <row r="2805" spans="2:12" s="10" customFormat="1" ht="18" customHeight="1">
      <c r="C2805" s="12" t="s">
        <v>3974</v>
      </c>
      <c r="D2805" s="12"/>
      <c r="G2805" s="9"/>
      <c r="H2805" s="12"/>
    </row>
    <row r="2806" spans="2:12" s="10" customFormat="1" ht="18" customHeight="1">
      <c r="D2806" s="12" t="s">
        <v>3975</v>
      </c>
      <c r="G2806" s="9"/>
      <c r="H2806" s="12"/>
      <c r="I2806" s="9" t="s">
        <v>8628</v>
      </c>
      <c r="J2806" s="173" t="e">
        <f>IF(cst_shinsei_strtower21_prgo01_NINTEI__umu="有",IF(shinsei_strtower21_prgo01_MAKER_NAME="","",shinsei_strtower21_prgo01_MAKER_NAME&amp;"  "),"")</f>
        <v>#NAME?</v>
      </c>
    </row>
    <row r="2807" spans="2:12" s="10" customFormat="1" ht="18" customHeight="1">
      <c r="B2807" s="12"/>
      <c r="D2807" s="12" t="s">
        <v>3972</v>
      </c>
      <c r="G2807" s="9"/>
      <c r="H2807" s="12"/>
      <c r="I2807" s="9" t="s">
        <v>8629</v>
      </c>
      <c r="J2807" s="25" t="e">
        <f>IF(cst_shinsei_strtower21_prgo01_NINTEI__umu="有",IF(shinsei_strtower21_prgo01_NAME="","",shinsei_strtower21_prgo01_NAME&amp;" ")&amp;IF(shinsei_strtower21_prgo01_VER="","","Ver."&amp;shinsei_strtower21_prgo01_VER&amp;"  "),"")</f>
        <v>#NAME?</v>
      </c>
    </row>
    <row r="2808" spans="2:12" s="10" customFormat="1" ht="18" customHeight="1">
      <c r="C2808" s="12" t="s">
        <v>3981</v>
      </c>
      <c r="D2808" s="12"/>
      <c r="G2808" s="9"/>
      <c r="H2808" s="12"/>
    </row>
    <row r="2809" spans="2:12" s="10" customFormat="1" ht="18" customHeight="1">
      <c r="B2809" s="12"/>
      <c r="D2809" s="12" t="s">
        <v>3975</v>
      </c>
      <c r="G2809" s="9"/>
      <c r="H2809" s="12"/>
      <c r="I2809" s="9" t="s">
        <v>8630</v>
      </c>
      <c r="J2809" s="173" t="e">
        <f>IF(cst_shinsei_strtower21_prgo01_NINTEI__umu="無",IF(shinsei_strtower21_prgo01_MAKER_NAME="","",shinsei_strtower21_prgo01_MAKER_NAME&amp;"  "),"")</f>
        <v>#NAME?</v>
      </c>
    </row>
    <row r="2810" spans="2:12" s="10" customFormat="1" ht="18" customHeight="1">
      <c r="B2810" s="12"/>
      <c r="D2810" s="12" t="s">
        <v>3972</v>
      </c>
      <c r="G2810" s="9"/>
      <c r="H2810" s="12"/>
      <c r="I2810" s="9" t="s">
        <v>8631</v>
      </c>
      <c r="J2810" s="25" t="e">
        <f>IF(cst_shinsei_strtower21_prgo01_NINTEI__umu="無",IF(shinsei_strtower21_prgo01_NAME="","",shinsei_strtower21_prgo01_NAME&amp;" ")&amp;IF(shinsei_strtower21_prgo01_VER="","","Ver."&amp;shinsei_strtower21_prgo01_VER&amp;"  "),"")</f>
        <v>#NAME?</v>
      </c>
    </row>
    <row r="2811" spans="2:12" s="10" customFormat="1" ht="18" customHeight="1">
      <c r="B2811" s="105" t="s">
        <v>4000</v>
      </c>
      <c r="C2811" s="105"/>
      <c r="D2811" s="105"/>
      <c r="E2811" s="24"/>
      <c r="F2811" s="24"/>
      <c r="G2811" s="9"/>
      <c r="H2811" s="12"/>
    </row>
    <row r="2812" spans="2:12" s="10" customFormat="1" ht="18" customHeight="1">
      <c r="C2812" s="10" t="s">
        <v>3951</v>
      </c>
      <c r="D2812" s="12"/>
      <c r="G2812" s="9" t="s">
        <v>8632</v>
      </c>
      <c r="H2812" s="13"/>
      <c r="K2812" s="10" t="s">
        <v>3862</v>
      </c>
      <c r="L2812" s="10" t="s">
        <v>3879</v>
      </c>
    </row>
    <row r="2813" spans="2:12" s="10" customFormat="1" ht="18" customHeight="1">
      <c r="C2813" s="12" t="s">
        <v>3954</v>
      </c>
      <c r="D2813" s="12"/>
      <c r="G2813" s="9" t="s">
        <v>8633</v>
      </c>
      <c r="H2813" s="13"/>
    </row>
    <row r="2814" spans="2:12" s="10" customFormat="1" ht="18" customHeight="1">
      <c r="C2814" s="12" t="s">
        <v>3957</v>
      </c>
      <c r="D2814" s="12"/>
      <c r="G2814" s="9"/>
      <c r="H2814" s="9"/>
      <c r="I2814" s="10" t="s">
        <v>8634</v>
      </c>
      <c r="J2814" s="25" t="e">
        <f>IF(shinsei_strtower21_prgo02_NAME="","",IF(shinsei_strtower21_prgo02_NINTEI_NO="","無","有"))</f>
        <v>#NAME?</v>
      </c>
      <c r="L2814" s="10" t="s">
        <v>3879</v>
      </c>
    </row>
    <row r="2815" spans="2:12" s="10" customFormat="1" ht="18" customHeight="1">
      <c r="C2815" s="12" t="s">
        <v>3960</v>
      </c>
      <c r="D2815" s="12"/>
      <c r="G2815" s="9" t="s">
        <v>8635</v>
      </c>
      <c r="H2815" s="13"/>
      <c r="I2815" s="10" t="s">
        <v>8636</v>
      </c>
      <c r="J2815" s="25" t="e">
        <f>IF(shinsei_strtower21_prgo02_NINTEI_NO="","",shinsei_strtower21_prgo02_NINTEI_NO)</f>
        <v>#NAME?</v>
      </c>
      <c r="K2815" s="10" t="s">
        <v>3862</v>
      </c>
      <c r="L2815" s="10" t="s">
        <v>3879</v>
      </c>
    </row>
    <row r="2816" spans="2:12" s="10" customFormat="1" ht="18" customHeight="1">
      <c r="C2816" s="12" t="s">
        <v>3964</v>
      </c>
      <c r="D2816" s="12"/>
      <c r="G2816" s="9" t="s">
        <v>8637</v>
      </c>
      <c r="H2816" s="74"/>
      <c r="I2816" s="10" t="s">
        <v>8638</v>
      </c>
      <c r="J2816" s="25" t="e">
        <f>IF(shinsei_strtower21_prgo02_NINTEI_DATE="","",shinsei_strtower21_prgo02_NINTEI_DATE)</f>
        <v>#NAME?</v>
      </c>
    </row>
    <row r="2817" spans="2:12" s="10" customFormat="1" ht="18" customHeight="1">
      <c r="C2817" s="12" t="s">
        <v>3967</v>
      </c>
      <c r="D2817" s="12"/>
      <c r="G2817" s="9" t="s">
        <v>8639</v>
      </c>
      <c r="H2817" s="13"/>
    </row>
    <row r="2818" spans="2:12" s="10" customFormat="1" ht="18" customHeight="1">
      <c r="C2818" s="12" t="s">
        <v>3970</v>
      </c>
      <c r="D2818" s="12"/>
      <c r="G2818" s="9"/>
      <c r="H2818" s="12"/>
      <c r="I2818" s="9" t="s">
        <v>8640</v>
      </c>
      <c r="J2818" s="25" t="e">
        <f>IF(shinsei_strtower21_prgo02_NAME="","",shinsei_strtower21_prgo02_NAME)&amp;CHAR(10)&amp;IF(shinsei_strtower21_prgo02_VER="","","Ver."&amp;shinsei_strtower21_prgo02_VER&amp;CHAR(10))</f>
        <v>#NAME?</v>
      </c>
    </row>
    <row r="2819" spans="2:12" s="10" customFormat="1" ht="18" customHeight="1">
      <c r="C2819" s="12" t="s">
        <v>3972</v>
      </c>
      <c r="D2819" s="12"/>
      <c r="G2819" s="9"/>
      <c r="H2819" s="12"/>
      <c r="I2819" s="9" t="s">
        <v>8641</v>
      </c>
      <c r="J2819" s="25" t="e">
        <f>IF(shinsei_strtower21_prgo02_NAME="","",shinsei_strtower21_prgo02_NAME&amp;" ")&amp;IF(shinsei_strtower21_prgo02_VER="","","Ver."&amp;shinsei_strtower21_prgo02_VER&amp;"  ")</f>
        <v>#NAME?</v>
      </c>
    </row>
    <row r="2820" spans="2:12" s="10" customFormat="1" ht="18" customHeight="1">
      <c r="C2820" s="12" t="s">
        <v>3974</v>
      </c>
      <c r="D2820" s="12"/>
      <c r="G2820" s="9"/>
      <c r="H2820" s="12"/>
    </row>
    <row r="2821" spans="2:12" s="10" customFormat="1" ht="18" customHeight="1">
      <c r="D2821" s="12" t="s">
        <v>3975</v>
      </c>
      <c r="G2821" s="9"/>
      <c r="H2821" s="12"/>
      <c r="I2821" s="9" t="s">
        <v>8642</v>
      </c>
      <c r="J2821" s="173" t="e">
        <f>IF(cst_shinsei_strtower21_prgo02_NINTEI__umu="有",IF(shinsei_strtower21_prgo02_MAKER_NAME="","",shinsei_strtower21_prgo02_MAKER_NAME&amp;"  "),"")</f>
        <v>#NAME?</v>
      </c>
    </row>
    <row r="2822" spans="2:12" s="10" customFormat="1" ht="18" customHeight="1">
      <c r="D2822" s="12" t="s">
        <v>3972</v>
      </c>
      <c r="G2822" s="9"/>
      <c r="H2822" s="12"/>
      <c r="I2822" s="9" t="s">
        <v>8643</v>
      </c>
      <c r="J2822" s="25" t="e">
        <f>IF(cst_shinsei_strtower21_prgo02_NINTEI__umu="有",IF(shinsei_strtower21_prgo02_NAME="","",shinsei_strtower21_prgo02_NAME&amp;" ")&amp;IF(shinsei_strtower21_prgo02_VER="","","Ver."&amp;shinsei_strtower21_prgo02_VER&amp;"  "),"")</f>
        <v>#NAME?</v>
      </c>
    </row>
    <row r="2823" spans="2:12" s="10" customFormat="1" ht="18" customHeight="1">
      <c r="C2823" s="12" t="s">
        <v>3981</v>
      </c>
      <c r="D2823" s="12"/>
      <c r="G2823" s="9"/>
      <c r="H2823" s="12"/>
    </row>
    <row r="2824" spans="2:12" s="10" customFormat="1" ht="18" customHeight="1">
      <c r="D2824" s="12" t="s">
        <v>3975</v>
      </c>
      <c r="G2824" s="9"/>
      <c r="H2824" s="12"/>
      <c r="I2824" s="9" t="s">
        <v>8644</v>
      </c>
      <c r="J2824" s="173" t="e">
        <f>IF(cst_shinsei_strtower21_prgo02_NINTEI__umu="無",IF(shinsei_strtower21_prgo02_MAKER_NAME="","",shinsei_strtower21_prgo02_MAKER_NAME&amp;"  "),"")</f>
        <v>#NAME?</v>
      </c>
    </row>
    <row r="2825" spans="2:12" s="10" customFormat="1" ht="18" customHeight="1">
      <c r="D2825" s="12" t="s">
        <v>3972</v>
      </c>
      <c r="G2825" s="9"/>
      <c r="H2825" s="12"/>
      <c r="I2825" s="9" t="s">
        <v>8645</v>
      </c>
      <c r="J2825" s="25" t="e">
        <f>IF(cst_shinsei_strtower21_prgo02_NINTEI__umu="無",IF(shinsei_strtower21_prgo02_NAME="","",shinsei_strtower21_prgo02_NAME&amp;" ")&amp;IF(shinsei_strtower21_prgo02_VER="","","Ver."&amp;shinsei_strtower21_prgo02_VER&amp;"  "),"")</f>
        <v>#NAME?</v>
      </c>
    </row>
    <row r="2826" spans="2:12" s="10" customFormat="1" ht="18" customHeight="1">
      <c r="B2826" s="105" t="s">
        <v>4016</v>
      </c>
      <c r="C2826" s="105"/>
      <c r="D2826" s="105"/>
      <c r="E2826" s="24"/>
      <c r="F2826" s="24"/>
      <c r="G2826" s="9"/>
      <c r="H2826" s="12"/>
    </row>
    <row r="2827" spans="2:12" s="10" customFormat="1" ht="18" customHeight="1">
      <c r="C2827" s="10" t="s">
        <v>3951</v>
      </c>
      <c r="D2827" s="12"/>
      <c r="G2827" s="9" t="s">
        <v>8646</v>
      </c>
      <c r="H2827" s="13"/>
    </row>
    <row r="2828" spans="2:12" s="10" customFormat="1" ht="18" customHeight="1">
      <c r="C2828" s="12" t="s">
        <v>3954</v>
      </c>
      <c r="D2828" s="12"/>
      <c r="G2828" s="9" t="s">
        <v>8647</v>
      </c>
      <c r="H2828" s="13"/>
    </row>
    <row r="2829" spans="2:12" s="10" customFormat="1" ht="18" customHeight="1">
      <c r="C2829" s="12" t="s">
        <v>3957</v>
      </c>
      <c r="D2829" s="12"/>
      <c r="G2829" s="9"/>
      <c r="H2829" s="9"/>
      <c r="I2829" s="10" t="s">
        <v>8648</v>
      </c>
      <c r="J2829" s="25" t="e">
        <f>IF(shinsei_strtower21_prgo03_NAME="","",IF(shinsei_strtower21_prgo03_NINTEI_NO="","無","有"))</f>
        <v>#NAME?</v>
      </c>
      <c r="K2829" s="10" t="s">
        <v>2941</v>
      </c>
      <c r="L2829" s="10" t="s">
        <v>3879</v>
      </c>
    </row>
    <row r="2830" spans="2:12" s="10" customFormat="1" ht="18" customHeight="1">
      <c r="C2830" s="12" t="s">
        <v>3960</v>
      </c>
      <c r="D2830" s="12"/>
      <c r="G2830" s="9" t="s">
        <v>8649</v>
      </c>
      <c r="H2830" s="13"/>
      <c r="K2830" s="10" t="s">
        <v>3862</v>
      </c>
      <c r="L2830" s="10" t="s">
        <v>3879</v>
      </c>
    </row>
    <row r="2831" spans="2:12" s="10" customFormat="1" ht="18" customHeight="1">
      <c r="C2831" s="12" t="s">
        <v>3964</v>
      </c>
      <c r="D2831" s="12"/>
      <c r="G2831" s="9" t="s">
        <v>8650</v>
      </c>
      <c r="H2831" s="74"/>
      <c r="I2831" s="10" t="s">
        <v>8651</v>
      </c>
      <c r="J2831" s="25" t="e">
        <f>IF(shinsei_strtower21_prgo03_NINTEI_DATE="","",TEXT(shinsei_strtower21_prgo03_NINTEI_DATE,"ggge年m月d日")&amp;"  ")</f>
        <v>#NAME?</v>
      </c>
    </row>
    <row r="2832" spans="2:12" s="10" customFormat="1" ht="18" customHeight="1">
      <c r="C2832" s="12" t="s">
        <v>3967</v>
      </c>
      <c r="D2832" s="12"/>
      <c r="G2832" s="9" t="s">
        <v>8652</v>
      </c>
      <c r="H2832" s="13"/>
      <c r="I2832" s="9"/>
      <c r="J2832" s="9"/>
    </row>
    <row r="2833" spans="2:12" s="10" customFormat="1" ht="18" customHeight="1">
      <c r="C2833" s="12" t="s">
        <v>3970</v>
      </c>
      <c r="D2833" s="12"/>
      <c r="G2833" s="9"/>
      <c r="H2833" s="12"/>
      <c r="I2833" s="9" t="s">
        <v>8653</v>
      </c>
      <c r="J2833" s="25" t="e">
        <f>IF(shinsei_strtower21_prgo03_NAME="","",shinsei_strtower21_prgo03_NAME)&amp;CHAR(10)&amp;IF(shinsei_strtower21_prgo03_VER="","","Ver."&amp;shinsei_strtower21_prgo03_VER&amp;CHAR(10))</f>
        <v>#NAME?</v>
      </c>
    </row>
    <row r="2834" spans="2:12" s="10" customFormat="1" ht="18" customHeight="1">
      <c r="C2834" s="12" t="s">
        <v>3972</v>
      </c>
      <c r="D2834" s="12"/>
      <c r="G2834" s="9"/>
      <c r="H2834" s="12"/>
      <c r="I2834" s="9" t="s">
        <v>8654</v>
      </c>
      <c r="J2834" s="25" t="e">
        <f>IF(shinsei_strtower21_prgo03_NAME="","",shinsei_strtower21_prgo03_NAME&amp;" ")&amp;IF(shinsei_strtower21_prgo03_VER="","","Ver."&amp;shinsei_strtower21_prgo03_VER&amp;"  ")</f>
        <v>#NAME?</v>
      </c>
    </row>
    <row r="2835" spans="2:12" s="10" customFormat="1" ht="18" customHeight="1">
      <c r="C2835" s="12" t="s">
        <v>3974</v>
      </c>
      <c r="D2835" s="12"/>
      <c r="G2835" s="9"/>
      <c r="H2835" s="12"/>
    </row>
    <row r="2836" spans="2:12" s="10" customFormat="1" ht="18" customHeight="1">
      <c r="D2836" s="12" t="s">
        <v>3975</v>
      </c>
      <c r="G2836" s="9"/>
      <c r="H2836" s="12"/>
      <c r="I2836" s="9" t="s">
        <v>8655</v>
      </c>
      <c r="J2836" s="173" t="e">
        <f>IF(cst_shinsei_strtower21_prgo03_NINTEI__umu="有",IF(shinsei_strtower21_prgo03_MAKER_NAME="","",shinsei_strtower21_prgo03_MAKER_NAME&amp;"  "),"")</f>
        <v>#NAME?</v>
      </c>
    </row>
    <row r="2837" spans="2:12" s="10" customFormat="1" ht="18" customHeight="1">
      <c r="D2837" s="12" t="s">
        <v>3972</v>
      </c>
      <c r="G2837" s="9"/>
      <c r="H2837" s="12"/>
      <c r="I2837" s="9" t="s">
        <v>8656</v>
      </c>
      <c r="J2837" s="25" t="e">
        <f>IF(cst_shinsei_strtower21_prgo03_NINTEI__umu="有",IF(shinsei_strtower21_prgo03_NAME="","",shinsei_strtower21_prgo03_NAME&amp;" ")&amp;IF(shinsei_strtower21_prgo03_VER="","","Ver."&amp;shinsei_strtower21_prgo03_VER&amp;"  "),"")</f>
        <v>#NAME?</v>
      </c>
    </row>
    <row r="2838" spans="2:12" s="10" customFormat="1" ht="18" customHeight="1">
      <c r="C2838" s="12" t="s">
        <v>3981</v>
      </c>
      <c r="D2838" s="12"/>
      <c r="G2838" s="9"/>
      <c r="H2838" s="12"/>
    </row>
    <row r="2839" spans="2:12" s="10" customFormat="1" ht="18" customHeight="1">
      <c r="D2839" s="12" t="s">
        <v>3975</v>
      </c>
      <c r="G2839" s="9"/>
      <c r="H2839" s="12"/>
      <c r="I2839" s="9" t="s">
        <v>8657</v>
      </c>
      <c r="J2839" s="173" t="e">
        <f>IF(cst_shinsei_strtower21_prgo03_NINTEI__umu="無",IF(shinsei_strtower21_prgo03_MAKER_NAME="","",shinsei_strtower21_prgo03_MAKER_NAME&amp;"  "),"")</f>
        <v>#NAME?</v>
      </c>
    </row>
    <row r="2840" spans="2:12" s="10" customFormat="1" ht="18" customHeight="1">
      <c r="D2840" s="12" t="s">
        <v>3972</v>
      </c>
      <c r="G2840" s="9"/>
      <c r="H2840" s="12"/>
      <c r="I2840" s="9" t="s">
        <v>8658</v>
      </c>
      <c r="J2840" s="25" t="e">
        <f>IF(cst_shinsei_strtower21_prgo03_NINTEI__umu="無",IF(shinsei_strtower21_prgo03_NAME="","",shinsei_strtower21_prgo03_NAME&amp;" ")&amp;IF(shinsei_strtower21_prgo03_VER="","","Ver."&amp;shinsei_strtower21_prgo03_VER&amp;"  "),"")</f>
        <v>#NAME?</v>
      </c>
    </row>
    <row r="2841" spans="2:12" s="10" customFormat="1" ht="18" customHeight="1">
      <c r="B2841" s="105" t="s">
        <v>4031</v>
      </c>
      <c r="C2841" s="105"/>
      <c r="D2841" s="105"/>
      <c r="E2841" s="24"/>
      <c r="F2841" s="24"/>
      <c r="G2841" s="9"/>
      <c r="H2841" s="12"/>
    </row>
    <row r="2842" spans="2:12" s="10" customFormat="1" ht="18" customHeight="1">
      <c r="C2842" s="10" t="s">
        <v>3951</v>
      </c>
      <c r="D2842" s="12"/>
      <c r="G2842" s="9" t="s">
        <v>8659</v>
      </c>
      <c r="H2842" s="13"/>
    </row>
    <row r="2843" spans="2:12" s="10" customFormat="1" ht="18" customHeight="1">
      <c r="C2843" s="12" t="s">
        <v>3954</v>
      </c>
      <c r="D2843" s="12"/>
      <c r="G2843" s="9" t="s">
        <v>8660</v>
      </c>
      <c r="H2843" s="13"/>
    </row>
    <row r="2844" spans="2:12" s="10" customFormat="1" ht="18" customHeight="1">
      <c r="C2844" s="12" t="s">
        <v>3957</v>
      </c>
      <c r="D2844" s="12"/>
      <c r="G2844" s="9"/>
      <c r="H2844" s="9"/>
      <c r="I2844" s="10" t="s">
        <v>8661</v>
      </c>
      <c r="J2844" s="25" t="e">
        <f>IF(shinsei_strtower21_prgo04_NAME="","",IF(shinsei_strtower21_prgo04_NINTEI_NO="","無","有"))</f>
        <v>#NAME?</v>
      </c>
      <c r="K2844" s="10" t="s">
        <v>2941</v>
      </c>
      <c r="L2844" s="10" t="s">
        <v>3879</v>
      </c>
    </row>
    <row r="2845" spans="2:12" s="10" customFormat="1" ht="18" customHeight="1">
      <c r="C2845" s="12" t="s">
        <v>3960</v>
      </c>
      <c r="D2845" s="12"/>
      <c r="G2845" s="9" t="s">
        <v>8662</v>
      </c>
      <c r="H2845" s="13"/>
      <c r="K2845" s="10" t="s">
        <v>3862</v>
      </c>
      <c r="L2845" s="10" t="s">
        <v>3879</v>
      </c>
    </row>
    <row r="2846" spans="2:12" s="10" customFormat="1" ht="18" customHeight="1">
      <c r="C2846" s="12" t="s">
        <v>3964</v>
      </c>
      <c r="D2846" s="12"/>
      <c r="G2846" s="9" t="s">
        <v>8663</v>
      </c>
      <c r="H2846" s="74"/>
      <c r="I2846" s="10" t="s">
        <v>8664</v>
      </c>
      <c r="J2846" s="25" t="e">
        <f>IF(shinsei_strtower21_prgo04_NINTEI_DATE="","",TEXT(shinsei_strtower21_prgo04_NINTEI_DATE,"ggge年m月d日")&amp;"  ")</f>
        <v>#NAME?</v>
      </c>
    </row>
    <row r="2847" spans="2:12" s="10" customFormat="1" ht="18" customHeight="1">
      <c r="C2847" s="12" t="s">
        <v>3967</v>
      </c>
      <c r="D2847" s="12"/>
      <c r="G2847" s="9" t="s">
        <v>8665</v>
      </c>
      <c r="H2847" s="13"/>
      <c r="I2847" s="9"/>
      <c r="J2847" s="9"/>
    </row>
    <row r="2848" spans="2:12" s="10" customFormat="1" ht="18" customHeight="1">
      <c r="C2848" s="12" t="s">
        <v>3970</v>
      </c>
      <c r="D2848" s="12"/>
      <c r="G2848" s="9"/>
      <c r="H2848" s="12"/>
      <c r="I2848" s="9" t="s">
        <v>8666</v>
      </c>
      <c r="J2848" s="25" t="e">
        <f>IF(shinsei_strtower21_prgo04_NAME="","",shinsei_strtower21_prgo04_NAME)&amp;CHAR(10)&amp;IF(shinsei_strtower21_prgo04_VER="","","Ver."&amp;shinsei_strtower21_prgo04_VER&amp;CHAR(10))</f>
        <v>#NAME?</v>
      </c>
    </row>
    <row r="2849" spans="2:12" s="10" customFormat="1" ht="18" customHeight="1">
      <c r="C2849" s="12" t="s">
        <v>3972</v>
      </c>
      <c r="D2849" s="12"/>
      <c r="G2849" s="9"/>
      <c r="H2849" s="12"/>
      <c r="I2849" s="9" t="s">
        <v>8667</v>
      </c>
      <c r="J2849" s="25" t="e">
        <f>IF(shinsei_strtower21_prgo04_NAME="","",shinsei_strtower21_prgo04_NAME&amp;" ")&amp;IF(shinsei_strtower21_prgo04_VER="","","Ver."&amp;shinsei_strtower21_prgo04_VER&amp;"  ")</f>
        <v>#NAME?</v>
      </c>
    </row>
    <row r="2850" spans="2:12" s="10" customFormat="1" ht="18" customHeight="1">
      <c r="C2850" s="12" t="s">
        <v>3974</v>
      </c>
      <c r="D2850" s="12"/>
      <c r="G2850" s="9"/>
      <c r="H2850" s="12"/>
    </row>
    <row r="2851" spans="2:12" s="10" customFormat="1" ht="18" customHeight="1">
      <c r="D2851" s="12" t="s">
        <v>3975</v>
      </c>
      <c r="G2851" s="9"/>
      <c r="H2851" s="12"/>
      <c r="I2851" s="9" t="s">
        <v>8668</v>
      </c>
      <c r="J2851" s="173" t="e">
        <f>IF(cst_shinsei_strtower21_prgo04_NINTEI__umu="有",IF(shinsei_strtower21_prgo04_MAKER_NAME="","",shinsei_strtower21_prgo04_MAKER_NAME&amp;"  "),"")</f>
        <v>#NAME?</v>
      </c>
    </row>
    <row r="2852" spans="2:12" s="10" customFormat="1" ht="18" customHeight="1">
      <c r="D2852" s="12" t="s">
        <v>3972</v>
      </c>
      <c r="G2852" s="9"/>
      <c r="H2852" s="12"/>
      <c r="I2852" s="9" t="s">
        <v>8669</v>
      </c>
      <c r="J2852" s="25" t="e">
        <f>IF(cst_shinsei_strtower21_prgo04_NINTEI__umu="有",IF(shinsei_strtower21_prgo04_NAME="","",shinsei_strtower21_prgo04_NAME&amp;" ")&amp;IF(shinsei_strtower21_prgo04_VER="","","Ver."&amp;shinsei_strtower21_prgo04_VER&amp;"  "),"")</f>
        <v>#NAME?</v>
      </c>
    </row>
    <row r="2853" spans="2:12" s="10" customFormat="1" ht="18" customHeight="1">
      <c r="C2853" s="12" t="s">
        <v>3981</v>
      </c>
      <c r="D2853" s="12"/>
      <c r="G2853" s="9"/>
      <c r="H2853" s="12"/>
    </row>
    <row r="2854" spans="2:12" s="10" customFormat="1" ht="18" customHeight="1">
      <c r="D2854" s="12" t="s">
        <v>3975</v>
      </c>
      <c r="G2854" s="9"/>
      <c r="H2854" s="12"/>
      <c r="I2854" s="9" t="s">
        <v>8670</v>
      </c>
      <c r="J2854" s="173" t="e">
        <f>IF(cst_shinsei_strtower21_prgo04_NINTEI__umu="無",IF(shinsei_strtower21_prgo04_MAKER_NAME="","",shinsei_strtower21_prgo04_MAKER_NAME&amp;"  "),"")</f>
        <v>#NAME?</v>
      </c>
    </row>
    <row r="2855" spans="2:12" s="10" customFormat="1" ht="18" customHeight="1">
      <c r="D2855" s="12" t="s">
        <v>3972</v>
      </c>
      <c r="G2855" s="9"/>
      <c r="H2855" s="12"/>
      <c r="I2855" s="9" t="s">
        <v>8671</v>
      </c>
      <c r="J2855" s="25" t="e">
        <f>IF(cst_shinsei_strtower21_prgo04_NINTEI__umu="無",IF(shinsei_strtower21_prgo04_NAME="","",shinsei_strtower21_prgo04_NAME&amp;" ")&amp;IF(shinsei_strtower21_prgo04_VER="","","Ver."&amp;shinsei_strtower21_prgo04_VER&amp;"  "),"")</f>
        <v>#NAME?</v>
      </c>
    </row>
    <row r="2856" spans="2:12" s="10" customFormat="1" ht="18" customHeight="1">
      <c r="B2856" s="105" t="s">
        <v>4049</v>
      </c>
      <c r="C2856" s="105"/>
      <c r="D2856" s="105"/>
      <c r="E2856" s="24"/>
      <c r="F2856" s="24"/>
      <c r="G2856" s="9"/>
      <c r="H2856" s="12"/>
    </row>
    <row r="2857" spans="2:12" s="10" customFormat="1" ht="18" customHeight="1">
      <c r="C2857" s="10" t="s">
        <v>3951</v>
      </c>
      <c r="D2857" s="12"/>
      <c r="G2857" s="9" t="s">
        <v>8672</v>
      </c>
      <c r="H2857" s="13"/>
    </row>
    <row r="2858" spans="2:12" s="10" customFormat="1" ht="18" customHeight="1">
      <c r="C2858" s="12" t="s">
        <v>3954</v>
      </c>
      <c r="D2858" s="12"/>
      <c r="G2858" s="9" t="s">
        <v>8673</v>
      </c>
      <c r="H2858" s="13"/>
    </row>
    <row r="2859" spans="2:12" s="10" customFormat="1" ht="18" customHeight="1">
      <c r="C2859" s="12" t="s">
        <v>3957</v>
      </c>
      <c r="D2859" s="12"/>
      <c r="G2859" s="9"/>
      <c r="H2859" s="9"/>
      <c r="I2859" s="10" t="s">
        <v>8674</v>
      </c>
      <c r="J2859" s="25" t="e">
        <f>IF(shinsei_strtower21_prgo05_NAME="","",IF(shinsei_strtower21_prgo05_NINTEI_NO="","無","有"))</f>
        <v>#NAME?</v>
      </c>
      <c r="K2859" s="10" t="s">
        <v>2941</v>
      </c>
      <c r="L2859" s="10" t="s">
        <v>3879</v>
      </c>
    </row>
    <row r="2860" spans="2:12" s="10" customFormat="1" ht="18" customHeight="1">
      <c r="C2860" s="12" t="s">
        <v>3960</v>
      </c>
      <c r="D2860" s="12"/>
      <c r="G2860" s="9" t="s">
        <v>8675</v>
      </c>
      <c r="H2860" s="13"/>
      <c r="K2860" s="10" t="s">
        <v>3862</v>
      </c>
      <c r="L2860" s="10" t="s">
        <v>3879</v>
      </c>
    </row>
    <row r="2861" spans="2:12" s="10" customFormat="1" ht="18" customHeight="1">
      <c r="C2861" s="12" t="s">
        <v>3964</v>
      </c>
      <c r="D2861" s="12"/>
      <c r="G2861" s="9" t="s">
        <v>8676</v>
      </c>
      <c r="H2861" s="74"/>
      <c r="I2861" s="10" t="s">
        <v>8677</v>
      </c>
      <c r="J2861" s="25" t="e">
        <f>IF(shinsei_strtower21_prgo05_NINTEI_DATE="","",TEXT(shinsei_strtower21_prgo05_NINTEI_DATE,"ggge年m月d日")&amp;"  ")</f>
        <v>#NAME?</v>
      </c>
    </row>
    <row r="2862" spans="2:12" s="10" customFormat="1" ht="18" customHeight="1">
      <c r="C2862" s="12" t="s">
        <v>3967</v>
      </c>
      <c r="D2862" s="12"/>
      <c r="G2862" s="9" t="s">
        <v>8678</v>
      </c>
      <c r="H2862" s="13"/>
    </row>
    <row r="2863" spans="2:12" s="10" customFormat="1" ht="18" customHeight="1">
      <c r="C2863" s="12" t="s">
        <v>3970</v>
      </c>
      <c r="D2863" s="12"/>
      <c r="G2863" s="9"/>
      <c r="H2863" s="12"/>
      <c r="I2863" s="9" t="s">
        <v>8679</v>
      </c>
      <c r="J2863" s="25" t="e">
        <f>IF(shinsei_strtower21_prgo05_NAME="","",shinsei_strtower21_prgo05_NAME)&amp;CHAR(10)&amp;IF(shinsei_strtower21_prgo05_VER="","","Ver."&amp;shinsei_strtower21_prgo05_VER&amp;CHAR(10))</f>
        <v>#NAME?</v>
      </c>
    </row>
    <row r="2864" spans="2:12" s="10" customFormat="1" ht="18" customHeight="1">
      <c r="C2864" s="12" t="s">
        <v>3972</v>
      </c>
      <c r="D2864" s="12"/>
      <c r="G2864" s="9"/>
      <c r="H2864" s="12"/>
      <c r="I2864" s="9" t="s">
        <v>8680</v>
      </c>
      <c r="J2864" s="25" t="e">
        <f>IF(shinsei_strtower21_prgo05_NAME="","",shinsei_strtower21_prgo05_NAME&amp;" ")&amp;IF(shinsei_strtower21_prgo05_VER="","","Ver."&amp;shinsei_strtower21_prgo05_VER&amp;"  ")</f>
        <v>#NAME?</v>
      </c>
    </row>
    <row r="2865" spans="2:10" s="10" customFormat="1" ht="18" customHeight="1">
      <c r="C2865" s="12" t="s">
        <v>3974</v>
      </c>
      <c r="D2865" s="12"/>
      <c r="G2865" s="9"/>
      <c r="H2865" s="12"/>
    </row>
    <row r="2866" spans="2:10" s="10" customFormat="1" ht="18" customHeight="1">
      <c r="D2866" s="12" t="s">
        <v>3975</v>
      </c>
      <c r="G2866" s="9"/>
      <c r="H2866" s="12"/>
      <c r="I2866" s="9" t="s">
        <v>8681</v>
      </c>
      <c r="J2866" s="173" t="e">
        <f>IF(cst_shinsei_strtower21_prgo05_NINTEI__umu="有",IF(shinsei_strtower21_prgo05_MAKER_NAME="","",shinsei_strtower21_prgo05_MAKER_NAME&amp;"  "),"")</f>
        <v>#NAME?</v>
      </c>
    </row>
    <row r="2867" spans="2:10" s="10" customFormat="1" ht="18" customHeight="1">
      <c r="D2867" s="12" t="s">
        <v>3972</v>
      </c>
      <c r="G2867" s="9"/>
      <c r="H2867" s="12"/>
      <c r="I2867" s="9" t="s">
        <v>8682</v>
      </c>
      <c r="J2867" s="25" t="e">
        <f>IF(cst_shinsei_strtower21_prgo05_NINTEI__umu="有",IF(shinsei_strtower21_prgo05_NAME="","",shinsei_strtower21_prgo05_NAME&amp;" ")&amp;IF(shinsei_strtower21_prgo05_VER="","","Ver."&amp;shinsei_strtower21_prgo05_VER&amp;"  "),"")</f>
        <v>#NAME?</v>
      </c>
    </row>
    <row r="2868" spans="2:10" s="10" customFormat="1" ht="18" customHeight="1">
      <c r="C2868" s="12" t="s">
        <v>3981</v>
      </c>
      <c r="D2868" s="12"/>
      <c r="G2868" s="9"/>
      <c r="H2868" s="12"/>
    </row>
    <row r="2869" spans="2:10" s="10" customFormat="1" ht="18" customHeight="1">
      <c r="D2869" s="12" t="s">
        <v>3975</v>
      </c>
      <c r="G2869" s="9"/>
      <c r="H2869" s="12"/>
      <c r="I2869" s="9" t="s">
        <v>8683</v>
      </c>
      <c r="J2869" s="173" t="e">
        <f>IF(cst_shinsei_strtower21_prgo05_NINTEI__umu="無",IF(shinsei_strtower21_prgo05_MAKER_NAME="","",shinsei_strtower21_prgo05_MAKER_NAME&amp;"  "),"")</f>
        <v>#NAME?</v>
      </c>
    </row>
    <row r="2870" spans="2:10" s="10" customFormat="1" ht="18" customHeight="1">
      <c r="D2870" s="12" t="s">
        <v>3972</v>
      </c>
      <c r="G2870" s="9"/>
      <c r="H2870" s="12"/>
      <c r="I2870" s="9" t="s">
        <v>8684</v>
      </c>
      <c r="J2870" s="25" t="e">
        <f>IF(cst_shinsei_strtower21_prgo05_NINTEI__umu="無",IF(shinsei_strtower21_prgo05_NAME="","",shinsei_strtower21_prgo05_NAME&amp;" ")&amp;IF(shinsei_strtower21_prgo05_VER="","","Ver."&amp;shinsei_strtower21_prgo05_VER&amp;"  "),"")</f>
        <v>#NAME?</v>
      </c>
    </row>
    <row r="2871" spans="2:10" s="10" customFormat="1" ht="18" customHeight="1">
      <c r="B2871" s="13" t="s">
        <v>3827</v>
      </c>
      <c r="C2871" s="13"/>
      <c r="D2871" s="13"/>
      <c r="E2871" s="25"/>
      <c r="F2871" s="25"/>
      <c r="G2871" s="9"/>
      <c r="H2871" s="80"/>
      <c r="I2871" s="9"/>
      <c r="J2871" s="80"/>
    </row>
    <row r="2872" spans="2:10" s="10" customFormat="1" ht="18" customHeight="1">
      <c r="C2872" s="12" t="s">
        <v>3970</v>
      </c>
      <c r="D2872" s="12"/>
      <c r="G2872" s="9"/>
      <c r="H2872" s="80"/>
      <c r="I2872" s="166" t="s">
        <v>8685</v>
      </c>
      <c r="J2872" s="74" t="e">
        <f>cst_shinsei_strtower21_prgo01_NAME_VER&amp;cst_shinsei_strtower21_prgo02_NAME_VER&amp;cst_shinsei_strtower21_prgo03_NAME_VER&amp;cst_shinsei_strtower21_prgo04_NAME_VER&amp;cst_shinsei_strtower21_prgo05_NAME_VER</f>
        <v>#NAME?</v>
      </c>
    </row>
    <row r="2873" spans="2:10" s="10" customFormat="1" ht="18" customHeight="1">
      <c r="C2873" s="12" t="s">
        <v>3972</v>
      </c>
      <c r="D2873" s="12"/>
      <c r="G2873" s="9"/>
      <c r="H2873" s="80"/>
      <c r="I2873" s="166" t="s">
        <v>8686</v>
      </c>
      <c r="J2873" s="74" t="e">
        <f>cst_shinsei_strtower21_prgo01_NAME_VER__SP&amp;cst_shinsei_strtower21_prgo02_NAME_VER__SP&amp;cst_shinsei_strtower21_prgo03_NAME_VER__SP&amp;cst_shinsei_strtower21_prgo04_NAME_VER__SP&amp;cst_shinsei_strtower21_prgo05_NAME_VER__SP</f>
        <v>#NAME?</v>
      </c>
    </row>
    <row r="2874" spans="2:10" s="10" customFormat="1" ht="18" customHeight="1">
      <c r="B2874" s="13" t="s">
        <v>4068</v>
      </c>
      <c r="C2874" s="13"/>
      <c r="D2874" s="13"/>
      <c r="E2874" s="25"/>
      <c r="F2874" s="25"/>
      <c r="G2874" s="9"/>
      <c r="H2874" s="80"/>
      <c r="I2874" s="9"/>
      <c r="J2874" s="80"/>
    </row>
    <row r="2875" spans="2:10" s="10" customFormat="1" ht="18" customHeight="1">
      <c r="C2875" s="12" t="s">
        <v>3975</v>
      </c>
      <c r="D2875" s="12"/>
      <c r="G2875" s="9"/>
      <c r="H2875" s="80"/>
      <c r="I2875" s="166" t="s">
        <v>8687</v>
      </c>
      <c r="J2875" s="74" t="e">
        <f>cst_shinsei_strtower21_prgo01_MAKER__NINTEI_ari&amp;cst_shinsei_strtower21_prgo02_MAKER__NINTEI_ari&amp;cst_shinsei_strtower21_prgo03_MAKER__NINTEI_ari&amp;cst_shinsei_strtower21_prgo04_MAKER__NINTEI_ari&amp;cst_shinsei_strtower21_prgo05_MAKER__NINTEI_ari</f>
        <v>#NAME?</v>
      </c>
    </row>
    <row r="2876" spans="2:10" s="10" customFormat="1" ht="18" customHeight="1">
      <c r="C2876" s="12" t="s">
        <v>3972</v>
      </c>
      <c r="D2876" s="12"/>
      <c r="G2876" s="9"/>
      <c r="H2876" s="80"/>
      <c r="I2876" s="166" t="s">
        <v>8688</v>
      </c>
      <c r="J2876" s="173" t="e">
        <f>cst_shinsei_strtower21_prgo01_NAME_VER__NINTEI_ari&amp;cst_shinsei_strtower21_prgo02_NAME_VER__NINTEI_ari&amp;cst_shinsei_strtower21_prgo03_NAME_VER__NINTEI_ari&amp;cst_shinsei_strtower21_prgo04_NAME_VER__NINTEI_ari&amp;cst_shinsei_strtower21_prgo05_NAME_VER__NINTEI_ari</f>
        <v>#NAME?</v>
      </c>
    </row>
    <row r="2877" spans="2:10" s="10" customFormat="1" ht="18" customHeight="1">
      <c r="C2877" s="12" t="s">
        <v>3964</v>
      </c>
      <c r="D2877" s="12"/>
      <c r="G2877" s="9"/>
      <c r="H2877" s="80"/>
      <c r="I2877" s="166" t="s">
        <v>8689</v>
      </c>
      <c r="J2877" s="74" t="e">
        <f>cst_shinsei_strtower21_prgo01_NINTEI_DATE_dsp&amp;cst_shinsei_strtower21_prgo02_NINTEI_DATE_dsp&amp;cst_shinsei_strtower21_prgo03_NINTEI_DATE_dsp&amp;cst_shinsei_strtower21_prgo04_NINTEI_DATE_dsp&amp;cst_shinsei_strtower21_prgo05_NINTEI_DATE_dsp</f>
        <v>#NAME?</v>
      </c>
    </row>
    <row r="2878" spans="2:10" s="10" customFormat="1" ht="18" customHeight="1">
      <c r="B2878" s="13" t="s">
        <v>4072</v>
      </c>
      <c r="C2878" s="13"/>
      <c r="D2878" s="13"/>
      <c r="E2878" s="25"/>
      <c r="F2878" s="25"/>
      <c r="G2878" s="9"/>
      <c r="H2878" s="80"/>
      <c r="I2878" s="9"/>
      <c r="J2878" s="80"/>
    </row>
    <row r="2879" spans="2:10" s="10" customFormat="1" ht="18" customHeight="1">
      <c r="C2879" s="12" t="s">
        <v>3975</v>
      </c>
      <c r="D2879" s="12"/>
      <c r="G2879" s="9"/>
      <c r="H2879" s="80"/>
      <c r="I2879" s="166" t="s">
        <v>8690</v>
      </c>
      <c r="J2879" s="74" t="e">
        <f>cst_shinsei_strtower21_prgo01_MAKER__NINTEI_non&amp;cst_shinsei_strtower21_prgo02_MAKER__NINTEI_non&amp;cst_shinsei_strtower21_prgo03_MAKER__NINTEI_non&amp;cst_shinsei_strtower21_prgo04_MAKER__NINTEI_non&amp;cst_shinsei_strtower21_prgo05_MAKER__NINTEI_non</f>
        <v>#NAME?</v>
      </c>
    </row>
    <row r="2880" spans="2:10" s="10" customFormat="1" ht="18" customHeight="1">
      <c r="C2880" s="12" t="s">
        <v>3972</v>
      </c>
      <c r="D2880" s="12"/>
      <c r="G2880" s="9"/>
      <c r="H2880" s="80"/>
      <c r="I2880" s="166" t="s">
        <v>8691</v>
      </c>
      <c r="J2880" s="173" t="e">
        <f>cst_shinsei_strtower21_prgo01_NAME_VER__NINTEI_non&amp;cst_shinsei_strtower21_prgo02_NAME_VER__NINTEI_non&amp;cst_shinsei_strtower21_prgo03_NAME_VER__NINTEI_non&amp;cst_shinsei_strtower21_prgo04_NAME_VER__NINTEI_non&amp;cst_shinsei_strtower21_prgo05_NAME_VER__NINTEI_non</f>
        <v>#NAME?</v>
      </c>
    </row>
    <row r="2881" spans="1:12" s="10" customFormat="1" ht="18" customHeight="1">
      <c r="B2881" s="12" t="s">
        <v>4075</v>
      </c>
      <c r="G2881" s="9" t="s">
        <v>8692</v>
      </c>
      <c r="H2881" s="20"/>
      <c r="I2881" s="9" t="s">
        <v>8693</v>
      </c>
      <c r="J2881" s="20" t="e">
        <f>IF(shinsei_strtower21_DISK_FLAG="","",IF(shinsei_strtower21_DISK_FLAG=1,"有","無"))</f>
        <v>#NAME?</v>
      </c>
    </row>
    <row r="2882" spans="1:12" s="10" customFormat="1" ht="18" customHeight="1">
      <c r="A2882" s="9"/>
      <c r="B2882" s="9" t="s">
        <v>2955</v>
      </c>
      <c r="C2882" s="9"/>
      <c r="D2882" s="9"/>
      <c r="E2882" s="9"/>
      <c r="F2882" s="9"/>
      <c r="G2882" s="9" t="s">
        <v>7334</v>
      </c>
      <c r="H2882" s="136"/>
      <c r="I2882" s="19" t="s">
        <v>7335</v>
      </c>
      <c r="J2882" s="171" t="e">
        <f>IF(shinsei_strtower21_CHARGE="","",shinsei_strtower21_CHARGE)</f>
        <v>#NAME?</v>
      </c>
      <c r="K2882" s="9" t="s">
        <v>2528</v>
      </c>
      <c r="L2882" s="9" t="s">
        <v>2528</v>
      </c>
    </row>
    <row r="2883" spans="1:12" ht="18" customHeight="1">
      <c r="A2883" s="149"/>
      <c r="B2883" s="149"/>
      <c r="C2883" s="149"/>
      <c r="D2883" s="149"/>
      <c r="E2883" s="12" t="s">
        <v>3907</v>
      </c>
      <c r="F2883" s="12"/>
      <c r="G2883" s="149"/>
      <c r="I2883" s="100" t="s">
        <v>7336</v>
      </c>
      <c r="J2883" s="171" t="e">
        <f>IF(shinsei_strtower21_CHARGE="","",TEXT(shinsei_strtower21_CHARGE,"#,##0_ ")&amp;"円")</f>
        <v>#NAME?</v>
      </c>
      <c r="K2883" s="9"/>
      <c r="L2883" s="9"/>
    </row>
    <row r="2884" spans="1:12" ht="18" customHeight="1">
      <c r="A2884" s="149"/>
      <c r="B2884" s="149" t="s">
        <v>3041</v>
      </c>
      <c r="C2884" s="149"/>
      <c r="D2884" s="149"/>
      <c r="E2884" s="149"/>
      <c r="F2884" s="149"/>
      <c r="G2884" s="149" t="s">
        <v>7337</v>
      </c>
      <c r="H2884" s="136"/>
      <c r="I2884" s="100" t="s">
        <v>7338</v>
      </c>
      <c r="J2884" s="136" t="e">
        <f>IF(shinsei_strtower21_CHARGE_WARIMASHI="","",shinsei_strtower21_CHARGE_WARIMASHI)</f>
        <v>#NAME?</v>
      </c>
      <c r="K2884" s="9" t="s">
        <v>2528</v>
      </c>
      <c r="L2884" s="9" t="s">
        <v>2528</v>
      </c>
    </row>
    <row r="2885" spans="1:12" ht="18" customHeight="1">
      <c r="A2885" s="149"/>
      <c r="B2885" s="149" t="s">
        <v>3043</v>
      </c>
      <c r="C2885" s="149"/>
      <c r="D2885" s="149"/>
      <c r="E2885" s="149"/>
      <c r="F2885" s="149"/>
      <c r="G2885" s="149" t="s">
        <v>7339</v>
      </c>
      <c r="H2885" s="136"/>
      <c r="I2885" s="100" t="s">
        <v>7340</v>
      </c>
      <c r="J2885" s="136" t="e">
        <f>IF(shinsei_strtower21_CHARGE_TOTAL="","",shinsei_strtower21_CHARGE_TOTAL)</f>
        <v>#NAME?</v>
      </c>
      <c r="K2885" s="9" t="s">
        <v>2528</v>
      </c>
      <c r="L2885" s="9" t="s">
        <v>2528</v>
      </c>
    </row>
    <row r="2886" spans="1:12" ht="18" customHeight="1">
      <c r="A2886" s="149"/>
      <c r="B2886" s="149" t="s">
        <v>5637</v>
      </c>
      <c r="C2886" s="149"/>
      <c r="D2886" s="149"/>
      <c r="E2886" s="149"/>
      <c r="F2886" s="149"/>
      <c r="G2886" s="149" t="s">
        <v>7341</v>
      </c>
      <c r="H2886" s="13"/>
      <c r="I2886" s="176" t="s">
        <v>7342</v>
      </c>
      <c r="J2886" s="20" t="e">
        <f>IF(shinsei_strtower21_CHARGE_KEISAN_NOTE="","",shinsei_strtower21_CHARGE_KEISAN_NOTE)</f>
        <v>#NAME?</v>
      </c>
      <c r="K2886" s="10" t="s">
        <v>3862</v>
      </c>
      <c r="L2886" s="10" t="s">
        <v>3879</v>
      </c>
    </row>
    <row r="2887" spans="1:12" ht="18" customHeight="1">
      <c r="A2887" s="149"/>
      <c r="B2887" s="149"/>
      <c r="C2887" s="149"/>
      <c r="D2887" s="149"/>
      <c r="E2887" s="149" t="s">
        <v>5640</v>
      </c>
      <c r="F2887" s="149"/>
      <c r="G2887" s="149"/>
      <c r="I2887" s="100" t="s">
        <v>7343</v>
      </c>
      <c r="J2887" s="20" t="e">
        <f>IF(shinsei_INSPECTION_TYPE="計画変更",IF(shinsei_strtower21_CHARGE="","","延べ面積×1/2により算出"),IF(shinsei_strtower21_CHARGE_KEISAN_NOTE="","",shinsei_strtower21_CHARGE_KEISAN_NOTE))</f>
        <v>#NAME?</v>
      </c>
    </row>
    <row r="2888" spans="1:12" ht="18" customHeight="1">
      <c r="A2888" s="149"/>
      <c r="B2888" s="149" t="s">
        <v>5642</v>
      </c>
      <c r="C2888" s="149"/>
      <c r="D2888" s="149"/>
      <c r="E2888" s="149"/>
      <c r="F2888" s="149"/>
      <c r="G2888" s="149" t="s">
        <v>7344</v>
      </c>
      <c r="H2888" s="13"/>
      <c r="I2888" s="149" t="s">
        <v>7345</v>
      </c>
      <c r="J2888" s="20" t="e">
        <f>IF(shinsei_strtower21_KEISAN_X_ROUTE="","",shinsei_strtower21_KEISAN_X_ROUTE)</f>
        <v>#NAME?</v>
      </c>
    </row>
    <row r="2889" spans="1:12" ht="18" customHeight="1">
      <c r="A2889" s="149"/>
      <c r="B2889" s="149" t="s">
        <v>5645</v>
      </c>
      <c r="C2889" s="149"/>
      <c r="D2889" s="149"/>
      <c r="E2889" s="149"/>
      <c r="F2889" s="149"/>
      <c r="G2889" s="149" t="s">
        <v>7346</v>
      </c>
      <c r="H2889" s="13"/>
      <c r="I2889" s="149" t="s">
        <v>5980</v>
      </c>
      <c r="J2889" s="20" t="e">
        <f>IF(shinsei_strtower21_KEISAN_Y_ROUTE="","",shinsei_strtower21_KEISAN_Y_ROUTE)</f>
        <v>#NAME?</v>
      </c>
    </row>
    <row r="2890" spans="1:12" ht="18" customHeight="1">
      <c r="A2890" s="149"/>
      <c r="B2890" s="149"/>
      <c r="C2890" s="149" t="s">
        <v>3805</v>
      </c>
      <c r="D2890" s="149"/>
      <c r="E2890" s="149"/>
      <c r="F2890" s="149"/>
      <c r="G2890" s="149"/>
      <c r="H2890" s="12"/>
      <c r="I2890" s="149" t="s">
        <v>5981</v>
      </c>
      <c r="J2890" s="20" t="e">
        <f>IF(AND(cst_shinsei_strtower21_KEISAN_X_ROUTE="3",cst_shinsei_strtower21_KEISAN_Y_ROUTE="3"),"■","□")</f>
        <v>#NAME?</v>
      </c>
    </row>
    <row r="2891" spans="1:12" ht="18" customHeight="1">
      <c r="A2891" s="149"/>
      <c r="B2891" s="149" t="s">
        <v>5650</v>
      </c>
      <c r="C2891" s="149"/>
      <c r="D2891" s="149"/>
      <c r="E2891" s="149"/>
      <c r="F2891" s="149"/>
      <c r="G2891" s="149" t="s">
        <v>5982</v>
      </c>
      <c r="H2891" s="13"/>
      <c r="I2891" s="149" t="s">
        <v>5983</v>
      </c>
      <c r="J2891" s="20" t="e">
        <f>IF(shinsei_strtower21_PROGRAM_KIND_SONOTA="","",shinsei_strtower21_PROGRAM_KIND_SONOTA)</f>
        <v>#NAME?</v>
      </c>
    </row>
    <row r="2892" spans="1:12" ht="18" customHeight="1">
      <c r="A2892" s="149"/>
      <c r="B2892" s="149"/>
      <c r="C2892" s="149"/>
      <c r="D2892" s="149"/>
      <c r="E2892" s="149"/>
      <c r="F2892" s="149"/>
      <c r="G2892" s="149"/>
    </row>
    <row r="2893" spans="1:12" s="10" customFormat="1" ht="18" customHeight="1">
      <c r="A2893" s="162" t="s">
        <v>3147</v>
      </c>
      <c r="B2893" s="162"/>
      <c r="C2893" s="162"/>
      <c r="D2893" s="162"/>
      <c r="E2893" s="163"/>
      <c r="F2893" s="163"/>
      <c r="G2893" s="164"/>
      <c r="H2893" s="165"/>
      <c r="I2893" s="9"/>
    </row>
    <row r="2894" spans="1:12" s="10" customFormat="1" ht="18" customHeight="1">
      <c r="A2894" s="12"/>
      <c r="B2894" s="12" t="s">
        <v>3859</v>
      </c>
      <c r="C2894" s="12"/>
      <c r="D2894" s="12"/>
      <c r="E2894" s="11"/>
      <c r="F2894" s="11"/>
      <c r="G2894" s="10" t="s">
        <v>5984</v>
      </c>
      <c r="H2894" s="13"/>
      <c r="I2894" s="19" t="s">
        <v>5985</v>
      </c>
      <c r="J2894" s="25" t="e">
        <f>IF(shinsei_strtower22_TOWER_NO="","",shinsei_strtower22_TOWER_NO)</f>
        <v>#NAME?</v>
      </c>
      <c r="K2894" s="10" t="s">
        <v>3862</v>
      </c>
    </row>
    <row r="2895" spans="1:12" s="10" customFormat="1" ht="18" customHeight="1">
      <c r="A2895" s="12"/>
      <c r="B2895" s="12" t="s">
        <v>3864</v>
      </c>
      <c r="C2895" s="12"/>
      <c r="D2895" s="12"/>
      <c r="E2895" s="11"/>
      <c r="F2895" s="11"/>
      <c r="G2895" s="9" t="s">
        <v>5986</v>
      </c>
      <c r="H2895" s="13"/>
      <c r="I2895" s="19" t="s">
        <v>5987</v>
      </c>
      <c r="J2895" s="25" t="e">
        <f>IF(shinsei_strtower22_STR_TOWER_NO="","",shinsei_strtower22_STR_TOWER_NO)</f>
        <v>#NAME?</v>
      </c>
      <c r="K2895" s="10" t="s">
        <v>3862</v>
      </c>
      <c r="L2895" s="10" t="s">
        <v>3879</v>
      </c>
    </row>
    <row r="2896" spans="1:12" s="166" customFormat="1" ht="18" customHeight="1">
      <c r="B2896" s="12" t="s">
        <v>3868</v>
      </c>
      <c r="I2896" s="9" t="s">
        <v>5988</v>
      </c>
      <c r="J2896" s="167" t="e">
        <f>CONCATENATE(cst_shinsei_strtower22_TOWER_NO," - ",cst_shinsei_strtower22_STR_TOWER_NO)</f>
        <v>#NAME?</v>
      </c>
    </row>
    <row r="2897" spans="1:12" s="166" customFormat="1" ht="18" customHeight="1">
      <c r="B2897" s="12" t="s">
        <v>3870</v>
      </c>
      <c r="I2897" s="9" t="s">
        <v>5989</v>
      </c>
      <c r="J2897" s="167" t="e">
        <f>CONCATENATE(cst_shinsei_strtower22_STR_TOWER_NO," ／ ",cst_shinsei_STR_SHINSEI_TOWERS)</f>
        <v>#NAME?</v>
      </c>
    </row>
    <row r="2898" spans="1:12" s="10" customFormat="1" ht="18" customHeight="1">
      <c r="A2898" s="12"/>
      <c r="B2898" s="12" t="s">
        <v>3872</v>
      </c>
      <c r="C2898" s="11"/>
      <c r="D2898" s="11"/>
      <c r="E2898" s="11"/>
      <c r="F2898" s="11"/>
      <c r="G2898" s="9" t="s">
        <v>5990</v>
      </c>
      <c r="H2898" s="13"/>
      <c r="I2898" s="9" t="s">
        <v>5991</v>
      </c>
      <c r="J2898" s="25" t="e">
        <f>IF(shinsei_strtower22_STR_TOWER_NAME="","",shinsei_strtower22_STR_TOWER_NAME)</f>
        <v>#NAME?</v>
      </c>
    </row>
    <row r="2899" spans="1:12" s="10" customFormat="1" ht="18" customHeight="1">
      <c r="A2899" s="12"/>
      <c r="B2899" s="12" t="s">
        <v>3875</v>
      </c>
      <c r="C2899" s="12"/>
      <c r="D2899" s="12"/>
      <c r="E2899" s="11"/>
      <c r="F2899" s="11"/>
      <c r="G2899" s="9" t="s">
        <v>5992</v>
      </c>
      <c r="H2899" s="20"/>
      <c r="I2899" s="20" t="s">
        <v>5993</v>
      </c>
      <c r="J2899" s="25" t="e">
        <f>IF(shinsei_strtower22_JUDGE="","",shinsei_strtower22_JUDGE)</f>
        <v>#NAME?</v>
      </c>
      <c r="K2899" s="10" t="s">
        <v>3878</v>
      </c>
      <c r="L2899" s="10" t="s">
        <v>3879</v>
      </c>
    </row>
    <row r="2900" spans="1:12" s="10" customFormat="1" ht="18" customHeight="1">
      <c r="A2900" s="12"/>
      <c r="B2900" s="12" t="s">
        <v>4441</v>
      </c>
      <c r="C2900" s="12"/>
      <c r="D2900" s="12"/>
      <c r="E2900" s="11"/>
      <c r="F2900" s="11"/>
      <c r="G2900" s="9" t="s">
        <v>5994</v>
      </c>
      <c r="H2900" s="13"/>
      <c r="I2900" s="9" t="s">
        <v>5995</v>
      </c>
      <c r="J2900" s="25" t="e">
        <f>IF(shinsei_strtower22_STR_TOWER_YOUTO_TEXT="","",shinsei_strtower22_STR_TOWER_YOUTO_TEXT)</f>
        <v>#NAME?</v>
      </c>
      <c r="K2900" s="10" t="s">
        <v>3862</v>
      </c>
      <c r="L2900" s="10" t="s">
        <v>3879</v>
      </c>
    </row>
    <row r="2901" spans="1:12" s="10" customFormat="1" ht="18" customHeight="1">
      <c r="A2901" s="12"/>
      <c r="B2901" s="12" t="s">
        <v>3790</v>
      </c>
      <c r="C2901" s="12"/>
      <c r="D2901" s="12"/>
      <c r="E2901" s="11"/>
      <c r="F2901" s="11"/>
      <c r="G2901" s="9" t="s">
        <v>5996</v>
      </c>
      <c r="H2901" s="13"/>
      <c r="I2901" s="9" t="s">
        <v>5997</v>
      </c>
      <c r="J2901" s="25" t="e">
        <f>IF(shinsei_strtower22_KOUJI_TEXT="","",shinsei_strtower22_KOUJI_TEXT)</f>
        <v>#NAME?</v>
      </c>
      <c r="K2901" s="10" t="s">
        <v>3862</v>
      </c>
      <c r="L2901" s="10" t="s">
        <v>3879</v>
      </c>
    </row>
    <row r="2902" spans="1:12" s="10" customFormat="1" ht="18" customHeight="1">
      <c r="A2902" s="12"/>
      <c r="B2902" s="12" t="s">
        <v>3888</v>
      </c>
      <c r="C2902" s="11"/>
      <c r="D2902" s="11"/>
      <c r="E2902" s="11"/>
      <c r="F2902" s="11"/>
      <c r="G2902" s="9" t="s">
        <v>5998</v>
      </c>
      <c r="H2902" s="13"/>
      <c r="I2902" s="9" t="s">
        <v>5999</v>
      </c>
      <c r="J2902" s="25" t="e">
        <f>IF(shinsei_strtower22_KOUZOU_TEXT="","",shinsei_strtower22_KOUZOU_TEXT)</f>
        <v>#NAME?</v>
      </c>
    </row>
    <row r="2903" spans="1:12" s="10" customFormat="1" ht="18" customHeight="1">
      <c r="A2903" s="12"/>
      <c r="B2903" s="12" t="s">
        <v>3888</v>
      </c>
      <c r="C2903" s="12"/>
      <c r="D2903" s="12"/>
      <c r="E2903" s="11"/>
      <c r="F2903" s="11"/>
      <c r="G2903" s="9" t="s">
        <v>6000</v>
      </c>
      <c r="H2903" s="13"/>
      <c r="I2903" s="9" t="s">
        <v>6001</v>
      </c>
      <c r="J2903" s="25" t="e">
        <f>IF(shinsei_strtower22_KOUZOU_TEXT="","",shinsei_strtower22_KOUZOU_TEXT)</f>
        <v>#NAME?</v>
      </c>
    </row>
    <row r="2904" spans="1:12" s="10" customFormat="1" ht="18" customHeight="1">
      <c r="A2904" s="12"/>
      <c r="B2904" s="12" t="s">
        <v>3893</v>
      </c>
      <c r="C2904" s="11"/>
      <c r="D2904" s="11"/>
      <c r="E2904" s="11"/>
      <c r="F2904" s="11"/>
      <c r="G2904" s="9" t="s">
        <v>7365</v>
      </c>
      <c r="H2904" s="13"/>
      <c r="I2904" s="9" t="s">
        <v>7366</v>
      </c>
      <c r="J2904" s="25" t="e">
        <f>IF(shinsei_strtower22_KOUZOU_KEISAN="","",shinsei_strtower22_KOUZOU_KEISAN)</f>
        <v>#NAME?</v>
      </c>
    </row>
    <row r="2905" spans="1:12" s="10" customFormat="1" ht="18" customHeight="1">
      <c r="A2905" s="12"/>
      <c r="B2905" s="12" t="s">
        <v>3893</v>
      </c>
      <c r="C2905" s="12"/>
      <c r="D2905" s="12"/>
      <c r="E2905" s="11"/>
      <c r="F2905" s="11"/>
      <c r="G2905" s="9" t="s">
        <v>7367</v>
      </c>
      <c r="H2905" s="13"/>
      <c r="I2905" s="10" t="s">
        <v>7368</v>
      </c>
      <c r="J2905" s="25" t="e">
        <f>IF(shinsei_strtower22_KOUZOU_KEISAN_TEXT="","",shinsei_strtower22_KOUZOU_KEISAN_TEXT)</f>
        <v>#NAME?</v>
      </c>
    </row>
    <row r="2906" spans="1:12" s="10" customFormat="1" ht="18" customHeight="1">
      <c r="A2906" s="12"/>
      <c r="B2906" s="12" t="s">
        <v>3902</v>
      </c>
      <c r="C2906" s="12"/>
      <c r="D2906" s="12"/>
      <c r="E2906" s="11"/>
      <c r="F2906" s="11"/>
      <c r="G2906" s="9" t="s">
        <v>7369</v>
      </c>
      <c r="H2906" s="65"/>
      <c r="I2906" s="19" t="s">
        <v>7370</v>
      </c>
      <c r="J2906" s="168" t="e">
        <f>IF(shinsei_strtower22_MENSEKI="","",shinsei_strtower22_MENSEKI)</f>
        <v>#NAME?</v>
      </c>
      <c r="K2906" s="10" t="s">
        <v>3906</v>
      </c>
      <c r="L2906" s="10" t="s">
        <v>3906</v>
      </c>
    </row>
    <row r="2907" spans="1:12" ht="18" customHeight="1">
      <c r="A2907" s="12"/>
      <c r="B2907" s="12"/>
      <c r="C2907" s="12"/>
      <c r="D2907" s="12"/>
      <c r="E2907" s="12" t="s">
        <v>3907</v>
      </c>
      <c r="F2907" s="12"/>
      <c r="G2907" s="9"/>
      <c r="H2907" s="9"/>
      <c r="I2907" s="9" t="s">
        <v>7371</v>
      </c>
      <c r="J2907" s="168" t="e">
        <f>IF(shinsei_strtower22_MENSEKI="","",TEXT(shinsei_strtower22_MENSEKI,"#,##0.00_ ")&amp;"㎡")</f>
        <v>#NAME?</v>
      </c>
    </row>
    <row r="2908" spans="1:12" s="10" customFormat="1" ht="18" customHeight="1">
      <c r="A2908" s="12"/>
      <c r="B2908" s="12" t="s">
        <v>4390</v>
      </c>
      <c r="C2908" s="12"/>
      <c r="D2908" s="12"/>
      <c r="E2908" s="11"/>
      <c r="F2908" s="11"/>
      <c r="G2908" s="9" t="s">
        <v>7372</v>
      </c>
      <c r="H2908" s="93"/>
      <c r="I2908" s="9" t="s">
        <v>7373</v>
      </c>
      <c r="J2908" s="170" t="e">
        <f>IF(shinsei_strtower22_MAX_TAKASA="","",shinsei_strtower22_MAX_TAKASA)</f>
        <v>#NAME?</v>
      </c>
      <c r="K2908" s="10" t="s">
        <v>3911</v>
      </c>
      <c r="L2908" s="10" t="s">
        <v>3911</v>
      </c>
    </row>
    <row r="2909" spans="1:12" s="10" customFormat="1" ht="18" customHeight="1">
      <c r="A2909" s="12"/>
      <c r="B2909" s="12" t="s">
        <v>4388</v>
      </c>
      <c r="C2909" s="11"/>
      <c r="D2909" s="11"/>
      <c r="E2909" s="11"/>
      <c r="F2909" s="11"/>
      <c r="G2909" s="9" t="s">
        <v>7374</v>
      </c>
      <c r="H2909" s="93"/>
      <c r="I2909" s="9" t="s">
        <v>7375</v>
      </c>
      <c r="J2909" s="170" t="e">
        <f>IF(shinsei_strtower22_MAX_NOKI_TAKASA="","",shinsei_strtower22_MAX_NOKI_TAKASA)</f>
        <v>#NAME?</v>
      </c>
    </row>
    <row r="2910" spans="1:12" s="10" customFormat="1" ht="18" customHeight="1">
      <c r="A2910" s="12"/>
      <c r="B2910" s="12" t="s">
        <v>3782</v>
      </c>
      <c r="C2910" s="12"/>
      <c r="D2910" s="12"/>
      <c r="E2910" s="11"/>
      <c r="F2910" s="11"/>
      <c r="G2910" s="9"/>
      <c r="H2910" s="9"/>
      <c r="I2910" s="9"/>
    </row>
    <row r="2911" spans="1:12" s="10" customFormat="1" ht="18" customHeight="1">
      <c r="A2911" s="12"/>
      <c r="B2911" s="12"/>
      <c r="C2911" s="11" t="s">
        <v>3783</v>
      </c>
      <c r="D2911" s="12"/>
      <c r="G2911" s="9" t="s">
        <v>7376</v>
      </c>
      <c r="H2911" s="136"/>
      <c r="I2911" s="9" t="s">
        <v>7377</v>
      </c>
      <c r="J2911" s="171" t="e">
        <f>IF(shinsei_strtower22_KAISU_TIJYOU="","",shinsei_strtower22_KAISU_TIJYOU)</f>
        <v>#NAME?</v>
      </c>
      <c r="K2911" s="10" t="s">
        <v>3916</v>
      </c>
      <c r="L2911" s="10" t="s">
        <v>3916</v>
      </c>
    </row>
    <row r="2912" spans="1:12" s="10" customFormat="1" ht="18" customHeight="1">
      <c r="A2912" s="12"/>
      <c r="B2912" s="12"/>
      <c r="C2912" s="11" t="s">
        <v>3785</v>
      </c>
      <c r="D2912" s="12"/>
      <c r="G2912" s="9" t="s">
        <v>7378</v>
      </c>
      <c r="H2912" s="136"/>
      <c r="I2912" s="9" t="s">
        <v>7379</v>
      </c>
      <c r="J2912" s="171" t="e">
        <f>IF(shinsei_strtower22_KAISU_TIKA="","",shinsei_strtower22_KAISU_TIKA)</f>
        <v>#NAME?</v>
      </c>
      <c r="K2912" s="10" t="s">
        <v>3916</v>
      </c>
      <c r="L2912" s="10" t="s">
        <v>3916</v>
      </c>
    </row>
    <row r="2913" spans="1:12" s="10" customFormat="1" ht="18" customHeight="1">
      <c r="A2913" s="12"/>
      <c r="B2913" s="12"/>
      <c r="C2913" s="11" t="s">
        <v>3787</v>
      </c>
      <c r="D2913" s="12"/>
      <c r="G2913" s="9" t="s">
        <v>7380</v>
      </c>
      <c r="H2913" s="136"/>
      <c r="I2913" s="9" t="s">
        <v>7381</v>
      </c>
      <c r="J2913" s="171" t="e">
        <f>IF(shinsei_strtower22_KAISU_TOUYA="","",shinsei_strtower22_KAISU_TOUYA)</f>
        <v>#NAME?</v>
      </c>
      <c r="K2913" s="10" t="s">
        <v>3916</v>
      </c>
      <c r="L2913" s="10" t="s">
        <v>3916</v>
      </c>
    </row>
    <row r="2914" spans="1:12" s="10" customFormat="1" ht="18" customHeight="1">
      <c r="B2914" s="12" t="s">
        <v>3923</v>
      </c>
      <c r="G2914" s="9" t="s">
        <v>7382</v>
      </c>
      <c r="H2914" s="13"/>
      <c r="I2914" s="10" t="s">
        <v>7383</v>
      </c>
      <c r="J2914" s="25" t="e">
        <f>IF(shinsei_strtower22_BUILD_KUBUN="","",shinsei_strtower22_BUILD_KUBUN)</f>
        <v>#NAME?</v>
      </c>
    </row>
    <row r="2915" spans="1:12" s="10" customFormat="1" ht="18" customHeight="1">
      <c r="B2915" s="12" t="s">
        <v>3923</v>
      </c>
      <c r="C2915" s="12"/>
      <c r="D2915" s="12"/>
      <c r="G2915" s="9" t="s">
        <v>7384</v>
      </c>
      <c r="H2915" s="13"/>
      <c r="I2915" s="10" t="s">
        <v>7385</v>
      </c>
      <c r="J2915" s="25" t="e">
        <f>IF(shinsei_strtower22_BUILD_KUBUN_TEXT="","",shinsei_strtower22_BUILD_KUBUN_TEXT)</f>
        <v>#NAME?</v>
      </c>
      <c r="K2915" s="10" t="s">
        <v>3862</v>
      </c>
    </row>
    <row r="2916" spans="1:12" s="10" customFormat="1" ht="18" customHeight="1">
      <c r="A2916" s="149"/>
      <c r="B2916" s="149"/>
      <c r="C2916" s="149" t="s">
        <v>3801</v>
      </c>
      <c r="D2916" s="149"/>
      <c r="E2916" s="149"/>
      <c r="F2916" s="149"/>
      <c r="G2916" s="149"/>
      <c r="H2916" s="12"/>
      <c r="I2916" s="149" t="s">
        <v>7386</v>
      </c>
      <c r="J2916" s="20" t="e">
        <f>IF(shinsei_strtower22_BUILD_KUBUN_TEXT="建築基準法第20条第２号に掲げる建築物","■","□")</f>
        <v>#NAME?</v>
      </c>
    </row>
    <row r="2917" spans="1:12" s="10" customFormat="1" ht="18" customHeight="1">
      <c r="A2917" s="149"/>
      <c r="B2917" s="149"/>
      <c r="C2917" s="149" t="s">
        <v>3801</v>
      </c>
      <c r="D2917" s="149"/>
      <c r="E2917" s="149"/>
      <c r="F2917" s="149"/>
      <c r="G2917" s="149"/>
      <c r="H2917" s="12"/>
      <c r="I2917" s="149" t="s">
        <v>7387</v>
      </c>
      <c r="J2917" s="20" t="e">
        <f>IF(shinsei_strtower22_BUILD_KUBUN_TEXT="建築基準法第20条第３号に掲げる建築物","■","□")</f>
        <v>#NAME?</v>
      </c>
    </row>
    <row r="2918" spans="1:12" s="10" customFormat="1" ht="18" customHeight="1">
      <c r="A2918" s="12"/>
      <c r="B2918" s="12" t="s">
        <v>3932</v>
      </c>
      <c r="C2918" s="12"/>
      <c r="D2918" s="12"/>
      <c r="E2918" s="11"/>
      <c r="F2918" s="11"/>
      <c r="G2918" s="9" t="s">
        <v>7388</v>
      </c>
      <c r="H2918" s="13"/>
      <c r="I2918" s="9" t="s">
        <v>7389</v>
      </c>
      <c r="J2918" s="25" t="e">
        <f>IF(shinsei_strtower22_MENJYO_TEXT="","",shinsei_strtower22_MENJYO_TEXT)</f>
        <v>#NAME?</v>
      </c>
      <c r="K2918" s="10" t="s">
        <v>3862</v>
      </c>
    </row>
    <row r="2919" spans="1:12" s="10" customFormat="1" ht="18" customHeight="1">
      <c r="A2919" s="12"/>
      <c r="B2919" s="12" t="s">
        <v>3935</v>
      </c>
      <c r="C2919" s="12"/>
      <c r="D2919" s="12"/>
      <c r="E2919" s="11"/>
      <c r="F2919" s="11"/>
      <c r="G2919" s="9" t="s">
        <v>7390</v>
      </c>
      <c r="H2919" s="20"/>
      <c r="I2919" s="9" t="s">
        <v>7391</v>
      </c>
      <c r="J2919" s="25" t="e">
        <f>IF(shinsei_strtower22_PROGRAM_KIND="","",shinsei_strtower22_PROGRAM_KIND)</f>
        <v>#NAME?</v>
      </c>
      <c r="K2919" s="10" t="s">
        <v>5704</v>
      </c>
    </row>
    <row r="2920" spans="1:12" s="10" customFormat="1" ht="18" customHeight="1">
      <c r="B2920" s="12" t="s">
        <v>3939</v>
      </c>
      <c r="C2920" s="12"/>
      <c r="D2920" s="12"/>
      <c r="G2920" s="9" t="s">
        <v>7392</v>
      </c>
      <c r="H2920" s="13"/>
      <c r="I2920" s="10" t="s">
        <v>7393</v>
      </c>
      <c r="J2920" s="25" t="e">
        <f>IF(shinsei_strtower22_REI80_2_KOKUJI_TEXT="","",shinsei_strtower22_REI80_2_KOKUJI_TEXT)</f>
        <v>#NAME?</v>
      </c>
    </row>
    <row r="2921" spans="1:12" s="10" customFormat="1" ht="18" customHeight="1">
      <c r="B2921" s="12" t="s">
        <v>3943</v>
      </c>
      <c r="C2921" s="12"/>
      <c r="D2921" s="12"/>
      <c r="G2921" s="9" t="s">
        <v>7394</v>
      </c>
      <c r="H2921" s="13"/>
      <c r="I2921" s="10" t="s">
        <v>7395</v>
      </c>
      <c r="J2921" s="25" t="e">
        <f>IF(shinsei_strtower22_PROGRAM_KIND__nintei__box="■",2,IF(OR(shinsei_strtower22_PROGRAM_KIND__hyouka__box="■",shinsei_strtower22_PROGRAM_KIND__sonota__box="■"),1,0))</f>
        <v>#NAME?</v>
      </c>
      <c r="K2921" s="10" t="s">
        <v>3946</v>
      </c>
    </row>
    <row r="2922" spans="1:12" s="10" customFormat="1" ht="18" customHeight="1">
      <c r="B2922" s="12" t="s">
        <v>3947</v>
      </c>
      <c r="C2922" s="12"/>
      <c r="D2922" s="12"/>
      <c r="G2922" s="9" t="s">
        <v>7396</v>
      </c>
      <c r="H2922" s="13"/>
    </row>
    <row r="2923" spans="1:12" s="10" customFormat="1" ht="18" customHeight="1">
      <c r="B2923" s="12" t="s">
        <v>4305</v>
      </c>
      <c r="C2923" s="12"/>
      <c r="D2923" s="12"/>
      <c r="G2923" s="9" t="s">
        <v>7397</v>
      </c>
      <c r="H2923" s="13"/>
    </row>
    <row r="2924" spans="1:12" s="10" customFormat="1" ht="18" customHeight="1">
      <c r="B2924" s="105" t="s">
        <v>3950</v>
      </c>
      <c r="C2924" s="105"/>
      <c r="D2924" s="105"/>
      <c r="E2924" s="24"/>
      <c r="F2924" s="24"/>
      <c r="G2924" s="9"/>
      <c r="H2924" s="12"/>
    </row>
    <row r="2925" spans="1:12" s="10" customFormat="1" ht="18" customHeight="1">
      <c r="C2925" s="10" t="s">
        <v>3951</v>
      </c>
      <c r="D2925" s="12"/>
      <c r="G2925" s="9" t="s">
        <v>7398</v>
      </c>
      <c r="H2925" s="13"/>
      <c r="K2925" s="10" t="s">
        <v>3862</v>
      </c>
      <c r="L2925" s="10" t="s">
        <v>3879</v>
      </c>
    </row>
    <row r="2926" spans="1:12" s="10" customFormat="1" ht="18" customHeight="1">
      <c r="C2926" s="12" t="s">
        <v>3954</v>
      </c>
      <c r="D2926" s="12"/>
      <c r="E2926" s="12"/>
      <c r="F2926" s="12"/>
      <c r="G2926" s="9" t="s">
        <v>7399</v>
      </c>
      <c r="H2926" s="13"/>
    </row>
    <row r="2927" spans="1:12" s="10" customFormat="1" ht="18" customHeight="1">
      <c r="C2927" s="12" t="s">
        <v>3957</v>
      </c>
      <c r="D2927" s="12"/>
      <c r="G2927" s="9"/>
      <c r="H2927" s="9"/>
      <c r="I2927" s="10" t="s">
        <v>7400</v>
      </c>
      <c r="J2927" s="25" t="e">
        <f>IF(shinsei_strtower22_prgo01_NAME="","",IF(shinsei_strtower22_prgo01_NINTEI_NO="","無","有"))</f>
        <v>#NAME?</v>
      </c>
      <c r="K2927" s="10" t="s">
        <v>3959</v>
      </c>
      <c r="L2927" s="10" t="s">
        <v>3879</v>
      </c>
    </row>
    <row r="2928" spans="1:12" s="10" customFormat="1" ht="18" customHeight="1">
      <c r="C2928" s="12" t="s">
        <v>3960</v>
      </c>
      <c r="D2928" s="12"/>
      <c r="G2928" s="9" t="s">
        <v>7401</v>
      </c>
      <c r="H2928" s="13"/>
      <c r="I2928" s="10" t="s">
        <v>7402</v>
      </c>
      <c r="J2928" s="25" t="e">
        <f>IF(shinsei_strtower22_prgo01_NINTEI_NO="","",shinsei_strtower22_prgo01_NINTEI_NO)</f>
        <v>#NAME?</v>
      </c>
      <c r="K2928" s="10" t="s">
        <v>3862</v>
      </c>
      <c r="L2928" s="10" t="s">
        <v>3879</v>
      </c>
    </row>
    <row r="2929" spans="2:12" s="10" customFormat="1" ht="18" customHeight="1">
      <c r="C2929" s="12" t="s">
        <v>3964</v>
      </c>
      <c r="D2929" s="12"/>
      <c r="G2929" s="9" t="s">
        <v>7403</v>
      </c>
      <c r="H2929" s="74"/>
      <c r="I2929" s="10" t="s">
        <v>7404</v>
      </c>
      <c r="J2929" s="25" t="e">
        <f>IF(shinsei_strtower22_prgo01_NINTEI_DATE="","",TEXT(shinsei_strtower22_prgo01_NINTEI_DATE,"ggge年m月d日")&amp;"  ")</f>
        <v>#NAME?</v>
      </c>
    </row>
    <row r="2930" spans="2:12" s="10" customFormat="1" ht="18" customHeight="1">
      <c r="C2930" s="12" t="s">
        <v>3967</v>
      </c>
      <c r="D2930" s="12"/>
      <c r="G2930" s="9" t="s">
        <v>7405</v>
      </c>
      <c r="H2930" s="13"/>
    </row>
    <row r="2931" spans="2:12" s="10" customFormat="1" ht="18" customHeight="1">
      <c r="C2931" s="12" t="s">
        <v>3970</v>
      </c>
      <c r="D2931" s="12"/>
      <c r="G2931" s="9"/>
      <c r="H2931" s="12"/>
      <c r="I2931" s="9" t="s">
        <v>7406</v>
      </c>
      <c r="J2931" s="25" t="e">
        <f>IF(shinsei_strtower22_prgo01_NAME="","",shinsei_strtower22_prgo01_NAME)&amp;CHAR(10)&amp;IF(shinsei_strtower22_prgo01_VER="","","Ver."&amp;shinsei_strtower22_prgo01_VER&amp;CHAR(10))</f>
        <v>#NAME?</v>
      </c>
    </row>
    <row r="2932" spans="2:12" s="10" customFormat="1" ht="18" customHeight="1">
      <c r="C2932" s="12" t="s">
        <v>3972</v>
      </c>
      <c r="D2932" s="12"/>
      <c r="G2932" s="9"/>
      <c r="H2932" s="12"/>
      <c r="I2932" s="9" t="s">
        <v>7407</v>
      </c>
      <c r="J2932" s="25" t="e">
        <f>IF(shinsei_strtower22_prgo01_NAME="","",shinsei_strtower22_prgo01_NAME&amp;" ")&amp;IF(shinsei_strtower22_prgo01_VER="","","Ver."&amp;shinsei_strtower22_prgo01_VER&amp;"  ")</f>
        <v>#NAME?</v>
      </c>
    </row>
    <row r="2933" spans="2:12" s="10" customFormat="1" ht="18" customHeight="1">
      <c r="C2933" s="12" t="s">
        <v>3974</v>
      </c>
      <c r="D2933" s="12"/>
      <c r="G2933" s="9"/>
      <c r="H2933" s="12"/>
    </row>
    <row r="2934" spans="2:12" s="10" customFormat="1" ht="18" customHeight="1">
      <c r="D2934" s="12" t="s">
        <v>3975</v>
      </c>
      <c r="G2934" s="9"/>
      <c r="H2934" s="12"/>
      <c r="I2934" s="9" t="s">
        <v>7408</v>
      </c>
      <c r="J2934" s="173" t="e">
        <f>IF(cst_shinsei_strtower22_prgo01_NINTEI__umu="有",IF(shinsei_strtower22_prgo01_MAKER_NAME="","",shinsei_strtower22_prgo01_MAKER_NAME&amp;"  "),"")</f>
        <v>#NAME?</v>
      </c>
    </row>
    <row r="2935" spans="2:12" s="10" customFormat="1" ht="18" customHeight="1">
      <c r="B2935" s="12"/>
      <c r="D2935" s="12" t="s">
        <v>3972</v>
      </c>
      <c r="G2935" s="9"/>
      <c r="H2935" s="12"/>
      <c r="I2935" s="9" t="s">
        <v>7409</v>
      </c>
      <c r="J2935" s="25" t="e">
        <f>IF(cst_shinsei_strtower22_prgo01_NINTEI__umu="有",IF(shinsei_strtower22_prgo01_NAME="","",shinsei_strtower22_prgo01_NAME&amp;" ")&amp;IF(shinsei_strtower22_prgo01_VER="","","Ver."&amp;shinsei_strtower22_prgo01_VER&amp;"  "),"")</f>
        <v>#NAME?</v>
      </c>
    </row>
    <row r="2936" spans="2:12" s="10" customFormat="1" ht="18" customHeight="1">
      <c r="C2936" s="12" t="s">
        <v>3981</v>
      </c>
      <c r="D2936" s="12"/>
      <c r="G2936" s="9"/>
      <c r="H2936" s="12"/>
    </row>
    <row r="2937" spans="2:12" s="10" customFormat="1" ht="18" customHeight="1">
      <c r="B2937" s="12"/>
      <c r="D2937" s="12" t="s">
        <v>3975</v>
      </c>
      <c r="G2937" s="9"/>
      <c r="H2937" s="12"/>
      <c r="I2937" s="9" t="s">
        <v>7410</v>
      </c>
      <c r="J2937" s="173" t="e">
        <f>IF(cst_shinsei_strtower22_prgo01_NINTEI__umu="無",IF(shinsei_strtower22_prgo01_MAKER_NAME="","",shinsei_strtower22_prgo01_MAKER_NAME&amp;"  "),"")</f>
        <v>#NAME?</v>
      </c>
    </row>
    <row r="2938" spans="2:12" s="10" customFormat="1" ht="18" customHeight="1">
      <c r="B2938" s="12"/>
      <c r="D2938" s="12" t="s">
        <v>3972</v>
      </c>
      <c r="G2938" s="9"/>
      <c r="H2938" s="12"/>
      <c r="I2938" s="9" t="s">
        <v>7411</v>
      </c>
      <c r="J2938" s="25" t="e">
        <f>IF(cst_shinsei_strtower22_prgo01_NINTEI__umu="無",IF(shinsei_strtower22_prgo01_NAME="","",shinsei_strtower22_prgo01_NAME&amp;" ")&amp;IF(shinsei_strtower22_prgo01_VER="","","Ver."&amp;shinsei_strtower22_prgo01_VER&amp;"  "),"")</f>
        <v>#NAME?</v>
      </c>
    </row>
    <row r="2939" spans="2:12" s="10" customFormat="1" ht="18" customHeight="1">
      <c r="B2939" s="105" t="s">
        <v>4000</v>
      </c>
      <c r="C2939" s="105"/>
      <c r="D2939" s="105"/>
      <c r="E2939" s="24"/>
      <c r="F2939" s="24"/>
      <c r="G2939" s="9"/>
      <c r="H2939" s="12"/>
    </row>
    <row r="2940" spans="2:12" s="10" customFormat="1" ht="18" customHeight="1">
      <c r="C2940" s="10" t="s">
        <v>3951</v>
      </c>
      <c r="D2940" s="12"/>
      <c r="G2940" s="9" t="s">
        <v>7412</v>
      </c>
      <c r="H2940" s="13"/>
      <c r="K2940" s="10" t="s">
        <v>3862</v>
      </c>
      <c r="L2940" s="10" t="s">
        <v>3879</v>
      </c>
    </row>
    <row r="2941" spans="2:12" s="10" customFormat="1" ht="18" customHeight="1">
      <c r="C2941" s="12" t="s">
        <v>3954</v>
      </c>
      <c r="D2941" s="12"/>
      <c r="G2941" s="9" t="s">
        <v>7413</v>
      </c>
      <c r="H2941" s="13"/>
    </row>
    <row r="2942" spans="2:12" s="10" customFormat="1" ht="18" customHeight="1">
      <c r="C2942" s="12" t="s">
        <v>3957</v>
      </c>
      <c r="D2942" s="12"/>
      <c r="G2942" s="9"/>
      <c r="H2942" s="9"/>
      <c r="I2942" s="10" t="s">
        <v>7414</v>
      </c>
      <c r="J2942" s="25" t="e">
        <f>IF(shinsei_strtower22_prgo02_NAME="","",IF(shinsei_strtower22_prgo02_NINTEI_NO="","無","有"))</f>
        <v>#NAME?</v>
      </c>
      <c r="L2942" s="10" t="s">
        <v>3879</v>
      </c>
    </row>
    <row r="2943" spans="2:12" s="10" customFormat="1" ht="18" customHeight="1">
      <c r="C2943" s="12" t="s">
        <v>3960</v>
      </c>
      <c r="D2943" s="12"/>
      <c r="G2943" s="9" t="s">
        <v>7415</v>
      </c>
      <c r="H2943" s="13"/>
      <c r="I2943" s="10" t="s">
        <v>7416</v>
      </c>
      <c r="J2943" s="25" t="e">
        <f>IF(shinsei_strtower22_prgo02_NINTEI_NO="","",shinsei_strtower22_prgo02_NINTEI_NO)</f>
        <v>#NAME?</v>
      </c>
      <c r="K2943" s="10" t="s">
        <v>3862</v>
      </c>
      <c r="L2943" s="10" t="s">
        <v>3879</v>
      </c>
    </row>
    <row r="2944" spans="2:12" s="10" customFormat="1" ht="18" customHeight="1">
      <c r="C2944" s="12" t="s">
        <v>3964</v>
      </c>
      <c r="D2944" s="12"/>
      <c r="G2944" s="9" t="s">
        <v>7417</v>
      </c>
      <c r="H2944" s="74"/>
      <c r="I2944" s="10" t="s">
        <v>7418</v>
      </c>
      <c r="J2944" s="25" t="e">
        <f>IF(shinsei_strtower22_prgo02_NINTEI_DATE="","",shinsei_strtower22_prgo02_NINTEI_DATE)</f>
        <v>#NAME?</v>
      </c>
    </row>
    <row r="2945" spans="2:12" s="10" customFormat="1" ht="18" customHeight="1">
      <c r="C2945" s="12" t="s">
        <v>3967</v>
      </c>
      <c r="D2945" s="12"/>
      <c r="G2945" s="9" t="s">
        <v>7419</v>
      </c>
      <c r="H2945" s="13"/>
    </row>
    <row r="2946" spans="2:12" s="10" customFormat="1" ht="18" customHeight="1">
      <c r="C2946" s="12" t="s">
        <v>3970</v>
      </c>
      <c r="D2946" s="12"/>
      <c r="G2946" s="9"/>
      <c r="H2946" s="12"/>
      <c r="I2946" s="9" t="s">
        <v>7420</v>
      </c>
      <c r="J2946" s="25" t="e">
        <f>IF(shinsei_strtower22_prgo02_NAME="","",shinsei_strtower22_prgo02_NAME)&amp;CHAR(10)&amp;IF(shinsei_strtower22_prgo02_VER="","","Ver."&amp;shinsei_strtower22_prgo02_VER&amp;CHAR(10))</f>
        <v>#NAME?</v>
      </c>
    </row>
    <row r="2947" spans="2:12" s="10" customFormat="1" ht="18" customHeight="1">
      <c r="C2947" s="12" t="s">
        <v>3972</v>
      </c>
      <c r="D2947" s="12"/>
      <c r="G2947" s="9"/>
      <c r="H2947" s="12"/>
      <c r="I2947" s="9" t="s">
        <v>7421</v>
      </c>
      <c r="J2947" s="25" t="e">
        <f>IF(shinsei_strtower22_prgo02_NAME="","",shinsei_strtower22_prgo02_NAME&amp;" ")&amp;IF(shinsei_strtower22_prgo02_VER="","","Ver."&amp;shinsei_strtower22_prgo02_VER&amp;"  ")</f>
        <v>#NAME?</v>
      </c>
    </row>
    <row r="2948" spans="2:12" s="10" customFormat="1" ht="18" customHeight="1">
      <c r="C2948" s="12" t="s">
        <v>3974</v>
      </c>
      <c r="D2948" s="12"/>
      <c r="G2948" s="9"/>
      <c r="H2948" s="12"/>
    </row>
    <row r="2949" spans="2:12" s="10" customFormat="1" ht="18" customHeight="1">
      <c r="D2949" s="12" t="s">
        <v>3975</v>
      </c>
      <c r="G2949" s="9"/>
      <c r="H2949" s="12"/>
      <c r="I2949" s="9" t="s">
        <v>7422</v>
      </c>
      <c r="J2949" s="173" t="e">
        <f>IF(cst_shinsei_strtower22_prgo02_NINTEI__umu="有",IF(shinsei_strtower22_prgo02_MAKER_NAME="","",shinsei_strtower22_prgo02_MAKER_NAME&amp;"  "),"")</f>
        <v>#NAME?</v>
      </c>
    </row>
    <row r="2950" spans="2:12" s="10" customFormat="1" ht="18" customHeight="1">
      <c r="D2950" s="12" t="s">
        <v>3972</v>
      </c>
      <c r="G2950" s="9"/>
      <c r="H2950" s="12"/>
      <c r="I2950" s="9" t="s">
        <v>7423</v>
      </c>
      <c r="J2950" s="25" t="e">
        <f>IF(cst_shinsei_strtower22_prgo02_NINTEI__umu="有",IF(shinsei_strtower22_prgo02_NAME="","",shinsei_strtower22_prgo02_NAME&amp;" ")&amp;IF(shinsei_strtower22_prgo02_VER="","","Ver."&amp;shinsei_strtower22_prgo02_VER&amp;"  "),"")</f>
        <v>#NAME?</v>
      </c>
    </row>
    <row r="2951" spans="2:12" s="10" customFormat="1" ht="18" customHeight="1">
      <c r="C2951" s="12" t="s">
        <v>3981</v>
      </c>
      <c r="D2951" s="12"/>
      <c r="G2951" s="9"/>
      <c r="H2951" s="12"/>
    </row>
    <row r="2952" spans="2:12" s="10" customFormat="1" ht="18" customHeight="1">
      <c r="D2952" s="12" t="s">
        <v>3975</v>
      </c>
      <c r="G2952" s="9"/>
      <c r="H2952" s="12"/>
      <c r="I2952" s="9" t="s">
        <v>7424</v>
      </c>
      <c r="J2952" s="173" t="e">
        <f>IF(cst_shinsei_strtower22_prgo02_NINTEI__umu="無",IF(shinsei_strtower22_prgo02_MAKER_NAME="","",shinsei_strtower22_prgo02_MAKER_NAME&amp;"  "),"")</f>
        <v>#NAME?</v>
      </c>
    </row>
    <row r="2953" spans="2:12" s="10" customFormat="1" ht="18" customHeight="1">
      <c r="D2953" s="12" t="s">
        <v>3972</v>
      </c>
      <c r="G2953" s="9"/>
      <c r="H2953" s="12"/>
      <c r="I2953" s="9" t="s">
        <v>7425</v>
      </c>
      <c r="J2953" s="25" t="e">
        <f>IF(cst_shinsei_strtower22_prgo02_NINTEI__umu="無",IF(shinsei_strtower22_prgo02_NAME="","",shinsei_strtower22_prgo02_NAME&amp;" ")&amp;IF(shinsei_strtower22_prgo02_VER="","","Ver."&amp;shinsei_strtower22_prgo02_VER&amp;"  "),"")</f>
        <v>#NAME?</v>
      </c>
    </row>
    <row r="2954" spans="2:12" s="10" customFormat="1" ht="18" customHeight="1">
      <c r="B2954" s="105" t="s">
        <v>4016</v>
      </c>
      <c r="C2954" s="105"/>
      <c r="D2954" s="105"/>
      <c r="E2954" s="24"/>
      <c r="F2954" s="24"/>
      <c r="G2954" s="9"/>
      <c r="H2954" s="12"/>
    </row>
    <row r="2955" spans="2:12" s="10" customFormat="1" ht="18" customHeight="1">
      <c r="C2955" s="10" t="s">
        <v>3951</v>
      </c>
      <c r="D2955" s="12"/>
      <c r="G2955" s="9" t="s">
        <v>7426</v>
      </c>
      <c r="H2955" s="13"/>
    </row>
    <row r="2956" spans="2:12" s="10" customFormat="1" ht="18" customHeight="1">
      <c r="C2956" s="12" t="s">
        <v>3954</v>
      </c>
      <c r="D2956" s="12"/>
      <c r="G2956" s="9" t="s">
        <v>7427</v>
      </c>
      <c r="H2956" s="13"/>
    </row>
    <row r="2957" spans="2:12" s="10" customFormat="1" ht="18" customHeight="1">
      <c r="C2957" s="12" t="s">
        <v>3957</v>
      </c>
      <c r="D2957" s="12"/>
      <c r="G2957" s="9"/>
      <c r="H2957" s="9"/>
      <c r="I2957" s="10" t="s">
        <v>7428</v>
      </c>
      <c r="J2957" s="25" t="e">
        <f>IF(shinsei_strtower22_prgo03_NAME="","",IF(shinsei_strtower22_prgo03_NINTEI_NO="","無","有"))</f>
        <v>#NAME?</v>
      </c>
      <c r="K2957" s="10" t="s">
        <v>2941</v>
      </c>
      <c r="L2957" s="10" t="s">
        <v>3879</v>
      </c>
    </row>
    <row r="2958" spans="2:12" s="10" customFormat="1" ht="18" customHeight="1">
      <c r="C2958" s="12" t="s">
        <v>3960</v>
      </c>
      <c r="D2958" s="12"/>
      <c r="G2958" s="9" t="s">
        <v>7429</v>
      </c>
      <c r="H2958" s="13"/>
      <c r="K2958" s="10" t="s">
        <v>3862</v>
      </c>
      <c r="L2958" s="10" t="s">
        <v>3879</v>
      </c>
    </row>
    <row r="2959" spans="2:12" s="10" customFormat="1" ht="18" customHeight="1">
      <c r="C2959" s="12" t="s">
        <v>3964</v>
      </c>
      <c r="D2959" s="12"/>
      <c r="G2959" s="9" t="s">
        <v>7430</v>
      </c>
      <c r="H2959" s="74"/>
      <c r="I2959" s="10" t="s">
        <v>7431</v>
      </c>
      <c r="J2959" s="25" t="e">
        <f>IF(shinsei_strtower22_prgo03_NINTEI_DATE="","",TEXT(shinsei_strtower22_prgo03_NINTEI_DATE,"ggge年m月d日")&amp;"  ")</f>
        <v>#NAME?</v>
      </c>
    </row>
    <row r="2960" spans="2:12" s="10" customFormat="1" ht="18" customHeight="1">
      <c r="C2960" s="12" t="s">
        <v>3967</v>
      </c>
      <c r="D2960" s="12"/>
      <c r="G2960" s="9" t="s">
        <v>7432</v>
      </c>
      <c r="H2960" s="13"/>
      <c r="I2960" s="9"/>
      <c r="J2960" s="9"/>
    </row>
    <row r="2961" spans="2:12" s="10" customFormat="1" ht="18" customHeight="1">
      <c r="C2961" s="12" t="s">
        <v>3970</v>
      </c>
      <c r="D2961" s="12"/>
      <c r="G2961" s="9"/>
      <c r="H2961" s="12"/>
      <c r="I2961" s="9" t="s">
        <v>7433</v>
      </c>
      <c r="J2961" s="25" t="e">
        <f>IF(shinsei_strtower22_prgo03_NAME="","",shinsei_strtower22_prgo03_NAME)&amp;CHAR(10)&amp;IF(shinsei_strtower22_prgo03_VER="","","Ver."&amp;shinsei_strtower22_prgo03_VER&amp;CHAR(10))</f>
        <v>#NAME?</v>
      </c>
    </row>
    <row r="2962" spans="2:12" s="10" customFormat="1" ht="18" customHeight="1">
      <c r="C2962" s="12" t="s">
        <v>3972</v>
      </c>
      <c r="D2962" s="12"/>
      <c r="G2962" s="9"/>
      <c r="H2962" s="12"/>
      <c r="I2962" s="9" t="s">
        <v>7434</v>
      </c>
      <c r="J2962" s="25" t="e">
        <f>IF(shinsei_strtower22_prgo03_NAME="","",shinsei_strtower22_prgo03_NAME&amp;" ")&amp;IF(shinsei_strtower22_prgo03_VER="","","Ver."&amp;shinsei_strtower22_prgo03_VER&amp;"  ")</f>
        <v>#NAME?</v>
      </c>
    </row>
    <row r="2963" spans="2:12" s="10" customFormat="1" ht="18" customHeight="1">
      <c r="C2963" s="12" t="s">
        <v>3974</v>
      </c>
      <c r="D2963" s="12"/>
      <c r="G2963" s="9"/>
      <c r="H2963" s="12"/>
    </row>
    <row r="2964" spans="2:12" s="10" customFormat="1" ht="18" customHeight="1">
      <c r="D2964" s="12" t="s">
        <v>3975</v>
      </c>
      <c r="G2964" s="9"/>
      <c r="H2964" s="12"/>
      <c r="I2964" s="9" t="s">
        <v>7435</v>
      </c>
      <c r="J2964" s="173" t="e">
        <f>IF(cst_shinsei_strtower22_prgo03_NINTEI__umu="有",IF(shinsei_strtower22_prgo03_MAKER_NAME="","",shinsei_strtower22_prgo03_MAKER_NAME&amp;"  "),"")</f>
        <v>#NAME?</v>
      </c>
    </row>
    <row r="2965" spans="2:12" s="10" customFormat="1" ht="18" customHeight="1">
      <c r="D2965" s="12" t="s">
        <v>3972</v>
      </c>
      <c r="G2965" s="9"/>
      <c r="H2965" s="12"/>
      <c r="I2965" s="9" t="s">
        <v>7436</v>
      </c>
      <c r="J2965" s="25" t="e">
        <f>IF(cst_shinsei_strtower22_prgo03_NINTEI__umu="有",IF(shinsei_strtower22_prgo03_NAME="","",shinsei_strtower22_prgo03_NAME&amp;" ")&amp;IF(shinsei_strtower22_prgo03_VER="","","Ver."&amp;shinsei_strtower22_prgo03_VER&amp;"  "),"")</f>
        <v>#NAME?</v>
      </c>
    </row>
    <row r="2966" spans="2:12" s="10" customFormat="1" ht="18" customHeight="1">
      <c r="C2966" s="12" t="s">
        <v>3981</v>
      </c>
      <c r="D2966" s="12"/>
      <c r="G2966" s="9"/>
      <c r="H2966" s="12"/>
    </row>
    <row r="2967" spans="2:12" s="10" customFormat="1" ht="18" customHeight="1">
      <c r="D2967" s="12" t="s">
        <v>3975</v>
      </c>
      <c r="G2967" s="9"/>
      <c r="H2967" s="12"/>
      <c r="I2967" s="9" t="s">
        <v>7437</v>
      </c>
      <c r="J2967" s="173" t="e">
        <f>IF(cst_shinsei_strtower22_prgo03_NINTEI__umu="無",IF(shinsei_strtower22_prgo03_MAKER_NAME="","",shinsei_strtower22_prgo03_MAKER_NAME&amp;"  "),"")</f>
        <v>#NAME?</v>
      </c>
    </row>
    <row r="2968" spans="2:12" s="10" customFormat="1" ht="18" customHeight="1">
      <c r="D2968" s="12" t="s">
        <v>3972</v>
      </c>
      <c r="G2968" s="9"/>
      <c r="H2968" s="12"/>
      <c r="I2968" s="9" t="s">
        <v>7438</v>
      </c>
      <c r="J2968" s="25" t="e">
        <f>IF(cst_shinsei_strtower22_prgo03_NINTEI__umu="無",IF(shinsei_strtower22_prgo03_NAME="","",shinsei_strtower22_prgo03_NAME&amp;" ")&amp;IF(shinsei_strtower22_prgo03_VER="","","Ver."&amp;shinsei_strtower22_prgo03_VER&amp;"  "),"")</f>
        <v>#NAME?</v>
      </c>
    </row>
    <row r="2969" spans="2:12" s="10" customFormat="1" ht="18" customHeight="1">
      <c r="B2969" s="105" t="s">
        <v>4031</v>
      </c>
      <c r="C2969" s="105"/>
      <c r="D2969" s="105"/>
      <c r="E2969" s="24"/>
      <c r="F2969" s="24"/>
      <c r="G2969" s="9"/>
      <c r="H2969" s="12"/>
    </row>
    <row r="2970" spans="2:12" s="10" customFormat="1" ht="18" customHeight="1">
      <c r="C2970" s="10" t="s">
        <v>3951</v>
      </c>
      <c r="D2970" s="12"/>
      <c r="G2970" s="9" t="s">
        <v>7439</v>
      </c>
      <c r="H2970" s="13"/>
    </row>
    <row r="2971" spans="2:12" s="10" customFormat="1" ht="18" customHeight="1">
      <c r="C2971" s="12" t="s">
        <v>3954</v>
      </c>
      <c r="D2971" s="12"/>
      <c r="G2971" s="9" t="s">
        <v>7440</v>
      </c>
      <c r="H2971" s="13"/>
    </row>
    <row r="2972" spans="2:12" s="10" customFormat="1" ht="18" customHeight="1">
      <c r="C2972" s="12" t="s">
        <v>3957</v>
      </c>
      <c r="D2972" s="12"/>
      <c r="G2972" s="9"/>
      <c r="H2972" s="9"/>
      <c r="I2972" s="10" t="s">
        <v>7441</v>
      </c>
      <c r="J2972" s="25" t="e">
        <f>IF(shinsei_strtower22_prgo04_NAME="","",IF(shinsei_strtower22_prgo04_NINTEI_NO="","無","有"))</f>
        <v>#NAME?</v>
      </c>
      <c r="K2972" s="10" t="s">
        <v>2941</v>
      </c>
      <c r="L2972" s="10" t="s">
        <v>3879</v>
      </c>
    </row>
    <row r="2973" spans="2:12" s="10" customFormat="1" ht="18" customHeight="1">
      <c r="C2973" s="12" t="s">
        <v>3960</v>
      </c>
      <c r="D2973" s="12"/>
      <c r="G2973" s="9" t="s">
        <v>7442</v>
      </c>
      <c r="H2973" s="13"/>
      <c r="K2973" s="10" t="s">
        <v>3862</v>
      </c>
      <c r="L2973" s="10" t="s">
        <v>3879</v>
      </c>
    </row>
    <row r="2974" spans="2:12" s="10" customFormat="1" ht="18" customHeight="1">
      <c r="C2974" s="12" t="s">
        <v>3964</v>
      </c>
      <c r="D2974" s="12"/>
      <c r="G2974" s="9" t="s">
        <v>7443</v>
      </c>
      <c r="H2974" s="74"/>
      <c r="I2974" s="10" t="s">
        <v>7444</v>
      </c>
      <c r="J2974" s="25" t="e">
        <f>IF(shinsei_strtower22_prgo04_NINTEI_DATE="","",TEXT(shinsei_strtower22_prgo04_NINTEI_DATE,"ggge年m月d日")&amp;"  ")</f>
        <v>#NAME?</v>
      </c>
    </row>
    <row r="2975" spans="2:12" s="10" customFormat="1" ht="18" customHeight="1">
      <c r="C2975" s="12" t="s">
        <v>3967</v>
      </c>
      <c r="D2975" s="12"/>
      <c r="G2975" s="9" t="s">
        <v>7445</v>
      </c>
      <c r="H2975" s="13"/>
      <c r="I2975" s="9"/>
      <c r="J2975" s="9"/>
    </row>
    <row r="2976" spans="2:12" s="10" customFormat="1" ht="18" customHeight="1">
      <c r="C2976" s="12" t="s">
        <v>3970</v>
      </c>
      <c r="D2976" s="12"/>
      <c r="G2976" s="9"/>
      <c r="H2976" s="12"/>
      <c r="I2976" s="9" t="s">
        <v>7446</v>
      </c>
      <c r="J2976" s="25" t="e">
        <f>IF(shinsei_strtower22_prgo04_NAME="","",shinsei_strtower22_prgo04_NAME)&amp;CHAR(10)&amp;IF(shinsei_strtower22_prgo04_VER="","","Ver."&amp;shinsei_strtower22_prgo04_VER&amp;CHAR(10))</f>
        <v>#NAME?</v>
      </c>
    </row>
    <row r="2977" spans="2:12" s="10" customFormat="1" ht="18" customHeight="1">
      <c r="C2977" s="12" t="s">
        <v>3972</v>
      </c>
      <c r="D2977" s="12"/>
      <c r="G2977" s="9"/>
      <c r="H2977" s="12"/>
      <c r="I2977" s="9" t="s">
        <v>7447</v>
      </c>
      <c r="J2977" s="25" t="e">
        <f>IF(shinsei_strtower22_prgo04_NAME="","",shinsei_strtower22_prgo04_NAME&amp;" ")&amp;IF(shinsei_strtower22_prgo04_VER="","","Ver."&amp;shinsei_strtower22_prgo04_VER&amp;"  ")</f>
        <v>#NAME?</v>
      </c>
    </row>
    <row r="2978" spans="2:12" s="10" customFormat="1" ht="18" customHeight="1">
      <c r="C2978" s="12" t="s">
        <v>3974</v>
      </c>
      <c r="D2978" s="12"/>
      <c r="G2978" s="9"/>
      <c r="H2978" s="12"/>
    </row>
    <row r="2979" spans="2:12" s="10" customFormat="1" ht="18" customHeight="1">
      <c r="D2979" s="12" t="s">
        <v>3975</v>
      </c>
      <c r="G2979" s="9"/>
      <c r="H2979" s="12"/>
      <c r="I2979" s="9" t="s">
        <v>7448</v>
      </c>
      <c r="J2979" s="173" t="e">
        <f>IF(cst_shinsei_strtower22_prgo04_NINTEI__umu="有",IF(shinsei_strtower22_prgo04_MAKER_NAME="","",shinsei_strtower22_prgo04_MAKER_NAME&amp;"  "),"")</f>
        <v>#NAME?</v>
      </c>
    </row>
    <row r="2980" spans="2:12" s="10" customFormat="1" ht="18" customHeight="1">
      <c r="D2980" s="12" t="s">
        <v>3972</v>
      </c>
      <c r="G2980" s="9"/>
      <c r="H2980" s="12"/>
      <c r="I2980" s="9" t="s">
        <v>7449</v>
      </c>
      <c r="J2980" s="25" t="e">
        <f>IF(cst_shinsei_strtower22_prgo04_NINTEI__umu="有",IF(shinsei_strtower22_prgo04_NAME="","",shinsei_strtower22_prgo04_NAME&amp;" ")&amp;IF(shinsei_strtower22_prgo04_VER="","","Ver."&amp;shinsei_strtower22_prgo04_VER&amp;"  "),"")</f>
        <v>#NAME?</v>
      </c>
    </row>
    <row r="2981" spans="2:12" s="10" customFormat="1" ht="18" customHeight="1">
      <c r="C2981" s="12" t="s">
        <v>3981</v>
      </c>
      <c r="D2981" s="12"/>
      <c r="G2981" s="9"/>
      <c r="H2981" s="12"/>
    </row>
    <row r="2982" spans="2:12" s="10" customFormat="1" ht="18" customHeight="1">
      <c r="D2982" s="12" t="s">
        <v>3975</v>
      </c>
      <c r="G2982" s="9"/>
      <c r="H2982" s="12"/>
      <c r="I2982" s="9" t="s">
        <v>7450</v>
      </c>
      <c r="J2982" s="173" t="e">
        <f>IF(cst_shinsei_strtower22_prgo04_NINTEI__umu="無",IF(shinsei_strtower22_prgo04_MAKER_NAME="","",shinsei_strtower22_prgo04_MAKER_NAME&amp;"  "),"")</f>
        <v>#NAME?</v>
      </c>
    </row>
    <row r="2983" spans="2:12" s="10" customFormat="1" ht="18" customHeight="1">
      <c r="D2983" s="12" t="s">
        <v>3972</v>
      </c>
      <c r="G2983" s="9"/>
      <c r="H2983" s="12"/>
      <c r="I2983" s="9" t="s">
        <v>7451</v>
      </c>
      <c r="J2983" s="25" t="e">
        <f>IF(cst_shinsei_strtower22_prgo04_NINTEI__umu="無",IF(shinsei_strtower22_prgo04_NAME="","",shinsei_strtower22_prgo04_NAME&amp;" ")&amp;IF(shinsei_strtower22_prgo04_VER="","","Ver."&amp;shinsei_strtower22_prgo04_VER&amp;"  "),"")</f>
        <v>#NAME?</v>
      </c>
    </row>
    <row r="2984" spans="2:12" s="10" customFormat="1" ht="18" customHeight="1">
      <c r="B2984" s="105" t="s">
        <v>4049</v>
      </c>
      <c r="C2984" s="105"/>
      <c r="D2984" s="105"/>
      <c r="E2984" s="24"/>
      <c r="F2984" s="24"/>
      <c r="G2984" s="9"/>
      <c r="H2984" s="12"/>
    </row>
    <row r="2985" spans="2:12" s="10" customFormat="1" ht="18" customHeight="1">
      <c r="C2985" s="10" t="s">
        <v>3951</v>
      </c>
      <c r="D2985" s="12"/>
      <c r="G2985" s="9" t="s">
        <v>7452</v>
      </c>
      <c r="H2985" s="13"/>
    </row>
    <row r="2986" spans="2:12" s="10" customFormat="1" ht="18" customHeight="1">
      <c r="C2986" s="12" t="s">
        <v>3954</v>
      </c>
      <c r="D2986" s="12"/>
      <c r="G2986" s="9" t="s">
        <v>7453</v>
      </c>
      <c r="H2986" s="13"/>
    </row>
    <row r="2987" spans="2:12" s="10" customFormat="1" ht="18" customHeight="1">
      <c r="C2987" s="12" t="s">
        <v>3957</v>
      </c>
      <c r="D2987" s="12"/>
      <c r="G2987" s="9"/>
      <c r="H2987" s="9"/>
      <c r="I2987" s="10" t="s">
        <v>7454</v>
      </c>
      <c r="J2987" s="25" t="e">
        <f>IF(shinsei_strtower22_prgo05_NAME="","",IF(shinsei_strtower22_prgo05_NINTEI_NO="","無","有"))</f>
        <v>#NAME?</v>
      </c>
      <c r="K2987" s="10" t="s">
        <v>2941</v>
      </c>
      <c r="L2987" s="10" t="s">
        <v>3879</v>
      </c>
    </row>
    <row r="2988" spans="2:12" s="10" customFormat="1" ht="18" customHeight="1">
      <c r="C2988" s="12" t="s">
        <v>3960</v>
      </c>
      <c r="D2988" s="12"/>
      <c r="G2988" s="9" t="s">
        <v>7455</v>
      </c>
      <c r="H2988" s="13"/>
      <c r="K2988" s="10" t="s">
        <v>3862</v>
      </c>
      <c r="L2988" s="10" t="s">
        <v>3879</v>
      </c>
    </row>
    <row r="2989" spans="2:12" s="10" customFormat="1" ht="18" customHeight="1">
      <c r="C2989" s="12" t="s">
        <v>3964</v>
      </c>
      <c r="D2989" s="12"/>
      <c r="G2989" s="9" t="s">
        <v>7456</v>
      </c>
      <c r="H2989" s="74"/>
      <c r="I2989" s="10" t="s">
        <v>7457</v>
      </c>
      <c r="J2989" s="25" t="e">
        <f>IF(shinsei_strtower22_prgo05_NINTEI_DATE="","",TEXT(shinsei_strtower22_prgo05_NINTEI_DATE,"ggge年m月d日")&amp;"  ")</f>
        <v>#NAME?</v>
      </c>
    </row>
    <row r="2990" spans="2:12" s="10" customFormat="1" ht="18" customHeight="1">
      <c r="C2990" s="12" t="s">
        <v>3967</v>
      </c>
      <c r="D2990" s="12"/>
      <c r="G2990" s="9" t="s">
        <v>7458</v>
      </c>
      <c r="H2990" s="13"/>
    </row>
    <row r="2991" spans="2:12" s="10" customFormat="1" ht="18" customHeight="1">
      <c r="C2991" s="12" t="s">
        <v>3970</v>
      </c>
      <c r="D2991" s="12"/>
      <c r="G2991" s="9"/>
      <c r="H2991" s="12"/>
      <c r="I2991" s="9" t="s">
        <v>7459</v>
      </c>
      <c r="J2991" s="25" t="e">
        <f>IF(shinsei_strtower22_prgo05_NAME="","",shinsei_strtower22_prgo05_NAME)&amp;CHAR(10)&amp;IF(shinsei_strtower22_prgo05_VER="","","Ver."&amp;shinsei_strtower22_prgo05_VER&amp;CHAR(10))</f>
        <v>#NAME?</v>
      </c>
    </row>
    <row r="2992" spans="2:12" s="10" customFormat="1" ht="18" customHeight="1">
      <c r="C2992" s="12" t="s">
        <v>3972</v>
      </c>
      <c r="D2992" s="12"/>
      <c r="G2992" s="9"/>
      <c r="H2992" s="12"/>
      <c r="I2992" s="9" t="s">
        <v>7460</v>
      </c>
      <c r="J2992" s="25" t="e">
        <f>IF(shinsei_strtower22_prgo05_NAME="","",shinsei_strtower22_prgo05_NAME&amp;" ")&amp;IF(shinsei_strtower22_prgo05_VER="","","Ver."&amp;shinsei_strtower22_prgo05_VER&amp;"  ")</f>
        <v>#NAME?</v>
      </c>
    </row>
    <row r="2993" spans="2:10" s="10" customFormat="1" ht="18" customHeight="1">
      <c r="C2993" s="12" t="s">
        <v>3974</v>
      </c>
      <c r="D2993" s="12"/>
      <c r="G2993" s="9"/>
      <c r="H2993" s="12"/>
    </row>
    <row r="2994" spans="2:10" s="10" customFormat="1" ht="18" customHeight="1">
      <c r="D2994" s="12" t="s">
        <v>3975</v>
      </c>
      <c r="G2994" s="9"/>
      <c r="H2994" s="12"/>
      <c r="I2994" s="9" t="s">
        <v>7461</v>
      </c>
      <c r="J2994" s="173" t="e">
        <f>IF(cst_shinsei_strtower22_prgo05_NINTEI__umu="有",IF(shinsei_strtower22_prgo05_MAKER_NAME="","",shinsei_strtower22_prgo05_MAKER_NAME&amp;"  "),"")</f>
        <v>#NAME?</v>
      </c>
    </row>
    <row r="2995" spans="2:10" s="10" customFormat="1" ht="18" customHeight="1">
      <c r="D2995" s="12" t="s">
        <v>3972</v>
      </c>
      <c r="G2995" s="9"/>
      <c r="H2995" s="12"/>
      <c r="I2995" s="9" t="s">
        <v>7462</v>
      </c>
      <c r="J2995" s="25" t="e">
        <f>IF(cst_shinsei_strtower22_prgo05_NINTEI__umu="有",IF(shinsei_strtower22_prgo05_NAME="","",shinsei_strtower22_prgo05_NAME&amp;" ")&amp;IF(shinsei_strtower22_prgo05_VER="","","Ver."&amp;shinsei_strtower22_prgo05_VER&amp;"  "),"")</f>
        <v>#NAME?</v>
      </c>
    </row>
    <row r="2996" spans="2:10" s="10" customFormat="1" ht="18" customHeight="1">
      <c r="C2996" s="12" t="s">
        <v>3981</v>
      </c>
      <c r="D2996" s="12"/>
      <c r="G2996" s="9"/>
      <c r="H2996" s="12"/>
    </row>
    <row r="2997" spans="2:10" s="10" customFormat="1" ht="18" customHeight="1">
      <c r="D2997" s="12" t="s">
        <v>3975</v>
      </c>
      <c r="G2997" s="9"/>
      <c r="H2997" s="12"/>
      <c r="I2997" s="9" t="s">
        <v>7463</v>
      </c>
      <c r="J2997" s="173" t="e">
        <f>IF(cst_shinsei_strtower22_prgo05_NINTEI__umu="無",IF(shinsei_strtower22_prgo05_MAKER_NAME="","",shinsei_strtower22_prgo05_MAKER_NAME&amp;"  "),"")</f>
        <v>#NAME?</v>
      </c>
    </row>
    <row r="2998" spans="2:10" s="10" customFormat="1" ht="18" customHeight="1">
      <c r="D2998" s="12" t="s">
        <v>3972</v>
      </c>
      <c r="G2998" s="9"/>
      <c r="H2998" s="12"/>
      <c r="I2998" s="9" t="s">
        <v>7464</v>
      </c>
      <c r="J2998" s="25" t="e">
        <f>IF(cst_shinsei_strtower22_prgo05_NINTEI__umu="無",IF(shinsei_strtower22_prgo05_NAME="","",shinsei_strtower22_prgo05_NAME&amp;" ")&amp;IF(shinsei_strtower22_prgo05_VER="","","Ver."&amp;shinsei_strtower22_prgo05_VER&amp;"  "),"")</f>
        <v>#NAME?</v>
      </c>
    </row>
    <row r="2999" spans="2:10" s="10" customFormat="1" ht="18" customHeight="1">
      <c r="B2999" s="13" t="s">
        <v>3827</v>
      </c>
      <c r="C2999" s="13"/>
      <c r="D2999" s="13"/>
      <c r="E2999" s="25"/>
      <c r="F2999" s="25"/>
      <c r="G2999" s="9"/>
      <c r="H2999" s="80"/>
      <c r="I2999" s="9"/>
      <c r="J2999" s="80"/>
    </row>
    <row r="3000" spans="2:10" s="10" customFormat="1" ht="18" customHeight="1">
      <c r="C3000" s="12" t="s">
        <v>3970</v>
      </c>
      <c r="D3000" s="12"/>
      <c r="G3000" s="9"/>
      <c r="H3000" s="80"/>
      <c r="I3000" s="166" t="s">
        <v>7465</v>
      </c>
      <c r="J3000" s="74" t="e">
        <f>cst_shinsei_strtower22_prgo01_NAME_VER&amp;cst_shinsei_strtower22_prgo02_NAME_VER&amp;cst_shinsei_strtower22_prgo03_NAME_VER&amp;cst_shinsei_strtower22_prgo04_NAME_VER&amp;cst_shinsei_strtower22_prgo05_NAME_VER</f>
        <v>#NAME?</v>
      </c>
    </row>
    <row r="3001" spans="2:10" s="10" customFormat="1" ht="18" customHeight="1">
      <c r="C3001" s="12" t="s">
        <v>3972</v>
      </c>
      <c r="D3001" s="12"/>
      <c r="G3001" s="9"/>
      <c r="H3001" s="80"/>
      <c r="I3001" s="166" t="s">
        <v>7466</v>
      </c>
      <c r="J3001" s="74" t="e">
        <f>cst_shinsei_strtower22_prgo01_NAME_VER__SP&amp;cst_shinsei_strtower22_prgo02_NAME_VER__SP&amp;cst_shinsei_strtower22_prgo03_NAME_VER__SP&amp;cst_shinsei_strtower22_prgo04_NAME_VER__SP&amp;cst_shinsei_strtower22_prgo05_NAME_VER__SP</f>
        <v>#NAME?</v>
      </c>
    </row>
    <row r="3002" spans="2:10" s="10" customFormat="1" ht="18" customHeight="1">
      <c r="B3002" s="13" t="s">
        <v>4068</v>
      </c>
      <c r="C3002" s="13"/>
      <c r="D3002" s="13"/>
      <c r="E3002" s="25"/>
      <c r="F3002" s="25"/>
      <c r="G3002" s="9"/>
      <c r="H3002" s="80"/>
      <c r="I3002" s="9"/>
      <c r="J3002" s="80"/>
    </row>
    <row r="3003" spans="2:10" s="10" customFormat="1" ht="18" customHeight="1">
      <c r="C3003" s="12" t="s">
        <v>3975</v>
      </c>
      <c r="D3003" s="12"/>
      <c r="G3003" s="9"/>
      <c r="H3003" s="80"/>
      <c r="I3003" s="166" t="s">
        <v>7467</v>
      </c>
      <c r="J3003" s="74" t="e">
        <f>cst_shinsei_strtower22_prgo01_MAKER__NINTEI_ari&amp;cst_shinsei_strtower22_prgo02_MAKER__NINTEI_ari&amp;cst_shinsei_strtower22_prgo03_MAKER__NINTEI_ari&amp;cst_shinsei_strtower22_prgo04_MAKER__NINTEI_ari&amp;cst_shinsei_strtower22_prgo05_MAKER__NINTEI_ari</f>
        <v>#NAME?</v>
      </c>
    </row>
    <row r="3004" spans="2:10" s="10" customFormat="1" ht="18" customHeight="1">
      <c r="C3004" s="12" t="s">
        <v>3972</v>
      </c>
      <c r="D3004" s="12"/>
      <c r="G3004" s="9"/>
      <c r="H3004" s="80"/>
      <c r="I3004" s="166" t="s">
        <v>7468</v>
      </c>
      <c r="J3004" s="173" t="e">
        <f>cst_shinsei_strtower22_prgo01_NAME_VER__NINTEI_ari&amp;cst_shinsei_strtower22_prgo02_NAME_VER__NINTEI_ari&amp;cst_shinsei_strtower22_prgo03_NAME_VER__NINTEI_ari&amp;cst_shinsei_strtower22_prgo04_NAME_VER__NINTEI_ari&amp;cst_shinsei_strtower22_prgo05_NAME_VER__NINTEI_ari</f>
        <v>#NAME?</v>
      </c>
    </row>
    <row r="3005" spans="2:10" s="10" customFormat="1" ht="18" customHeight="1">
      <c r="C3005" s="12" t="s">
        <v>3964</v>
      </c>
      <c r="D3005" s="12"/>
      <c r="G3005" s="9"/>
      <c r="H3005" s="80"/>
      <c r="I3005" s="166" t="s">
        <v>7469</v>
      </c>
      <c r="J3005" s="74" t="e">
        <f>cst_shinsei_strtower22_prgo01_NINTEI_DATE_dsp&amp;cst_shinsei_strtower22_prgo02_NINTEI_DATE_dsp&amp;cst_shinsei_strtower22_prgo03_NINTEI_DATE_dsp&amp;cst_shinsei_strtower22_prgo04_NINTEI_DATE_dsp&amp;cst_shinsei_strtower22_prgo05_NINTEI_DATE_dsp</f>
        <v>#NAME?</v>
      </c>
    </row>
    <row r="3006" spans="2:10" s="10" customFormat="1" ht="18" customHeight="1">
      <c r="B3006" s="13" t="s">
        <v>4072</v>
      </c>
      <c r="C3006" s="13"/>
      <c r="D3006" s="13"/>
      <c r="E3006" s="25"/>
      <c r="F3006" s="25"/>
      <c r="G3006" s="9"/>
      <c r="H3006" s="80"/>
      <c r="I3006" s="9"/>
      <c r="J3006" s="80"/>
    </row>
    <row r="3007" spans="2:10" s="10" customFormat="1" ht="18" customHeight="1">
      <c r="C3007" s="12" t="s">
        <v>3975</v>
      </c>
      <c r="D3007" s="12"/>
      <c r="G3007" s="9"/>
      <c r="H3007" s="80"/>
      <c r="I3007" s="166" t="s">
        <v>7470</v>
      </c>
      <c r="J3007" s="74" t="e">
        <f>cst_shinsei_strtower22_prgo01_MAKER__NINTEI_non&amp;cst_shinsei_strtower22_prgo02_MAKER__NINTEI_non&amp;cst_shinsei_strtower22_prgo03_MAKER__NINTEI_non&amp;cst_shinsei_strtower22_prgo04_MAKER__NINTEI_non&amp;cst_shinsei_strtower22_prgo05_MAKER__NINTEI_non</f>
        <v>#NAME?</v>
      </c>
    </row>
    <row r="3008" spans="2:10" s="10" customFormat="1" ht="18" customHeight="1">
      <c r="C3008" s="12" t="s">
        <v>3972</v>
      </c>
      <c r="D3008" s="12"/>
      <c r="G3008" s="9"/>
      <c r="H3008" s="80"/>
      <c r="I3008" s="166" t="s">
        <v>7471</v>
      </c>
      <c r="J3008" s="173" t="e">
        <f>cst_shinsei_strtower22_prgo01_NAME_VER__NINTEI_non&amp;cst_shinsei_strtower22_prgo02_NAME_VER__NINTEI_non&amp;cst_shinsei_strtower22_prgo03_NAME_VER__NINTEI_non&amp;cst_shinsei_strtower22_prgo04_NAME_VER__NINTEI_non&amp;cst_shinsei_strtower22_prgo05_NAME_VER__NINTEI_non</f>
        <v>#NAME?</v>
      </c>
    </row>
    <row r="3009" spans="1:12" s="10" customFormat="1" ht="18" customHeight="1">
      <c r="B3009" s="12" t="s">
        <v>4075</v>
      </c>
      <c r="G3009" s="9" t="s">
        <v>7472</v>
      </c>
      <c r="H3009" s="20"/>
      <c r="I3009" s="9" t="s">
        <v>7473</v>
      </c>
      <c r="J3009" s="20" t="e">
        <f>IF(shinsei_strtower22_DISK_FLAG="","",IF(shinsei_strtower22_DISK_FLAG=1,"有","無"))</f>
        <v>#NAME?</v>
      </c>
    </row>
    <row r="3010" spans="1:12" s="10" customFormat="1" ht="18" customHeight="1">
      <c r="A3010" s="9"/>
      <c r="B3010" s="9" t="s">
        <v>2955</v>
      </c>
      <c r="C3010" s="9"/>
      <c r="D3010" s="9"/>
      <c r="E3010" s="9"/>
      <c r="F3010" s="9"/>
      <c r="G3010" s="9" t="s">
        <v>7474</v>
      </c>
      <c r="H3010" s="136"/>
      <c r="I3010" s="19" t="s">
        <v>7475</v>
      </c>
      <c r="J3010" s="171" t="e">
        <f>IF(shinsei_strtower22_CHARGE="","",shinsei_strtower22_CHARGE)</f>
        <v>#NAME?</v>
      </c>
      <c r="K3010" s="9" t="s">
        <v>2528</v>
      </c>
      <c r="L3010" s="9" t="s">
        <v>2528</v>
      </c>
    </row>
    <row r="3011" spans="1:12" ht="18" customHeight="1">
      <c r="A3011" s="149"/>
      <c r="B3011" s="149"/>
      <c r="C3011" s="149"/>
      <c r="D3011" s="149"/>
      <c r="E3011" s="12" t="s">
        <v>3907</v>
      </c>
      <c r="F3011" s="12"/>
      <c r="G3011" s="149"/>
      <c r="I3011" s="100" t="s">
        <v>7476</v>
      </c>
      <c r="J3011" s="171" t="e">
        <f>IF(shinsei_strtower22_CHARGE="","",TEXT(shinsei_strtower22_CHARGE,"#,##0_ ")&amp;"円")</f>
        <v>#NAME?</v>
      </c>
      <c r="K3011" s="9"/>
      <c r="L3011" s="9"/>
    </row>
    <row r="3012" spans="1:12" ht="18" customHeight="1">
      <c r="A3012" s="149"/>
      <c r="B3012" s="149" t="s">
        <v>3041</v>
      </c>
      <c r="C3012" s="149"/>
      <c r="D3012" s="149"/>
      <c r="E3012" s="149"/>
      <c r="F3012" s="149"/>
      <c r="G3012" s="149" t="s">
        <v>7477</v>
      </c>
      <c r="H3012" s="136"/>
      <c r="I3012" s="100" t="s">
        <v>7478</v>
      </c>
      <c r="J3012" s="136" t="e">
        <f>IF(shinsei_strtower22_CHARGE_WARIMASHI="","",shinsei_strtower22_CHARGE_WARIMASHI)</f>
        <v>#NAME?</v>
      </c>
      <c r="K3012" s="9" t="s">
        <v>2528</v>
      </c>
      <c r="L3012" s="9" t="s">
        <v>2528</v>
      </c>
    </row>
    <row r="3013" spans="1:12" ht="18" customHeight="1">
      <c r="A3013" s="149"/>
      <c r="B3013" s="149" t="s">
        <v>3043</v>
      </c>
      <c r="C3013" s="149"/>
      <c r="D3013" s="149"/>
      <c r="E3013" s="149"/>
      <c r="F3013" s="149"/>
      <c r="G3013" s="149" t="s">
        <v>7479</v>
      </c>
      <c r="H3013" s="136"/>
      <c r="I3013" s="100" t="s">
        <v>7480</v>
      </c>
      <c r="J3013" s="136" t="e">
        <f>IF(shinsei_strtower22_CHARGE_TOTAL="","",shinsei_strtower22_CHARGE_TOTAL)</f>
        <v>#NAME?</v>
      </c>
      <c r="K3013" s="9" t="s">
        <v>2528</v>
      </c>
      <c r="L3013" s="9" t="s">
        <v>2528</v>
      </c>
    </row>
    <row r="3014" spans="1:12" ht="18" customHeight="1">
      <c r="A3014" s="149"/>
      <c r="B3014" s="149" t="s">
        <v>5637</v>
      </c>
      <c r="C3014" s="149"/>
      <c r="D3014" s="149"/>
      <c r="E3014" s="149"/>
      <c r="F3014" s="149"/>
      <c r="G3014" s="149" t="s">
        <v>7481</v>
      </c>
      <c r="H3014" s="13"/>
      <c r="I3014" s="176" t="s">
        <v>7482</v>
      </c>
      <c r="J3014" s="20" t="e">
        <f>IF(shinsei_strtower22_CHARGE_KEISAN_NOTE="","",shinsei_strtower22_CHARGE_KEISAN_NOTE)</f>
        <v>#NAME?</v>
      </c>
      <c r="K3014" s="10" t="s">
        <v>3862</v>
      </c>
      <c r="L3014" s="10" t="s">
        <v>3879</v>
      </c>
    </row>
    <row r="3015" spans="1:12" ht="18" customHeight="1">
      <c r="A3015" s="149"/>
      <c r="B3015" s="149"/>
      <c r="C3015" s="149"/>
      <c r="D3015" s="149"/>
      <c r="E3015" s="149" t="s">
        <v>5640</v>
      </c>
      <c r="F3015" s="149"/>
      <c r="G3015" s="149"/>
      <c r="I3015" s="100" t="s">
        <v>7483</v>
      </c>
      <c r="J3015" s="20" t="e">
        <f>IF(shinsei_INSPECTION_TYPE="計画変更",IF(shinsei_strtower22_CHARGE="","","延べ面積×1/2により算出"),IF(shinsei_strtower22_CHARGE_KEISAN_NOTE="","",shinsei_strtower22_CHARGE_KEISAN_NOTE))</f>
        <v>#NAME?</v>
      </c>
    </row>
    <row r="3016" spans="1:12" ht="18" customHeight="1">
      <c r="A3016" s="149"/>
      <c r="B3016" s="149" t="s">
        <v>5642</v>
      </c>
      <c r="C3016" s="149"/>
      <c r="D3016" s="149"/>
      <c r="E3016" s="149"/>
      <c r="F3016" s="149"/>
      <c r="G3016" s="149" t="s">
        <v>7484</v>
      </c>
      <c r="H3016" s="13"/>
      <c r="I3016" s="149" t="s">
        <v>7485</v>
      </c>
      <c r="J3016" s="20" t="e">
        <f>IF(shinsei_strtower22_KEISAN_X_ROUTE="","",shinsei_strtower22_KEISAN_X_ROUTE)</f>
        <v>#NAME?</v>
      </c>
    </row>
    <row r="3017" spans="1:12" ht="18" customHeight="1">
      <c r="A3017" s="149"/>
      <c r="B3017" s="149" t="s">
        <v>5645</v>
      </c>
      <c r="C3017" s="149"/>
      <c r="D3017" s="149"/>
      <c r="E3017" s="149"/>
      <c r="F3017" s="149"/>
      <c r="G3017" s="149" t="s">
        <v>7486</v>
      </c>
      <c r="H3017" s="13"/>
      <c r="I3017" s="149" t="s">
        <v>7487</v>
      </c>
      <c r="J3017" s="20" t="e">
        <f>IF(shinsei_strtower22_KEISAN_Y_ROUTE="","",shinsei_strtower22_KEISAN_Y_ROUTE)</f>
        <v>#NAME?</v>
      </c>
    </row>
    <row r="3018" spans="1:12" ht="18" customHeight="1">
      <c r="A3018" s="149"/>
      <c r="B3018" s="149"/>
      <c r="C3018" s="149" t="s">
        <v>3805</v>
      </c>
      <c r="D3018" s="149"/>
      <c r="E3018" s="149"/>
      <c r="F3018" s="149"/>
      <c r="G3018" s="149"/>
      <c r="H3018" s="12"/>
      <c r="I3018" s="149" t="s">
        <v>7488</v>
      </c>
      <c r="J3018" s="20" t="e">
        <f>IF(AND(cst_shinsei_strtower22_KEISAN_X_ROUTE="3",cst_shinsei_strtower22_KEISAN_Y_ROUTE="3"),"■","□")</f>
        <v>#NAME?</v>
      </c>
    </row>
    <row r="3019" spans="1:12" ht="18" customHeight="1">
      <c r="A3019" s="149"/>
      <c r="B3019" s="149" t="s">
        <v>5650</v>
      </c>
      <c r="C3019" s="149"/>
      <c r="D3019" s="149"/>
      <c r="E3019" s="149"/>
      <c r="F3019" s="149"/>
      <c r="G3019" s="149" t="s">
        <v>7489</v>
      </c>
      <c r="H3019" s="13"/>
      <c r="I3019" s="149" t="s">
        <v>7490</v>
      </c>
      <c r="J3019" s="20" t="e">
        <f>IF(shinsei_strtower22_PROGRAM_KIND_SONOTA="","",shinsei_strtower22_PROGRAM_KIND_SONOTA)</f>
        <v>#NAME?</v>
      </c>
    </row>
    <row r="3020" spans="1:12" ht="18" customHeight="1">
      <c r="A3020" s="149"/>
      <c r="B3020" s="149"/>
      <c r="C3020" s="149"/>
      <c r="D3020" s="149"/>
      <c r="E3020" s="149"/>
      <c r="F3020" s="149"/>
      <c r="G3020" s="149"/>
    </row>
    <row r="3021" spans="1:12" s="10" customFormat="1" ht="18" customHeight="1">
      <c r="A3021" s="162" t="s">
        <v>3152</v>
      </c>
      <c r="B3021" s="162"/>
      <c r="C3021" s="162"/>
      <c r="D3021" s="162"/>
      <c r="E3021" s="163"/>
      <c r="F3021" s="163"/>
      <c r="G3021" s="164"/>
      <c r="H3021" s="165"/>
      <c r="I3021" s="9"/>
    </row>
    <row r="3022" spans="1:12" s="10" customFormat="1" ht="18" customHeight="1">
      <c r="A3022" s="12"/>
      <c r="B3022" s="12" t="s">
        <v>3859</v>
      </c>
      <c r="C3022" s="12"/>
      <c r="D3022" s="12"/>
      <c r="E3022" s="11"/>
      <c r="F3022" s="11"/>
      <c r="G3022" s="10" t="s">
        <v>7491</v>
      </c>
      <c r="H3022" s="13"/>
      <c r="I3022" s="19" t="s">
        <v>7492</v>
      </c>
      <c r="J3022" s="25" t="e">
        <f>IF(shinsei_strtower23_TOWER_NO="","",shinsei_strtower23_TOWER_NO)</f>
        <v>#NAME?</v>
      </c>
      <c r="K3022" s="10" t="s">
        <v>3862</v>
      </c>
    </row>
    <row r="3023" spans="1:12" s="10" customFormat="1" ht="18" customHeight="1">
      <c r="A3023" s="12"/>
      <c r="B3023" s="12" t="s">
        <v>3864</v>
      </c>
      <c r="C3023" s="12"/>
      <c r="D3023" s="12"/>
      <c r="E3023" s="11"/>
      <c r="F3023" s="11"/>
      <c r="G3023" s="9" t="s">
        <v>7493</v>
      </c>
      <c r="H3023" s="13"/>
      <c r="I3023" s="19" t="s">
        <v>7494</v>
      </c>
      <c r="J3023" s="25" t="e">
        <f>IF(shinsei_strtower23_STR_TOWER_NO="","",shinsei_strtower23_STR_TOWER_NO)</f>
        <v>#NAME?</v>
      </c>
      <c r="K3023" s="10" t="s">
        <v>3862</v>
      </c>
      <c r="L3023" s="10" t="s">
        <v>3879</v>
      </c>
    </row>
    <row r="3024" spans="1:12" s="166" customFormat="1" ht="18" customHeight="1">
      <c r="B3024" s="12" t="s">
        <v>3868</v>
      </c>
      <c r="I3024" s="9" t="s">
        <v>7495</v>
      </c>
      <c r="J3024" s="167" t="e">
        <f>CONCATENATE(cst_shinsei_strtower23_TOWER_NO," - ",cst_shinsei_strtower23_STR_TOWER_NO)</f>
        <v>#NAME?</v>
      </c>
    </row>
    <row r="3025" spans="1:12" s="166" customFormat="1" ht="18" customHeight="1">
      <c r="B3025" s="12" t="s">
        <v>3870</v>
      </c>
      <c r="I3025" s="9" t="s">
        <v>7496</v>
      </c>
      <c r="J3025" s="167" t="e">
        <f>CONCATENATE(cst_shinsei_strtower23_STR_TOWER_NO," ／ ",cst_shinsei_STR_SHINSEI_TOWERS)</f>
        <v>#NAME?</v>
      </c>
    </row>
    <row r="3026" spans="1:12" s="10" customFormat="1" ht="18" customHeight="1">
      <c r="A3026" s="12"/>
      <c r="B3026" s="12" t="s">
        <v>3872</v>
      </c>
      <c r="C3026" s="11"/>
      <c r="D3026" s="11"/>
      <c r="E3026" s="11"/>
      <c r="F3026" s="11"/>
      <c r="G3026" s="9" t="s">
        <v>7497</v>
      </c>
      <c r="H3026" s="13"/>
      <c r="I3026" s="9" t="s">
        <v>7498</v>
      </c>
      <c r="J3026" s="25" t="e">
        <f>IF(shinsei_strtower23_STR_TOWER_NAME="","",shinsei_strtower23_STR_TOWER_NAME)</f>
        <v>#NAME?</v>
      </c>
    </row>
    <row r="3027" spans="1:12" s="10" customFormat="1" ht="18" customHeight="1">
      <c r="A3027" s="12"/>
      <c r="B3027" s="12" t="s">
        <v>3875</v>
      </c>
      <c r="C3027" s="12"/>
      <c r="D3027" s="12"/>
      <c r="E3027" s="11"/>
      <c r="F3027" s="11"/>
      <c r="G3027" s="9" t="s">
        <v>7499</v>
      </c>
      <c r="H3027" s="20"/>
      <c r="I3027" s="20" t="s">
        <v>7500</v>
      </c>
      <c r="J3027" s="25" t="e">
        <f>IF(shinsei_strtower23_JUDGE="","",shinsei_strtower23_JUDGE)</f>
        <v>#NAME?</v>
      </c>
      <c r="K3027" s="10" t="s">
        <v>3878</v>
      </c>
      <c r="L3027" s="10" t="s">
        <v>3879</v>
      </c>
    </row>
    <row r="3028" spans="1:12" s="10" customFormat="1" ht="18" customHeight="1">
      <c r="A3028" s="12"/>
      <c r="B3028" s="12" t="s">
        <v>4441</v>
      </c>
      <c r="C3028" s="12"/>
      <c r="D3028" s="12"/>
      <c r="E3028" s="11"/>
      <c r="F3028" s="11"/>
      <c r="G3028" s="9" t="s">
        <v>7501</v>
      </c>
      <c r="H3028" s="13"/>
      <c r="I3028" s="9" t="s">
        <v>7502</v>
      </c>
      <c r="J3028" s="25" t="e">
        <f>IF(shinsei_strtower23_STR_TOWER_YOUTO_TEXT="","",shinsei_strtower23_STR_TOWER_YOUTO_TEXT)</f>
        <v>#NAME?</v>
      </c>
      <c r="K3028" s="10" t="s">
        <v>3862</v>
      </c>
      <c r="L3028" s="10" t="s">
        <v>3879</v>
      </c>
    </row>
    <row r="3029" spans="1:12" s="10" customFormat="1" ht="18" customHeight="1">
      <c r="A3029" s="12"/>
      <c r="B3029" s="12" t="s">
        <v>3790</v>
      </c>
      <c r="C3029" s="12"/>
      <c r="D3029" s="12"/>
      <c r="E3029" s="11"/>
      <c r="F3029" s="11"/>
      <c r="G3029" s="9" t="s">
        <v>7503</v>
      </c>
      <c r="H3029" s="13"/>
      <c r="I3029" s="9" t="s">
        <v>7504</v>
      </c>
      <c r="J3029" s="25" t="e">
        <f>IF(shinsei_strtower23_KOUJI_TEXT="","",shinsei_strtower23_KOUJI_TEXT)</f>
        <v>#NAME?</v>
      </c>
      <c r="K3029" s="10" t="s">
        <v>3862</v>
      </c>
      <c r="L3029" s="10" t="s">
        <v>3879</v>
      </c>
    </row>
    <row r="3030" spans="1:12" s="10" customFormat="1" ht="18" customHeight="1">
      <c r="A3030" s="12"/>
      <c r="B3030" s="12" t="s">
        <v>3888</v>
      </c>
      <c r="C3030" s="11"/>
      <c r="D3030" s="11"/>
      <c r="E3030" s="11"/>
      <c r="F3030" s="11"/>
      <c r="G3030" s="9" t="s">
        <v>7505</v>
      </c>
      <c r="H3030" s="13"/>
      <c r="I3030" s="9" t="s">
        <v>7506</v>
      </c>
      <c r="J3030" s="25" t="e">
        <f>IF(shinsei_strtower23_KOUZOU_TEXT="","",shinsei_strtower23_KOUZOU_TEXT)</f>
        <v>#NAME?</v>
      </c>
    </row>
    <row r="3031" spans="1:12" s="10" customFormat="1" ht="18" customHeight="1">
      <c r="A3031" s="12"/>
      <c r="B3031" s="12" t="s">
        <v>3888</v>
      </c>
      <c r="C3031" s="12"/>
      <c r="D3031" s="12"/>
      <c r="E3031" s="11"/>
      <c r="F3031" s="11"/>
      <c r="G3031" s="9" t="s">
        <v>7507</v>
      </c>
      <c r="H3031" s="13"/>
      <c r="I3031" s="9" t="s">
        <v>7508</v>
      </c>
      <c r="J3031" s="25" t="e">
        <f>IF(shinsei_strtower23_KOUZOU_TEXT="","",shinsei_strtower23_KOUZOU_TEXT)</f>
        <v>#NAME?</v>
      </c>
    </row>
    <row r="3032" spans="1:12" s="10" customFormat="1" ht="18" customHeight="1">
      <c r="A3032" s="12"/>
      <c r="B3032" s="12" t="s">
        <v>3893</v>
      </c>
      <c r="C3032" s="11"/>
      <c r="D3032" s="11"/>
      <c r="E3032" s="11"/>
      <c r="F3032" s="11"/>
      <c r="G3032" s="9" t="s">
        <v>7509</v>
      </c>
      <c r="H3032" s="13"/>
      <c r="I3032" s="9" t="s">
        <v>7510</v>
      </c>
      <c r="J3032" s="25" t="e">
        <f>IF(shinsei_strtower23_KOUZOU_KEISAN="","",shinsei_strtower23_KOUZOU_KEISAN)</f>
        <v>#NAME?</v>
      </c>
    </row>
    <row r="3033" spans="1:12" s="10" customFormat="1" ht="18" customHeight="1">
      <c r="A3033" s="12"/>
      <c r="B3033" s="12" t="s">
        <v>3893</v>
      </c>
      <c r="C3033" s="12"/>
      <c r="D3033" s="12"/>
      <c r="E3033" s="11"/>
      <c r="F3033" s="11"/>
      <c r="G3033" s="9" t="s">
        <v>7511</v>
      </c>
      <c r="H3033" s="13"/>
      <c r="I3033" s="10" t="s">
        <v>7512</v>
      </c>
      <c r="J3033" s="25" t="e">
        <f>IF(shinsei_strtower23_KOUZOU_KEISAN_TEXT="","",shinsei_strtower23_KOUZOU_KEISAN_TEXT)</f>
        <v>#NAME?</v>
      </c>
    </row>
    <row r="3034" spans="1:12" s="10" customFormat="1" ht="18" customHeight="1">
      <c r="A3034" s="12"/>
      <c r="B3034" s="12" t="s">
        <v>3902</v>
      </c>
      <c r="C3034" s="12"/>
      <c r="D3034" s="12"/>
      <c r="E3034" s="11"/>
      <c r="F3034" s="11"/>
      <c r="G3034" s="9" t="s">
        <v>7513</v>
      </c>
      <c r="H3034" s="65"/>
      <c r="I3034" s="19" t="s">
        <v>7514</v>
      </c>
      <c r="J3034" s="168" t="e">
        <f>IF(shinsei_strtower23_MENSEKI="","",shinsei_strtower23_MENSEKI)</f>
        <v>#NAME?</v>
      </c>
      <c r="K3034" s="10" t="s">
        <v>3906</v>
      </c>
      <c r="L3034" s="10" t="s">
        <v>3906</v>
      </c>
    </row>
    <row r="3035" spans="1:12" ht="18" customHeight="1">
      <c r="A3035" s="12"/>
      <c r="B3035" s="12"/>
      <c r="C3035" s="12"/>
      <c r="D3035" s="12"/>
      <c r="E3035" s="12" t="s">
        <v>3907</v>
      </c>
      <c r="F3035" s="12"/>
      <c r="G3035" s="9"/>
      <c r="H3035" s="9"/>
      <c r="I3035" s="9" t="s">
        <v>7515</v>
      </c>
      <c r="J3035" s="168" t="e">
        <f>IF(shinsei_strtower23_MENSEKI="","",TEXT(shinsei_strtower23_MENSEKI,"#,##0.00_ ")&amp;"㎡")</f>
        <v>#NAME?</v>
      </c>
    </row>
    <row r="3036" spans="1:12" s="10" customFormat="1" ht="18" customHeight="1">
      <c r="A3036" s="12"/>
      <c r="B3036" s="12" t="s">
        <v>4390</v>
      </c>
      <c r="C3036" s="12"/>
      <c r="D3036" s="12"/>
      <c r="E3036" s="11"/>
      <c r="F3036" s="11"/>
      <c r="G3036" s="9" t="s">
        <v>7516</v>
      </c>
      <c r="H3036" s="93"/>
      <c r="I3036" s="9" t="s">
        <v>7517</v>
      </c>
      <c r="J3036" s="170" t="e">
        <f>IF(shinsei_strtower23_MAX_TAKASA="","",shinsei_strtower23_MAX_TAKASA)</f>
        <v>#NAME?</v>
      </c>
      <c r="K3036" s="10" t="s">
        <v>3911</v>
      </c>
      <c r="L3036" s="10" t="s">
        <v>3911</v>
      </c>
    </row>
    <row r="3037" spans="1:12" s="10" customFormat="1" ht="18" customHeight="1">
      <c r="A3037" s="12"/>
      <c r="B3037" s="12" t="s">
        <v>4388</v>
      </c>
      <c r="C3037" s="11"/>
      <c r="D3037" s="11"/>
      <c r="E3037" s="11"/>
      <c r="F3037" s="11"/>
      <c r="G3037" s="9" t="s">
        <v>7518</v>
      </c>
      <c r="H3037" s="93"/>
      <c r="I3037" s="9" t="s">
        <v>7519</v>
      </c>
      <c r="J3037" s="170" t="e">
        <f>IF(shinsei_strtower23_MAX_NOKI_TAKASA="","",shinsei_strtower23_MAX_NOKI_TAKASA)</f>
        <v>#NAME?</v>
      </c>
    </row>
    <row r="3038" spans="1:12" s="10" customFormat="1" ht="18" customHeight="1">
      <c r="A3038" s="12"/>
      <c r="B3038" s="12" t="s">
        <v>3782</v>
      </c>
      <c r="C3038" s="12"/>
      <c r="D3038" s="12"/>
      <c r="E3038" s="11"/>
      <c r="F3038" s="11"/>
      <c r="G3038" s="9"/>
      <c r="H3038" s="9"/>
      <c r="I3038" s="9"/>
    </row>
    <row r="3039" spans="1:12" s="10" customFormat="1" ht="18" customHeight="1">
      <c r="A3039" s="12"/>
      <c r="B3039" s="12"/>
      <c r="C3039" s="11" t="s">
        <v>3783</v>
      </c>
      <c r="D3039" s="12"/>
      <c r="G3039" s="9" t="s">
        <v>7520</v>
      </c>
      <c r="H3039" s="136"/>
      <c r="I3039" s="9" t="s">
        <v>7521</v>
      </c>
      <c r="J3039" s="171" t="e">
        <f>IF(shinsei_strtower23_KAISU_TIJYOU="","",shinsei_strtower23_KAISU_TIJYOU)</f>
        <v>#NAME?</v>
      </c>
      <c r="K3039" s="10" t="s">
        <v>3916</v>
      </c>
      <c r="L3039" s="10" t="s">
        <v>3916</v>
      </c>
    </row>
    <row r="3040" spans="1:12" s="10" customFormat="1" ht="18" customHeight="1">
      <c r="A3040" s="12"/>
      <c r="B3040" s="12"/>
      <c r="C3040" s="11" t="s">
        <v>3785</v>
      </c>
      <c r="D3040" s="12"/>
      <c r="G3040" s="9" t="s">
        <v>7522</v>
      </c>
      <c r="H3040" s="136"/>
      <c r="I3040" s="9" t="s">
        <v>7523</v>
      </c>
      <c r="J3040" s="171" t="e">
        <f>IF(shinsei_strtower23_KAISU_TIKA="","",shinsei_strtower23_KAISU_TIKA)</f>
        <v>#NAME?</v>
      </c>
      <c r="K3040" s="10" t="s">
        <v>3916</v>
      </c>
      <c r="L3040" s="10" t="s">
        <v>3916</v>
      </c>
    </row>
    <row r="3041" spans="1:12" s="10" customFormat="1" ht="18" customHeight="1">
      <c r="A3041" s="12"/>
      <c r="B3041" s="12"/>
      <c r="C3041" s="11" t="s">
        <v>3787</v>
      </c>
      <c r="D3041" s="12"/>
      <c r="G3041" s="9" t="s">
        <v>7524</v>
      </c>
      <c r="H3041" s="136"/>
      <c r="I3041" s="9" t="s">
        <v>7525</v>
      </c>
      <c r="J3041" s="171" t="e">
        <f>IF(shinsei_strtower23_KAISU_TOUYA="","",shinsei_strtower23_KAISU_TOUYA)</f>
        <v>#NAME?</v>
      </c>
      <c r="K3041" s="10" t="s">
        <v>3916</v>
      </c>
      <c r="L3041" s="10" t="s">
        <v>3916</v>
      </c>
    </row>
    <row r="3042" spans="1:12" s="10" customFormat="1" ht="18" customHeight="1">
      <c r="B3042" s="12" t="s">
        <v>3923</v>
      </c>
      <c r="G3042" s="9" t="s">
        <v>7526</v>
      </c>
      <c r="H3042" s="13"/>
      <c r="I3042" s="10" t="s">
        <v>7527</v>
      </c>
      <c r="J3042" s="25" t="e">
        <f>IF(shinsei_strtower23_BUILD_KUBUN="","",shinsei_strtower23_BUILD_KUBUN)</f>
        <v>#NAME?</v>
      </c>
    </row>
    <row r="3043" spans="1:12" s="10" customFormat="1" ht="18" customHeight="1">
      <c r="B3043" s="12" t="s">
        <v>3923</v>
      </c>
      <c r="C3043" s="12"/>
      <c r="D3043" s="12"/>
      <c r="G3043" s="9" t="s">
        <v>7528</v>
      </c>
      <c r="H3043" s="13"/>
      <c r="I3043" s="10" t="s">
        <v>7529</v>
      </c>
      <c r="J3043" s="25" t="e">
        <f>IF(shinsei_strtower23_BUILD_KUBUN_TEXT="","",shinsei_strtower23_BUILD_KUBUN_TEXT)</f>
        <v>#NAME?</v>
      </c>
      <c r="K3043" s="10" t="s">
        <v>3862</v>
      </c>
    </row>
    <row r="3044" spans="1:12" s="10" customFormat="1" ht="18" customHeight="1">
      <c r="A3044" s="149"/>
      <c r="B3044" s="149"/>
      <c r="C3044" s="149" t="s">
        <v>3801</v>
      </c>
      <c r="D3044" s="149"/>
      <c r="E3044" s="149"/>
      <c r="F3044" s="149"/>
      <c r="G3044" s="149"/>
      <c r="H3044" s="12"/>
      <c r="I3044" s="149" t="s">
        <v>7530</v>
      </c>
      <c r="J3044" s="20" t="e">
        <f>IF(shinsei_strtower23_BUILD_KUBUN_TEXT="建築基準法第20条第２号に掲げる建築物","■","□")</f>
        <v>#NAME?</v>
      </c>
    </row>
    <row r="3045" spans="1:12" s="10" customFormat="1" ht="18" customHeight="1">
      <c r="A3045" s="149"/>
      <c r="B3045" s="149"/>
      <c r="C3045" s="149" t="s">
        <v>3801</v>
      </c>
      <c r="D3045" s="149"/>
      <c r="E3045" s="149"/>
      <c r="F3045" s="149"/>
      <c r="G3045" s="149"/>
      <c r="H3045" s="12"/>
      <c r="I3045" s="149" t="s">
        <v>7531</v>
      </c>
      <c r="J3045" s="20" t="e">
        <f>IF(shinsei_strtower23_BUILD_KUBUN_TEXT="建築基準法第20条第３号に掲げる建築物","■","□")</f>
        <v>#NAME?</v>
      </c>
    </row>
    <row r="3046" spans="1:12" s="10" customFormat="1" ht="18" customHeight="1">
      <c r="A3046" s="12"/>
      <c r="B3046" s="12" t="s">
        <v>3932</v>
      </c>
      <c r="C3046" s="12"/>
      <c r="D3046" s="12"/>
      <c r="E3046" s="11"/>
      <c r="F3046" s="11"/>
      <c r="G3046" s="9" t="s">
        <v>7532</v>
      </c>
      <c r="H3046" s="13"/>
      <c r="I3046" s="9" t="s">
        <v>7533</v>
      </c>
      <c r="J3046" s="25" t="e">
        <f>IF(shinsei_strtower23_MENJYO_TEXT="","",shinsei_strtower23_MENJYO_TEXT)</f>
        <v>#NAME?</v>
      </c>
      <c r="K3046" s="10" t="s">
        <v>3862</v>
      </c>
    </row>
    <row r="3047" spans="1:12" s="10" customFormat="1" ht="18" customHeight="1">
      <c r="A3047" s="12"/>
      <c r="B3047" s="12" t="s">
        <v>3935</v>
      </c>
      <c r="C3047" s="12"/>
      <c r="D3047" s="12"/>
      <c r="E3047" s="11"/>
      <c r="F3047" s="11"/>
      <c r="G3047" s="9" t="s">
        <v>7534</v>
      </c>
      <c r="H3047" s="20"/>
      <c r="I3047" s="9" t="s">
        <v>7535</v>
      </c>
      <c r="J3047" s="25" t="e">
        <f>IF(shinsei_strtower23_PROGRAM_KIND="","",shinsei_strtower23_PROGRAM_KIND)</f>
        <v>#NAME?</v>
      </c>
      <c r="K3047" s="10" t="s">
        <v>5704</v>
      </c>
    </row>
    <row r="3048" spans="1:12" s="10" customFormat="1" ht="18" customHeight="1">
      <c r="B3048" s="12" t="s">
        <v>3939</v>
      </c>
      <c r="C3048" s="12"/>
      <c r="D3048" s="12"/>
      <c r="G3048" s="9" t="s">
        <v>7536</v>
      </c>
      <c r="H3048" s="13"/>
      <c r="I3048" s="10" t="s">
        <v>7537</v>
      </c>
      <c r="J3048" s="25" t="e">
        <f>IF(shinsei_strtower23_REI80_2_KOKUJI_TEXT="","",shinsei_strtower23_REI80_2_KOKUJI_TEXT)</f>
        <v>#NAME?</v>
      </c>
    </row>
    <row r="3049" spans="1:12" s="10" customFormat="1" ht="18" customHeight="1">
      <c r="B3049" s="12" t="s">
        <v>3943</v>
      </c>
      <c r="C3049" s="12"/>
      <c r="D3049" s="12"/>
      <c r="G3049" s="9" t="s">
        <v>7538</v>
      </c>
      <c r="H3049" s="13"/>
      <c r="I3049" s="10" t="s">
        <v>7539</v>
      </c>
      <c r="J3049" s="25" t="e">
        <f>IF(shinsei_strtower23_PROGRAM_KIND__nintei__box="■",2,IF(OR(shinsei_strtower23_PROGRAM_KIND__hyouka__box="■",shinsei_strtower23_PROGRAM_KIND__sonota__box="■"),1,0))</f>
        <v>#NAME?</v>
      </c>
      <c r="K3049" s="10" t="s">
        <v>3946</v>
      </c>
    </row>
    <row r="3050" spans="1:12" s="10" customFormat="1" ht="18" customHeight="1">
      <c r="B3050" s="12" t="s">
        <v>3947</v>
      </c>
      <c r="C3050" s="12"/>
      <c r="D3050" s="12"/>
      <c r="G3050" s="9" t="s">
        <v>7540</v>
      </c>
      <c r="H3050" s="13"/>
    </row>
    <row r="3051" spans="1:12" s="10" customFormat="1" ht="18" customHeight="1">
      <c r="B3051" s="12" t="s">
        <v>4305</v>
      </c>
      <c r="C3051" s="12"/>
      <c r="D3051" s="12"/>
      <c r="G3051" s="9" t="s">
        <v>7541</v>
      </c>
      <c r="H3051" s="13"/>
    </row>
    <row r="3052" spans="1:12" s="10" customFormat="1" ht="18" customHeight="1">
      <c r="B3052" s="105" t="s">
        <v>3950</v>
      </c>
      <c r="C3052" s="105"/>
      <c r="D3052" s="105"/>
      <c r="E3052" s="24"/>
      <c r="F3052" s="24"/>
      <c r="G3052" s="9"/>
      <c r="H3052" s="12"/>
    </row>
    <row r="3053" spans="1:12" s="10" customFormat="1" ht="18" customHeight="1">
      <c r="C3053" s="10" t="s">
        <v>3951</v>
      </c>
      <c r="D3053" s="12"/>
      <c r="G3053" s="9" t="s">
        <v>7542</v>
      </c>
      <c r="H3053" s="13"/>
      <c r="K3053" s="10" t="s">
        <v>3862</v>
      </c>
      <c r="L3053" s="10" t="s">
        <v>3879</v>
      </c>
    </row>
    <row r="3054" spans="1:12" s="10" customFormat="1" ht="18" customHeight="1">
      <c r="C3054" s="12" t="s">
        <v>3954</v>
      </c>
      <c r="D3054" s="12"/>
      <c r="E3054" s="12"/>
      <c r="F3054" s="12"/>
      <c r="G3054" s="9" t="s">
        <v>7543</v>
      </c>
      <c r="H3054" s="13"/>
    </row>
    <row r="3055" spans="1:12" s="10" customFormat="1" ht="18" customHeight="1">
      <c r="C3055" s="12" t="s">
        <v>3957</v>
      </c>
      <c r="D3055" s="12"/>
      <c r="G3055" s="9"/>
      <c r="H3055" s="9"/>
      <c r="I3055" s="10" t="s">
        <v>7544</v>
      </c>
      <c r="J3055" s="25" t="e">
        <f>IF(shinsei_strtower23_prgo01_NAME="","",IF(shinsei_strtower23_prgo01_NINTEI_NO="","無","有"))</f>
        <v>#NAME?</v>
      </c>
      <c r="K3055" s="10" t="s">
        <v>3959</v>
      </c>
      <c r="L3055" s="10" t="s">
        <v>3879</v>
      </c>
    </row>
    <row r="3056" spans="1:12" s="10" customFormat="1" ht="18" customHeight="1">
      <c r="C3056" s="12" t="s">
        <v>3960</v>
      </c>
      <c r="D3056" s="12"/>
      <c r="G3056" s="9" t="s">
        <v>7545</v>
      </c>
      <c r="H3056" s="13"/>
      <c r="I3056" s="10" t="s">
        <v>7546</v>
      </c>
      <c r="J3056" s="25" t="e">
        <f>IF(shinsei_strtower23_prgo01_NINTEI_NO="","",shinsei_strtower23_prgo01_NINTEI_NO)</f>
        <v>#NAME?</v>
      </c>
      <c r="K3056" s="10" t="s">
        <v>3862</v>
      </c>
      <c r="L3056" s="10" t="s">
        <v>3879</v>
      </c>
    </row>
    <row r="3057" spans="2:12" s="10" customFormat="1" ht="18" customHeight="1">
      <c r="C3057" s="12" t="s">
        <v>3964</v>
      </c>
      <c r="D3057" s="12"/>
      <c r="G3057" s="9" t="s">
        <v>7547</v>
      </c>
      <c r="H3057" s="74"/>
      <c r="I3057" s="10" t="s">
        <v>7548</v>
      </c>
      <c r="J3057" s="25" t="e">
        <f>IF(shinsei_strtower23_prgo01_NINTEI_DATE="","",TEXT(shinsei_strtower23_prgo01_NINTEI_DATE,"ggge年m月d日")&amp;"  ")</f>
        <v>#NAME?</v>
      </c>
    </row>
    <row r="3058" spans="2:12" s="10" customFormat="1" ht="18" customHeight="1">
      <c r="C3058" s="12" t="s">
        <v>3967</v>
      </c>
      <c r="D3058" s="12"/>
      <c r="G3058" s="9" t="s">
        <v>7549</v>
      </c>
      <c r="H3058" s="13"/>
    </row>
    <row r="3059" spans="2:12" s="10" customFormat="1" ht="18" customHeight="1">
      <c r="C3059" s="12" t="s">
        <v>3970</v>
      </c>
      <c r="D3059" s="12"/>
      <c r="G3059" s="9"/>
      <c r="H3059" s="12"/>
      <c r="I3059" s="9" t="s">
        <v>7550</v>
      </c>
      <c r="J3059" s="25" t="e">
        <f>IF(shinsei_strtower23_prgo01_NAME="","",shinsei_strtower23_prgo01_NAME)&amp;CHAR(10)&amp;IF(shinsei_strtower23_prgo01_VER="","","Ver."&amp;shinsei_strtower23_prgo01_VER&amp;CHAR(10))</f>
        <v>#NAME?</v>
      </c>
    </row>
    <row r="3060" spans="2:12" s="10" customFormat="1" ht="18" customHeight="1">
      <c r="C3060" s="12" t="s">
        <v>3972</v>
      </c>
      <c r="D3060" s="12"/>
      <c r="G3060" s="9"/>
      <c r="H3060" s="12"/>
      <c r="I3060" s="9" t="s">
        <v>7551</v>
      </c>
      <c r="J3060" s="25" t="e">
        <f>IF(shinsei_strtower23_prgo01_NAME="","",shinsei_strtower23_prgo01_NAME&amp;" ")&amp;IF(shinsei_strtower23_prgo01_VER="","","Ver."&amp;shinsei_strtower23_prgo01_VER&amp;"  ")</f>
        <v>#NAME?</v>
      </c>
    </row>
    <row r="3061" spans="2:12" s="10" customFormat="1" ht="18" customHeight="1">
      <c r="C3061" s="12" t="s">
        <v>3974</v>
      </c>
      <c r="D3061" s="12"/>
      <c r="G3061" s="9"/>
      <c r="H3061" s="12"/>
    </row>
    <row r="3062" spans="2:12" s="10" customFormat="1" ht="18" customHeight="1">
      <c r="D3062" s="12" t="s">
        <v>3975</v>
      </c>
      <c r="G3062" s="9"/>
      <c r="H3062" s="12"/>
      <c r="I3062" s="9" t="s">
        <v>7552</v>
      </c>
      <c r="J3062" s="173" t="e">
        <f>IF(cst_shinsei_strtower23_prgo01_NINTEI__umu="有",IF(shinsei_strtower23_prgo01_MAKER_NAME="","",shinsei_strtower23_prgo01_MAKER_NAME&amp;"  "),"")</f>
        <v>#NAME?</v>
      </c>
    </row>
    <row r="3063" spans="2:12" s="10" customFormat="1" ht="18" customHeight="1">
      <c r="B3063" s="12"/>
      <c r="D3063" s="12" t="s">
        <v>3972</v>
      </c>
      <c r="G3063" s="9"/>
      <c r="H3063" s="12"/>
      <c r="I3063" s="9" t="s">
        <v>7553</v>
      </c>
      <c r="J3063" s="25" t="e">
        <f>IF(cst_shinsei_strtower23_prgo01_NINTEI__umu="有",IF(shinsei_strtower23_prgo01_NAME="","",shinsei_strtower23_prgo01_NAME&amp;" ")&amp;IF(shinsei_strtower23_prgo01_VER="","","Ver."&amp;shinsei_strtower23_prgo01_VER&amp;"  "),"")</f>
        <v>#NAME?</v>
      </c>
    </row>
    <row r="3064" spans="2:12" s="10" customFormat="1" ht="18" customHeight="1">
      <c r="C3064" s="12" t="s">
        <v>3981</v>
      </c>
      <c r="D3064" s="12"/>
      <c r="G3064" s="9"/>
      <c r="H3064" s="12"/>
    </row>
    <row r="3065" spans="2:12" s="10" customFormat="1" ht="18" customHeight="1">
      <c r="B3065" s="12"/>
      <c r="D3065" s="12" t="s">
        <v>3975</v>
      </c>
      <c r="G3065" s="9"/>
      <c r="H3065" s="12"/>
      <c r="I3065" s="9" t="s">
        <v>7554</v>
      </c>
      <c r="J3065" s="173" t="e">
        <f>IF(cst_shinsei_strtower23_prgo01_NINTEI__umu="無",IF(shinsei_strtower23_prgo01_MAKER_NAME="","",shinsei_strtower23_prgo01_MAKER_NAME&amp;"  "),"")</f>
        <v>#NAME?</v>
      </c>
    </row>
    <row r="3066" spans="2:12" s="10" customFormat="1" ht="18" customHeight="1">
      <c r="B3066" s="12"/>
      <c r="D3066" s="12" t="s">
        <v>3972</v>
      </c>
      <c r="G3066" s="9"/>
      <c r="H3066" s="12"/>
      <c r="I3066" s="9" t="s">
        <v>7555</v>
      </c>
      <c r="J3066" s="25" t="e">
        <f>IF(cst_shinsei_strtower23_prgo01_NINTEI__umu="無",IF(shinsei_strtower23_prgo01_NAME="","",shinsei_strtower23_prgo01_NAME&amp;" ")&amp;IF(shinsei_strtower23_prgo01_VER="","","Ver."&amp;shinsei_strtower23_prgo01_VER&amp;"  "),"")</f>
        <v>#NAME?</v>
      </c>
    </row>
    <row r="3067" spans="2:12" s="10" customFormat="1" ht="18" customHeight="1">
      <c r="B3067" s="105" t="s">
        <v>4000</v>
      </c>
      <c r="C3067" s="105"/>
      <c r="D3067" s="105"/>
      <c r="E3067" s="24"/>
      <c r="F3067" s="24"/>
      <c r="G3067" s="9"/>
      <c r="H3067" s="12"/>
    </row>
    <row r="3068" spans="2:12" s="10" customFormat="1" ht="18" customHeight="1">
      <c r="C3068" s="10" t="s">
        <v>3951</v>
      </c>
      <c r="D3068" s="12"/>
      <c r="G3068" s="9" t="s">
        <v>7556</v>
      </c>
      <c r="H3068" s="13"/>
      <c r="K3068" s="10" t="s">
        <v>3862</v>
      </c>
      <c r="L3068" s="10" t="s">
        <v>3879</v>
      </c>
    </row>
    <row r="3069" spans="2:12" s="10" customFormat="1" ht="18" customHeight="1">
      <c r="C3069" s="12" t="s">
        <v>3954</v>
      </c>
      <c r="D3069" s="12"/>
      <c r="G3069" s="9" t="s">
        <v>7557</v>
      </c>
      <c r="H3069" s="13"/>
    </row>
    <row r="3070" spans="2:12" s="10" customFormat="1" ht="18" customHeight="1">
      <c r="C3070" s="12" t="s">
        <v>3957</v>
      </c>
      <c r="D3070" s="12"/>
      <c r="G3070" s="9"/>
      <c r="H3070" s="9"/>
      <c r="I3070" s="10" t="s">
        <v>7558</v>
      </c>
      <c r="J3070" s="25" t="e">
        <f>IF(shinsei_strtower23_prgo02_NAME="","",IF(shinsei_strtower23_prgo02_NINTEI_NO="","無","有"))</f>
        <v>#NAME?</v>
      </c>
      <c r="L3070" s="10" t="s">
        <v>3879</v>
      </c>
    </row>
    <row r="3071" spans="2:12" s="10" customFormat="1" ht="18" customHeight="1">
      <c r="C3071" s="12" t="s">
        <v>3960</v>
      </c>
      <c r="D3071" s="12"/>
      <c r="G3071" s="9" t="s">
        <v>7559</v>
      </c>
      <c r="H3071" s="13"/>
      <c r="I3071" s="10" t="s">
        <v>7560</v>
      </c>
      <c r="J3071" s="25" t="e">
        <f>IF(shinsei_strtower23_prgo02_NINTEI_NO="","",shinsei_strtower23_prgo02_NINTEI_NO)</f>
        <v>#NAME?</v>
      </c>
      <c r="K3071" s="10" t="s">
        <v>3862</v>
      </c>
      <c r="L3071" s="10" t="s">
        <v>3879</v>
      </c>
    </row>
    <row r="3072" spans="2:12" s="10" customFormat="1" ht="18" customHeight="1">
      <c r="C3072" s="12" t="s">
        <v>3964</v>
      </c>
      <c r="D3072" s="12"/>
      <c r="G3072" s="9" t="s">
        <v>7561</v>
      </c>
      <c r="H3072" s="74"/>
      <c r="I3072" s="10" t="s">
        <v>7562</v>
      </c>
      <c r="J3072" s="25" t="e">
        <f>IF(shinsei_strtower23_prgo02_NINTEI_DATE="","",shinsei_strtower23_prgo02_NINTEI_DATE)</f>
        <v>#NAME?</v>
      </c>
    </row>
    <row r="3073" spans="2:12" s="10" customFormat="1" ht="18" customHeight="1">
      <c r="C3073" s="12" t="s">
        <v>3967</v>
      </c>
      <c r="D3073" s="12"/>
      <c r="G3073" s="9" t="s">
        <v>7563</v>
      </c>
      <c r="H3073" s="13"/>
    </row>
    <row r="3074" spans="2:12" s="10" customFormat="1" ht="18" customHeight="1">
      <c r="C3074" s="12" t="s">
        <v>3970</v>
      </c>
      <c r="D3074" s="12"/>
      <c r="G3074" s="9"/>
      <c r="H3074" s="12"/>
      <c r="I3074" s="9" t="s">
        <v>7564</v>
      </c>
      <c r="J3074" s="25" t="e">
        <f>IF(shinsei_strtower23_prgo02_NAME="","",shinsei_strtower23_prgo02_NAME)&amp;CHAR(10)&amp;IF(shinsei_strtower23_prgo02_VER="","","Ver."&amp;shinsei_strtower23_prgo02_VER&amp;CHAR(10))</f>
        <v>#NAME?</v>
      </c>
    </row>
    <row r="3075" spans="2:12" s="10" customFormat="1" ht="18" customHeight="1">
      <c r="C3075" s="12" t="s">
        <v>3972</v>
      </c>
      <c r="D3075" s="12"/>
      <c r="G3075" s="9"/>
      <c r="H3075" s="12"/>
      <c r="I3075" s="9" t="s">
        <v>7565</v>
      </c>
      <c r="J3075" s="25" t="e">
        <f>IF(shinsei_strtower23_prgo02_NAME="","",shinsei_strtower23_prgo02_NAME&amp;" ")&amp;IF(shinsei_strtower23_prgo02_VER="","","Ver."&amp;shinsei_strtower23_prgo02_VER&amp;"  ")</f>
        <v>#NAME?</v>
      </c>
    </row>
    <row r="3076" spans="2:12" s="10" customFormat="1" ht="18" customHeight="1">
      <c r="C3076" s="12" t="s">
        <v>3974</v>
      </c>
      <c r="D3076" s="12"/>
      <c r="G3076" s="9"/>
      <c r="H3076" s="12"/>
    </row>
    <row r="3077" spans="2:12" s="10" customFormat="1" ht="18" customHeight="1">
      <c r="D3077" s="12" t="s">
        <v>3975</v>
      </c>
      <c r="G3077" s="9"/>
      <c r="H3077" s="12"/>
      <c r="I3077" s="9" t="s">
        <v>7566</v>
      </c>
      <c r="J3077" s="173" t="e">
        <f>IF(cst_shinsei_strtower23_prgo02_NINTEI__umu="有",IF(shinsei_strtower23_prgo02_MAKER_NAME="","",shinsei_strtower23_prgo02_MAKER_NAME&amp;"  "),"")</f>
        <v>#NAME?</v>
      </c>
    </row>
    <row r="3078" spans="2:12" s="10" customFormat="1" ht="18" customHeight="1">
      <c r="D3078" s="12" t="s">
        <v>3972</v>
      </c>
      <c r="G3078" s="9"/>
      <c r="H3078" s="12"/>
      <c r="I3078" s="9" t="s">
        <v>7567</v>
      </c>
      <c r="J3078" s="25" t="e">
        <f>IF(cst_shinsei_strtower23_prgo02_NINTEI__umu="有",IF(shinsei_strtower23_prgo02_NAME="","",shinsei_strtower23_prgo02_NAME&amp;" ")&amp;IF(shinsei_strtower23_prgo02_VER="","","Ver."&amp;shinsei_strtower23_prgo02_VER&amp;"  "),"")</f>
        <v>#NAME?</v>
      </c>
    </row>
    <row r="3079" spans="2:12" s="10" customFormat="1" ht="18" customHeight="1">
      <c r="C3079" s="12" t="s">
        <v>3981</v>
      </c>
      <c r="D3079" s="12"/>
      <c r="G3079" s="9"/>
      <c r="H3079" s="12"/>
    </row>
    <row r="3080" spans="2:12" s="10" customFormat="1" ht="18" customHeight="1">
      <c r="D3080" s="12" t="s">
        <v>3975</v>
      </c>
      <c r="G3080" s="9"/>
      <c r="H3080" s="12"/>
      <c r="I3080" s="9" t="s">
        <v>7568</v>
      </c>
      <c r="J3080" s="173" t="e">
        <f>IF(cst_shinsei_strtower23_prgo02_NINTEI__umu="無",IF(shinsei_strtower23_prgo02_MAKER_NAME="","",shinsei_strtower23_prgo02_MAKER_NAME&amp;"  "),"")</f>
        <v>#NAME?</v>
      </c>
    </row>
    <row r="3081" spans="2:12" s="10" customFormat="1" ht="18" customHeight="1">
      <c r="D3081" s="12" t="s">
        <v>3972</v>
      </c>
      <c r="G3081" s="9"/>
      <c r="H3081" s="12"/>
      <c r="I3081" s="9" t="s">
        <v>7569</v>
      </c>
      <c r="J3081" s="25" t="e">
        <f>IF(cst_shinsei_strtower23_prgo02_NINTEI__umu="無",IF(shinsei_strtower23_prgo02_NAME="","",shinsei_strtower23_prgo02_NAME&amp;" ")&amp;IF(shinsei_strtower23_prgo02_VER="","","Ver."&amp;shinsei_strtower23_prgo02_VER&amp;"  "),"")</f>
        <v>#NAME?</v>
      </c>
    </row>
    <row r="3082" spans="2:12" s="10" customFormat="1" ht="18" customHeight="1">
      <c r="B3082" s="105" t="s">
        <v>4016</v>
      </c>
      <c r="C3082" s="105"/>
      <c r="D3082" s="105"/>
      <c r="E3082" s="24"/>
      <c r="F3082" s="24"/>
      <c r="G3082" s="9"/>
      <c r="H3082" s="12"/>
    </row>
    <row r="3083" spans="2:12" s="10" customFormat="1" ht="18" customHeight="1">
      <c r="C3083" s="10" t="s">
        <v>3951</v>
      </c>
      <c r="D3083" s="12"/>
      <c r="G3083" s="9" t="s">
        <v>7570</v>
      </c>
      <c r="H3083" s="13"/>
    </row>
    <row r="3084" spans="2:12" s="10" customFormat="1" ht="18" customHeight="1">
      <c r="C3084" s="12" t="s">
        <v>3954</v>
      </c>
      <c r="D3084" s="12"/>
      <c r="G3084" s="9" t="s">
        <v>7571</v>
      </c>
      <c r="H3084" s="13"/>
    </row>
    <row r="3085" spans="2:12" s="10" customFormat="1" ht="18" customHeight="1">
      <c r="C3085" s="12" t="s">
        <v>3957</v>
      </c>
      <c r="D3085" s="12"/>
      <c r="G3085" s="9"/>
      <c r="H3085" s="9"/>
      <c r="I3085" s="10" t="s">
        <v>7572</v>
      </c>
      <c r="J3085" s="25" t="e">
        <f>IF(shinsei_strtower23_prgo03_NAME="","",IF(shinsei_strtower23_prgo03_NINTEI_NO="","無","有"))</f>
        <v>#NAME?</v>
      </c>
      <c r="K3085" s="10" t="s">
        <v>2941</v>
      </c>
      <c r="L3085" s="10" t="s">
        <v>3879</v>
      </c>
    </row>
    <row r="3086" spans="2:12" s="10" customFormat="1" ht="18" customHeight="1">
      <c r="C3086" s="12" t="s">
        <v>3960</v>
      </c>
      <c r="D3086" s="12"/>
      <c r="G3086" s="9" t="s">
        <v>7573</v>
      </c>
      <c r="H3086" s="13"/>
      <c r="K3086" s="10" t="s">
        <v>3862</v>
      </c>
      <c r="L3086" s="10" t="s">
        <v>3879</v>
      </c>
    </row>
    <row r="3087" spans="2:12" s="10" customFormat="1" ht="18" customHeight="1">
      <c r="C3087" s="12" t="s">
        <v>3964</v>
      </c>
      <c r="D3087" s="12"/>
      <c r="G3087" s="9" t="s">
        <v>7574</v>
      </c>
      <c r="H3087" s="74"/>
      <c r="I3087" s="10" t="s">
        <v>7575</v>
      </c>
      <c r="J3087" s="25" t="e">
        <f>IF(shinsei_strtower23_prgo03_NINTEI_DATE="","",TEXT(shinsei_strtower23_prgo03_NINTEI_DATE,"ggge年m月d日")&amp;"  ")</f>
        <v>#NAME?</v>
      </c>
    </row>
    <row r="3088" spans="2:12" s="10" customFormat="1" ht="18" customHeight="1">
      <c r="C3088" s="12" t="s">
        <v>3967</v>
      </c>
      <c r="D3088" s="12"/>
      <c r="G3088" s="9" t="s">
        <v>7576</v>
      </c>
      <c r="H3088" s="13"/>
      <c r="I3088" s="9"/>
      <c r="J3088" s="9"/>
    </row>
    <row r="3089" spans="2:12" s="10" customFormat="1" ht="18" customHeight="1">
      <c r="C3089" s="12" t="s">
        <v>3970</v>
      </c>
      <c r="D3089" s="12"/>
      <c r="G3089" s="9"/>
      <c r="H3089" s="12"/>
      <c r="I3089" s="9" t="s">
        <v>7577</v>
      </c>
      <c r="J3089" s="25" t="e">
        <f>IF(shinsei_strtower23_prgo03_NAME="","",shinsei_strtower23_prgo03_NAME)&amp;CHAR(10)&amp;IF(shinsei_strtower23_prgo03_VER="","","Ver."&amp;shinsei_strtower23_prgo03_VER&amp;CHAR(10))</f>
        <v>#NAME?</v>
      </c>
    </row>
    <row r="3090" spans="2:12" s="10" customFormat="1" ht="18" customHeight="1">
      <c r="C3090" s="12" t="s">
        <v>3972</v>
      </c>
      <c r="D3090" s="12"/>
      <c r="G3090" s="9"/>
      <c r="H3090" s="12"/>
      <c r="I3090" s="9" t="s">
        <v>7578</v>
      </c>
      <c r="J3090" s="25" t="e">
        <f>IF(shinsei_strtower23_prgo03_NAME="","",shinsei_strtower23_prgo03_NAME&amp;" ")&amp;IF(shinsei_strtower23_prgo03_VER="","","Ver."&amp;shinsei_strtower23_prgo03_VER&amp;"  ")</f>
        <v>#NAME?</v>
      </c>
    </row>
    <row r="3091" spans="2:12" s="10" customFormat="1" ht="18" customHeight="1">
      <c r="C3091" s="12" t="s">
        <v>3974</v>
      </c>
      <c r="D3091" s="12"/>
      <c r="G3091" s="9"/>
      <c r="H3091" s="12"/>
    </row>
    <row r="3092" spans="2:12" s="10" customFormat="1" ht="18" customHeight="1">
      <c r="D3092" s="12" t="s">
        <v>3975</v>
      </c>
      <c r="G3092" s="9"/>
      <c r="H3092" s="12"/>
      <c r="I3092" s="9" t="s">
        <v>7579</v>
      </c>
      <c r="J3092" s="173" t="e">
        <f>IF(cst_shinsei_strtower23_prgo03_NINTEI__umu="有",IF(shinsei_strtower23_prgo03_MAKER_NAME="","",shinsei_strtower23_prgo03_MAKER_NAME&amp;"  "),"")</f>
        <v>#NAME?</v>
      </c>
    </row>
    <row r="3093" spans="2:12" s="10" customFormat="1" ht="18" customHeight="1">
      <c r="D3093" s="12" t="s">
        <v>3972</v>
      </c>
      <c r="G3093" s="9"/>
      <c r="H3093" s="12"/>
      <c r="I3093" s="9" t="s">
        <v>7580</v>
      </c>
      <c r="J3093" s="25" t="e">
        <f>IF(cst_shinsei_strtower23_prgo03_NINTEI__umu="有",IF(shinsei_strtower23_prgo03_NAME="","",shinsei_strtower23_prgo03_NAME&amp;" ")&amp;IF(shinsei_strtower23_prgo03_VER="","","Ver."&amp;shinsei_strtower23_prgo03_VER&amp;"  "),"")</f>
        <v>#NAME?</v>
      </c>
    </row>
    <row r="3094" spans="2:12" s="10" customFormat="1" ht="18" customHeight="1">
      <c r="C3094" s="12" t="s">
        <v>3981</v>
      </c>
      <c r="D3094" s="12"/>
      <c r="G3094" s="9"/>
      <c r="H3094" s="12"/>
    </row>
    <row r="3095" spans="2:12" s="10" customFormat="1" ht="18" customHeight="1">
      <c r="D3095" s="12" t="s">
        <v>3975</v>
      </c>
      <c r="G3095" s="9"/>
      <c r="H3095" s="12"/>
      <c r="I3095" s="9" t="s">
        <v>7581</v>
      </c>
      <c r="J3095" s="173" t="e">
        <f>IF(cst_shinsei_strtower23_prgo03_NINTEI__umu="無",IF(shinsei_strtower23_prgo03_MAKER_NAME="","",shinsei_strtower23_prgo03_MAKER_NAME&amp;"  "),"")</f>
        <v>#NAME?</v>
      </c>
    </row>
    <row r="3096" spans="2:12" s="10" customFormat="1" ht="18" customHeight="1">
      <c r="D3096" s="12" t="s">
        <v>3972</v>
      </c>
      <c r="G3096" s="9"/>
      <c r="H3096" s="12"/>
      <c r="I3096" s="9" t="s">
        <v>7582</v>
      </c>
      <c r="J3096" s="25" t="e">
        <f>IF(cst_shinsei_strtower23_prgo03_NINTEI__umu="無",IF(shinsei_strtower23_prgo03_NAME="","",shinsei_strtower23_prgo03_NAME&amp;" ")&amp;IF(shinsei_strtower23_prgo03_VER="","","Ver."&amp;shinsei_strtower23_prgo03_VER&amp;"  "),"")</f>
        <v>#NAME?</v>
      </c>
    </row>
    <row r="3097" spans="2:12" s="10" customFormat="1" ht="18" customHeight="1">
      <c r="B3097" s="105" t="s">
        <v>4031</v>
      </c>
      <c r="C3097" s="105"/>
      <c r="D3097" s="105"/>
      <c r="E3097" s="24"/>
      <c r="F3097" s="24"/>
      <c r="G3097" s="9"/>
      <c r="H3097" s="12"/>
    </row>
    <row r="3098" spans="2:12" s="10" customFormat="1" ht="18" customHeight="1">
      <c r="C3098" s="10" t="s">
        <v>3951</v>
      </c>
      <c r="D3098" s="12"/>
      <c r="G3098" s="9" t="s">
        <v>7583</v>
      </c>
      <c r="H3098" s="13"/>
    </row>
    <row r="3099" spans="2:12" s="10" customFormat="1" ht="18" customHeight="1">
      <c r="C3099" s="12" t="s">
        <v>3954</v>
      </c>
      <c r="D3099" s="12"/>
      <c r="G3099" s="9" t="s">
        <v>7584</v>
      </c>
      <c r="H3099" s="13"/>
    </row>
    <row r="3100" spans="2:12" s="10" customFormat="1" ht="18" customHeight="1">
      <c r="C3100" s="12" t="s">
        <v>3957</v>
      </c>
      <c r="D3100" s="12"/>
      <c r="G3100" s="9"/>
      <c r="H3100" s="9"/>
      <c r="I3100" s="10" t="s">
        <v>7585</v>
      </c>
      <c r="J3100" s="25" t="e">
        <f>IF(shinsei_strtower23_prgo04_NAME="","",IF(shinsei_strtower23_prgo04_NINTEI_NO="","無","有"))</f>
        <v>#NAME?</v>
      </c>
      <c r="K3100" s="10" t="s">
        <v>2941</v>
      </c>
      <c r="L3100" s="10" t="s">
        <v>3879</v>
      </c>
    </row>
    <row r="3101" spans="2:12" s="10" customFormat="1" ht="18" customHeight="1">
      <c r="C3101" s="12" t="s">
        <v>3960</v>
      </c>
      <c r="D3101" s="12"/>
      <c r="G3101" s="9" t="s">
        <v>7586</v>
      </c>
      <c r="H3101" s="13"/>
      <c r="K3101" s="10" t="s">
        <v>3862</v>
      </c>
      <c r="L3101" s="10" t="s">
        <v>3879</v>
      </c>
    </row>
    <row r="3102" spans="2:12" s="10" customFormat="1" ht="18" customHeight="1">
      <c r="C3102" s="12" t="s">
        <v>3964</v>
      </c>
      <c r="D3102" s="12"/>
      <c r="G3102" s="9" t="s">
        <v>7587</v>
      </c>
      <c r="H3102" s="74"/>
      <c r="I3102" s="10" t="s">
        <v>7588</v>
      </c>
      <c r="J3102" s="25" t="e">
        <f>IF(shinsei_strtower23_prgo04_NINTEI_DATE="","",TEXT(shinsei_strtower23_prgo04_NINTEI_DATE,"ggge年m月d日")&amp;"  ")</f>
        <v>#NAME?</v>
      </c>
    </row>
    <row r="3103" spans="2:12" s="10" customFormat="1" ht="18" customHeight="1">
      <c r="C3103" s="12" t="s">
        <v>3967</v>
      </c>
      <c r="D3103" s="12"/>
      <c r="G3103" s="9" t="s">
        <v>7589</v>
      </c>
      <c r="H3103" s="13"/>
      <c r="I3103" s="9"/>
      <c r="J3103" s="9"/>
    </row>
    <row r="3104" spans="2:12" s="10" customFormat="1" ht="18" customHeight="1">
      <c r="C3104" s="12" t="s">
        <v>3970</v>
      </c>
      <c r="D3104" s="12"/>
      <c r="G3104" s="9"/>
      <c r="H3104" s="12"/>
      <c r="I3104" s="9" t="s">
        <v>7590</v>
      </c>
      <c r="J3104" s="25" t="e">
        <f>IF(shinsei_strtower23_prgo04_NAME="","",shinsei_strtower23_prgo04_NAME)&amp;CHAR(10)&amp;IF(shinsei_strtower23_prgo04_VER="","","Ver."&amp;shinsei_strtower23_prgo04_VER&amp;CHAR(10))</f>
        <v>#NAME?</v>
      </c>
    </row>
    <row r="3105" spans="2:12" s="10" customFormat="1" ht="18" customHeight="1">
      <c r="C3105" s="12" t="s">
        <v>3972</v>
      </c>
      <c r="D3105" s="12"/>
      <c r="G3105" s="9"/>
      <c r="H3105" s="12"/>
      <c r="I3105" s="9" t="s">
        <v>7591</v>
      </c>
      <c r="J3105" s="25" t="e">
        <f>IF(shinsei_strtower23_prgo04_NAME="","",shinsei_strtower23_prgo04_NAME&amp;" ")&amp;IF(shinsei_strtower23_prgo04_VER="","","Ver."&amp;shinsei_strtower23_prgo04_VER&amp;"  ")</f>
        <v>#NAME?</v>
      </c>
    </row>
    <row r="3106" spans="2:12" s="10" customFormat="1" ht="18" customHeight="1">
      <c r="C3106" s="12" t="s">
        <v>3974</v>
      </c>
      <c r="D3106" s="12"/>
      <c r="G3106" s="9"/>
      <c r="H3106" s="12"/>
    </row>
    <row r="3107" spans="2:12" s="10" customFormat="1" ht="18" customHeight="1">
      <c r="D3107" s="12" t="s">
        <v>3975</v>
      </c>
      <c r="G3107" s="9"/>
      <c r="H3107" s="12"/>
      <c r="I3107" s="9" t="s">
        <v>7592</v>
      </c>
      <c r="J3107" s="173" t="e">
        <f>IF(cst_shinsei_strtower23_prgo04_NINTEI__umu="有",IF(shinsei_strtower23_prgo04_MAKER_NAME="","",shinsei_strtower23_prgo04_MAKER_NAME&amp;"  "),"")</f>
        <v>#NAME?</v>
      </c>
    </row>
    <row r="3108" spans="2:12" s="10" customFormat="1" ht="18" customHeight="1">
      <c r="D3108" s="12" t="s">
        <v>3972</v>
      </c>
      <c r="G3108" s="9"/>
      <c r="H3108" s="12"/>
      <c r="I3108" s="9" t="s">
        <v>7593</v>
      </c>
      <c r="J3108" s="25" t="e">
        <f>IF(cst_shinsei_strtower23_prgo04_NINTEI__umu="有",IF(shinsei_strtower23_prgo04_NAME="","",shinsei_strtower23_prgo04_NAME&amp;" ")&amp;IF(shinsei_strtower23_prgo04_VER="","","Ver."&amp;shinsei_strtower23_prgo04_VER&amp;"  "),"")</f>
        <v>#NAME?</v>
      </c>
    </row>
    <row r="3109" spans="2:12" s="10" customFormat="1" ht="18" customHeight="1">
      <c r="C3109" s="12" t="s">
        <v>3981</v>
      </c>
      <c r="D3109" s="12"/>
      <c r="G3109" s="9"/>
      <c r="H3109" s="12"/>
    </row>
    <row r="3110" spans="2:12" s="10" customFormat="1" ht="18" customHeight="1">
      <c r="D3110" s="12" t="s">
        <v>3975</v>
      </c>
      <c r="G3110" s="9"/>
      <c r="H3110" s="12"/>
      <c r="I3110" s="9" t="s">
        <v>7594</v>
      </c>
      <c r="J3110" s="173" t="e">
        <f>IF(cst_shinsei_strtower23_prgo04_NINTEI__umu="無",IF(shinsei_strtower23_prgo04_MAKER_NAME="","",shinsei_strtower23_prgo04_MAKER_NAME&amp;"  "),"")</f>
        <v>#NAME?</v>
      </c>
    </row>
    <row r="3111" spans="2:12" s="10" customFormat="1" ht="18" customHeight="1">
      <c r="D3111" s="12" t="s">
        <v>3972</v>
      </c>
      <c r="G3111" s="9"/>
      <c r="H3111" s="12"/>
      <c r="I3111" s="9" t="s">
        <v>7595</v>
      </c>
      <c r="J3111" s="25" t="e">
        <f>IF(cst_shinsei_strtower23_prgo04_NINTEI__umu="無",IF(shinsei_strtower23_prgo04_NAME="","",shinsei_strtower23_prgo04_NAME&amp;" ")&amp;IF(shinsei_strtower23_prgo04_VER="","","Ver."&amp;shinsei_strtower23_prgo04_VER&amp;"  "),"")</f>
        <v>#NAME?</v>
      </c>
    </row>
    <row r="3112" spans="2:12" s="10" customFormat="1" ht="18" customHeight="1">
      <c r="B3112" s="105" t="s">
        <v>4049</v>
      </c>
      <c r="C3112" s="105"/>
      <c r="D3112" s="105"/>
      <c r="E3112" s="24"/>
      <c r="F3112" s="24"/>
      <c r="G3112" s="9"/>
      <c r="H3112" s="12"/>
    </row>
    <row r="3113" spans="2:12" s="10" customFormat="1" ht="18" customHeight="1">
      <c r="C3113" s="10" t="s">
        <v>3951</v>
      </c>
      <c r="D3113" s="12"/>
      <c r="G3113" s="9" t="s">
        <v>7596</v>
      </c>
      <c r="H3113" s="13"/>
    </row>
    <row r="3114" spans="2:12" s="10" customFormat="1" ht="18" customHeight="1">
      <c r="C3114" s="12" t="s">
        <v>3954</v>
      </c>
      <c r="D3114" s="12"/>
      <c r="G3114" s="9" t="s">
        <v>7597</v>
      </c>
      <c r="H3114" s="13"/>
    </row>
    <row r="3115" spans="2:12" s="10" customFormat="1" ht="18" customHeight="1">
      <c r="C3115" s="12" t="s">
        <v>3957</v>
      </c>
      <c r="D3115" s="12"/>
      <c r="G3115" s="9"/>
      <c r="H3115" s="9"/>
      <c r="I3115" s="10" t="s">
        <v>7598</v>
      </c>
      <c r="J3115" s="25" t="e">
        <f>IF(shinsei_strtower23_prgo05_NAME="","",IF(shinsei_strtower23_prgo05_NINTEI_NO="","無","有"))</f>
        <v>#NAME?</v>
      </c>
      <c r="K3115" s="10" t="s">
        <v>2941</v>
      </c>
      <c r="L3115" s="10" t="s">
        <v>3879</v>
      </c>
    </row>
    <row r="3116" spans="2:12" s="10" customFormat="1" ht="18" customHeight="1">
      <c r="C3116" s="12" t="s">
        <v>3960</v>
      </c>
      <c r="D3116" s="12"/>
      <c r="G3116" s="9" t="s">
        <v>7599</v>
      </c>
      <c r="H3116" s="13"/>
      <c r="K3116" s="10" t="s">
        <v>3862</v>
      </c>
      <c r="L3116" s="10" t="s">
        <v>3879</v>
      </c>
    </row>
    <row r="3117" spans="2:12" s="10" customFormat="1" ht="18" customHeight="1">
      <c r="C3117" s="12" t="s">
        <v>3964</v>
      </c>
      <c r="D3117" s="12"/>
      <c r="G3117" s="9" t="s">
        <v>7600</v>
      </c>
      <c r="H3117" s="74"/>
      <c r="I3117" s="10" t="s">
        <v>7601</v>
      </c>
      <c r="J3117" s="25" t="e">
        <f>IF(shinsei_strtower23_prgo05_NINTEI_DATE="","",TEXT(shinsei_strtower23_prgo05_NINTEI_DATE,"ggge年m月d日")&amp;"  ")</f>
        <v>#NAME?</v>
      </c>
    </row>
    <row r="3118" spans="2:12" s="10" customFormat="1" ht="18" customHeight="1">
      <c r="C3118" s="12" t="s">
        <v>3967</v>
      </c>
      <c r="D3118" s="12"/>
      <c r="G3118" s="9" t="s">
        <v>7602</v>
      </c>
      <c r="H3118" s="13"/>
    </row>
    <row r="3119" spans="2:12" s="10" customFormat="1" ht="18" customHeight="1">
      <c r="C3119" s="12" t="s">
        <v>3970</v>
      </c>
      <c r="D3119" s="12"/>
      <c r="G3119" s="9"/>
      <c r="H3119" s="12"/>
      <c r="I3119" s="9" t="s">
        <v>7603</v>
      </c>
      <c r="J3119" s="25" t="e">
        <f>IF(shinsei_strtower23_prgo05_NAME="","",shinsei_strtower23_prgo05_NAME)&amp;CHAR(10)&amp;IF(shinsei_strtower23_prgo05_VER="","","Ver."&amp;shinsei_strtower23_prgo05_VER&amp;CHAR(10))</f>
        <v>#NAME?</v>
      </c>
    </row>
    <row r="3120" spans="2:12" s="10" customFormat="1" ht="18" customHeight="1">
      <c r="C3120" s="12" t="s">
        <v>3972</v>
      </c>
      <c r="D3120" s="12"/>
      <c r="G3120" s="9"/>
      <c r="H3120" s="12"/>
      <c r="I3120" s="9" t="s">
        <v>7604</v>
      </c>
      <c r="J3120" s="25" t="e">
        <f>IF(shinsei_strtower23_prgo05_NAME="","",shinsei_strtower23_prgo05_NAME&amp;" ")&amp;IF(shinsei_strtower23_prgo05_VER="","","Ver."&amp;shinsei_strtower23_prgo05_VER&amp;"  ")</f>
        <v>#NAME?</v>
      </c>
    </row>
    <row r="3121" spans="2:10" s="10" customFormat="1" ht="18" customHeight="1">
      <c r="C3121" s="12" t="s">
        <v>3974</v>
      </c>
      <c r="D3121" s="12"/>
      <c r="G3121" s="9"/>
      <c r="H3121" s="12"/>
    </row>
    <row r="3122" spans="2:10" s="10" customFormat="1" ht="18" customHeight="1">
      <c r="D3122" s="12" t="s">
        <v>3975</v>
      </c>
      <c r="G3122" s="9"/>
      <c r="H3122" s="12"/>
      <c r="I3122" s="9" t="s">
        <v>7605</v>
      </c>
      <c r="J3122" s="173" t="e">
        <f>IF(cst_shinsei_strtower23_prgo05_NINTEI__umu="有",IF(shinsei_strtower23_prgo05_MAKER_NAME="","",shinsei_strtower23_prgo05_MAKER_NAME&amp;"  "),"")</f>
        <v>#NAME?</v>
      </c>
    </row>
    <row r="3123" spans="2:10" s="10" customFormat="1" ht="18" customHeight="1">
      <c r="D3123" s="12" t="s">
        <v>3972</v>
      </c>
      <c r="G3123" s="9"/>
      <c r="H3123" s="12"/>
      <c r="I3123" s="9" t="s">
        <v>7606</v>
      </c>
      <c r="J3123" s="25" t="e">
        <f>IF(cst_shinsei_strtower23_prgo05_NINTEI__umu="有",IF(shinsei_strtower23_prgo05_NAME="","",shinsei_strtower23_prgo05_NAME&amp;" ")&amp;IF(shinsei_strtower23_prgo05_VER="","","Ver."&amp;shinsei_strtower23_prgo05_VER&amp;"  "),"")</f>
        <v>#NAME?</v>
      </c>
    </row>
    <row r="3124" spans="2:10" s="10" customFormat="1" ht="18" customHeight="1">
      <c r="C3124" s="12" t="s">
        <v>3981</v>
      </c>
      <c r="D3124" s="12"/>
      <c r="G3124" s="9"/>
      <c r="H3124" s="12"/>
    </row>
    <row r="3125" spans="2:10" s="10" customFormat="1" ht="18" customHeight="1">
      <c r="D3125" s="12" t="s">
        <v>3975</v>
      </c>
      <c r="G3125" s="9"/>
      <c r="H3125" s="12"/>
      <c r="I3125" s="9" t="s">
        <v>7607</v>
      </c>
      <c r="J3125" s="173" t="e">
        <f>IF(cst_shinsei_strtower23_prgo05_NINTEI__umu="無",IF(shinsei_strtower23_prgo05_MAKER_NAME="","",shinsei_strtower23_prgo05_MAKER_NAME&amp;"  "),"")</f>
        <v>#NAME?</v>
      </c>
    </row>
    <row r="3126" spans="2:10" s="10" customFormat="1" ht="18" customHeight="1">
      <c r="D3126" s="12" t="s">
        <v>3972</v>
      </c>
      <c r="G3126" s="9"/>
      <c r="H3126" s="12"/>
      <c r="I3126" s="9" t="s">
        <v>7608</v>
      </c>
      <c r="J3126" s="25" t="e">
        <f>IF(cst_shinsei_strtower23_prgo05_NINTEI__umu="無",IF(shinsei_strtower23_prgo05_NAME="","",shinsei_strtower23_prgo05_NAME&amp;" ")&amp;IF(shinsei_strtower23_prgo05_VER="","","Ver."&amp;shinsei_strtower23_prgo05_VER&amp;"  "),"")</f>
        <v>#NAME?</v>
      </c>
    </row>
    <row r="3127" spans="2:10" s="10" customFormat="1" ht="18" customHeight="1">
      <c r="B3127" s="13" t="s">
        <v>3827</v>
      </c>
      <c r="C3127" s="13"/>
      <c r="D3127" s="13"/>
      <c r="E3127" s="25"/>
      <c r="F3127" s="25"/>
      <c r="G3127" s="9"/>
      <c r="H3127" s="80"/>
      <c r="I3127" s="9"/>
      <c r="J3127" s="80"/>
    </row>
    <row r="3128" spans="2:10" s="10" customFormat="1" ht="18" customHeight="1">
      <c r="C3128" s="12" t="s">
        <v>3970</v>
      </c>
      <c r="D3128" s="12"/>
      <c r="G3128" s="9"/>
      <c r="H3128" s="80"/>
      <c r="I3128" s="166" t="s">
        <v>7609</v>
      </c>
      <c r="J3128" s="74" t="e">
        <f>cst_shinsei_strtower23_prgo01_NAME_VER&amp;cst_shinsei_strtower23_prgo02_NAME_VER&amp;cst_shinsei_strtower23_prgo03_NAME_VER&amp;cst_shinsei_strtower23_prgo04_NAME_VER&amp;cst_shinsei_strtower23_prgo05_NAME_VER</f>
        <v>#NAME?</v>
      </c>
    </row>
    <row r="3129" spans="2:10" s="10" customFormat="1" ht="18" customHeight="1">
      <c r="C3129" s="12" t="s">
        <v>3972</v>
      </c>
      <c r="D3129" s="12"/>
      <c r="G3129" s="9"/>
      <c r="H3129" s="80"/>
      <c r="I3129" s="166" t="s">
        <v>7610</v>
      </c>
      <c r="J3129" s="74" t="e">
        <f>cst_shinsei_strtower23_prgo01_NAME_VER__SP&amp;cst_shinsei_strtower23_prgo02_NAME_VER__SP&amp;cst_shinsei_strtower23_prgo03_NAME_VER__SP&amp;cst_shinsei_strtower23_prgo04_NAME_VER__SP&amp;cst_shinsei_strtower23_prgo05_NAME_VER__SP</f>
        <v>#NAME?</v>
      </c>
    </row>
    <row r="3130" spans="2:10" s="10" customFormat="1" ht="18" customHeight="1">
      <c r="B3130" s="13" t="s">
        <v>4068</v>
      </c>
      <c r="C3130" s="13"/>
      <c r="D3130" s="13"/>
      <c r="E3130" s="25"/>
      <c r="F3130" s="25"/>
      <c r="G3130" s="9"/>
      <c r="H3130" s="80"/>
      <c r="I3130" s="9"/>
      <c r="J3130" s="80"/>
    </row>
    <row r="3131" spans="2:10" s="10" customFormat="1" ht="18" customHeight="1">
      <c r="C3131" s="12" t="s">
        <v>3975</v>
      </c>
      <c r="D3131" s="12"/>
      <c r="G3131" s="9"/>
      <c r="H3131" s="80"/>
      <c r="I3131" s="166" t="s">
        <v>7611</v>
      </c>
      <c r="J3131" s="74" t="e">
        <f>cst_shinsei_strtower23_prgo01_MAKER__NINTEI_ari&amp;cst_shinsei_strtower23_prgo02_MAKER__NINTEI_ari&amp;cst_shinsei_strtower23_prgo03_MAKER__NINTEI_ari&amp;cst_shinsei_strtower23_prgo04_MAKER__NINTEI_ari&amp;cst_shinsei_strtower23_prgo05_MAKER__NINTEI_ari</f>
        <v>#NAME?</v>
      </c>
    </row>
    <row r="3132" spans="2:10" s="10" customFormat="1" ht="18" customHeight="1">
      <c r="C3132" s="12" t="s">
        <v>3972</v>
      </c>
      <c r="D3132" s="12"/>
      <c r="G3132" s="9"/>
      <c r="H3132" s="80"/>
      <c r="I3132" s="166" t="s">
        <v>7612</v>
      </c>
      <c r="J3132" s="173" t="e">
        <f>cst_shinsei_strtower23_prgo01_NAME_VER__NINTEI_ari&amp;cst_shinsei_strtower23_prgo02_NAME_VER__NINTEI_ari&amp;cst_shinsei_strtower23_prgo03_NAME_VER__NINTEI_ari&amp;cst_shinsei_strtower23_prgo04_NAME_VER__NINTEI_ari&amp;cst_shinsei_strtower23_prgo05_NAME_VER__NINTEI_ari</f>
        <v>#NAME?</v>
      </c>
    </row>
    <row r="3133" spans="2:10" s="10" customFormat="1" ht="18" customHeight="1">
      <c r="C3133" s="12" t="s">
        <v>3964</v>
      </c>
      <c r="D3133" s="12"/>
      <c r="G3133" s="9"/>
      <c r="H3133" s="80"/>
      <c r="I3133" s="166" t="s">
        <v>7613</v>
      </c>
      <c r="J3133" s="74" t="e">
        <f>cst_shinsei_strtower23_prgo01_NINTEI_DATE_dsp&amp;cst_shinsei_strtower23_prgo02_NINTEI_DATE_dsp&amp;cst_shinsei_strtower23_prgo03_NINTEI_DATE_dsp&amp;cst_shinsei_strtower23_prgo04_NINTEI_DATE_dsp&amp;cst_shinsei_strtower23_prgo05_NINTEI_DATE_dsp</f>
        <v>#NAME?</v>
      </c>
    </row>
    <row r="3134" spans="2:10" s="10" customFormat="1" ht="18" customHeight="1">
      <c r="B3134" s="13" t="s">
        <v>4072</v>
      </c>
      <c r="C3134" s="13"/>
      <c r="D3134" s="13"/>
      <c r="E3134" s="25"/>
      <c r="F3134" s="25"/>
      <c r="G3134" s="9"/>
      <c r="H3134" s="80"/>
      <c r="I3134" s="9"/>
      <c r="J3134" s="80"/>
    </row>
    <row r="3135" spans="2:10" s="10" customFormat="1" ht="18" customHeight="1">
      <c r="C3135" s="12" t="s">
        <v>3975</v>
      </c>
      <c r="D3135" s="12"/>
      <c r="G3135" s="9"/>
      <c r="H3135" s="80"/>
      <c r="I3135" s="166" t="s">
        <v>7614</v>
      </c>
      <c r="J3135" s="74" t="e">
        <f>cst_shinsei_strtower23_prgo01_MAKER__NINTEI_non&amp;cst_shinsei_strtower23_prgo02_MAKER__NINTEI_non&amp;cst_shinsei_strtower23_prgo03_MAKER__NINTEI_non&amp;cst_shinsei_strtower23_prgo04_MAKER__NINTEI_non&amp;cst_shinsei_strtower23_prgo05_MAKER__NINTEI_non</f>
        <v>#NAME?</v>
      </c>
    </row>
    <row r="3136" spans="2:10" s="10" customFormat="1" ht="18" customHeight="1">
      <c r="C3136" s="12" t="s">
        <v>3972</v>
      </c>
      <c r="D3136" s="12"/>
      <c r="G3136" s="9"/>
      <c r="H3136" s="80"/>
      <c r="I3136" s="166" t="s">
        <v>7615</v>
      </c>
      <c r="J3136" s="173" t="e">
        <f>cst_shinsei_strtower23_prgo01_NAME_VER__NINTEI_non&amp;cst_shinsei_strtower23_prgo02_NAME_VER__NINTEI_non&amp;cst_shinsei_strtower23_prgo03_NAME_VER__NINTEI_non&amp;cst_shinsei_strtower23_prgo04_NAME_VER__NINTEI_non&amp;cst_shinsei_strtower23_prgo05_NAME_VER__NINTEI_non</f>
        <v>#NAME?</v>
      </c>
    </row>
    <row r="3137" spans="1:12" s="10" customFormat="1" ht="18" customHeight="1">
      <c r="B3137" s="12" t="s">
        <v>4075</v>
      </c>
      <c r="G3137" s="9" t="s">
        <v>7616</v>
      </c>
      <c r="H3137" s="20"/>
      <c r="I3137" s="9" t="s">
        <v>7617</v>
      </c>
      <c r="J3137" s="20" t="e">
        <f>IF(shinsei_strtower23_DISK_FLAG="","",IF(shinsei_strtower23_DISK_FLAG=1,"有","無"))</f>
        <v>#NAME?</v>
      </c>
    </row>
    <row r="3138" spans="1:12" s="10" customFormat="1" ht="18" customHeight="1">
      <c r="A3138" s="9"/>
      <c r="B3138" s="9" t="s">
        <v>2955</v>
      </c>
      <c r="C3138" s="9"/>
      <c r="D3138" s="9"/>
      <c r="E3138" s="9"/>
      <c r="F3138" s="9"/>
      <c r="G3138" s="9" t="s">
        <v>7618</v>
      </c>
      <c r="H3138" s="136"/>
      <c r="I3138" s="19" t="s">
        <v>7619</v>
      </c>
      <c r="J3138" s="171" t="e">
        <f>IF(shinsei_strtower23_CHARGE="","",shinsei_strtower23_CHARGE)</f>
        <v>#NAME?</v>
      </c>
      <c r="K3138" s="9" t="s">
        <v>2528</v>
      </c>
      <c r="L3138" s="9" t="s">
        <v>2528</v>
      </c>
    </row>
    <row r="3139" spans="1:12" ht="18" customHeight="1">
      <c r="A3139" s="149"/>
      <c r="B3139" s="149"/>
      <c r="C3139" s="149"/>
      <c r="D3139" s="149"/>
      <c r="E3139" s="12" t="s">
        <v>3907</v>
      </c>
      <c r="F3139" s="12"/>
      <c r="G3139" s="149"/>
      <c r="I3139" s="100" t="s">
        <v>7620</v>
      </c>
      <c r="J3139" s="171" t="e">
        <f>IF(shinsei_strtower23_CHARGE="","",TEXT(shinsei_strtower23_CHARGE,"#,##0_ ")&amp;"円")</f>
        <v>#NAME?</v>
      </c>
      <c r="K3139" s="9"/>
      <c r="L3139" s="9"/>
    </row>
    <row r="3140" spans="1:12" ht="18" customHeight="1">
      <c r="A3140" s="149"/>
      <c r="B3140" s="149" t="s">
        <v>3041</v>
      </c>
      <c r="C3140" s="149"/>
      <c r="D3140" s="149"/>
      <c r="E3140" s="149"/>
      <c r="F3140" s="149"/>
      <c r="G3140" s="149" t="s">
        <v>7621</v>
      </c>
      <c r="H3140" s="136"/>
      <c r="I3140" s="100" t="s">
        <v>7622</v>
      </c>
      <c r="J3140" s="136" t="e">
        <f>IF(shinsei_strtower23_CHARGE_WARIMASHI="","",shinsei_strtower23_CHARGE_WARIMASHI)</f>
        <v>#NAME?</v>
      </c>
      <c r="K3140" s="9" t="s">
        <v>2528</v>
      </c>
      <c r="L3140" s="9" t="s">
        <v>2528</v>
      </c>
    </row>
    <row r="3141" spans="1:12" ht="18" customHeight="1">
      <c r="A3141" s="149"/>
      <c r="B3141" s="149" t="s">
        <v>3043</v>
      </c>
      <c r="C3141" s="149"/>
      <c r="D3141" s="149"/>
      <c r="E3141" s="149"/>
      <c r="F3141" s="149"/>
      <c r="G3141" s="149" t="s">
        <v>7623</v>
      </c>
      <c r="H3141" s="136"/>
      <c r="I3141" s="100" t="s">
        <v>7624</v>
      </c>
      <c r="J3141" s="136" t="e">
        <f>IF(shinsei_strtower23_CHARGE_TOTAL="","",shinsei_strtower23_CHARGE_TOTAL)</f>
        <v>#NAME?</v>
      </c>
      <c r="K3141" s="9" t="s">
        <v>2528</v>
      </c>
      <c r="L3141" s="9" t="s">
        <v>2528</v>
      </c>
    </row>
    <row r="3142" spans="1:12" ht="18" customHeight="1">
      <c r="A3142" s="149"/>
      <c r="B3142" s="149" t="s">
        <v>5637</v>
      </c>
      <c r="C3142" s="149"/>
      <c r="D3142" s="149"/>
      <c r="E3142" s="149"/>
      <c r="F3142" s="149"/>
      <c r="G3142" s="149" t="s">
        <v>7625</v>
      </c>
      <c r="H3142" s="13"/>
      <c r="I3142" s="176" t="s">
        <v>7626</v>
      </c>
      <c r="J3142" s="20" t="e">
        <f>IF(shinsei_strtower23_CHARGE_KEISAN_NOTE="","",shinsei_strtower23_CHARGE_KEISAN_NOTE)</f>
        <v>#NAME?</v>
      </c>
      <c r="K3142" s="10" t="s">
        <v>3862</v>
      </c>
      <c r="L3142" s="10" t="s">
        <v>3879</v>
      </c>
    </row>
    <row r="3143" spans="1:12" ht="18" customHeight="1">
      <c r="A3143" s="149"/>
      <c r="B3143" s="149"/>
      <c r="C3143" s="149"/>
      <c r="D3143" s="149"/>
      <c r="E3143" s="149" t="s">
        <v>5640</v>
      </c>
      <c r="F3143" s="149"/>
      <c r="G3143" s="149"/>
      <c r="I3143" s="100" t="s">
        <v>7627</v>
      </c>
      <c r="J3143" s="20" t="e">
        <f>IF(shinsei_INSPECTION_TYPE="計画変更",IF(shinsei_strtower23_CHARGE="","","延べ面積×1/2により算出"),IF(shinsei_strtower23_CHARGE_KEISAN_NOTE="","",shinsei_strtower23_CHARGE_KEISAN_NOTE))</f>
        <v>#NAME?</v>
      </c>
    </row>
    <row r="3144" spans="1:12" ht="18" customHeight="1">
      <c r="A3144" s="149"/>
      <c r="B3144" s="149" t="s">
        <v>5642</v>
      </c>
      <c r="C3144" s="149"/>
      <c r="D3144" s="149"/>
      <c r="E3144" s="149"/>
      <c r="F3144" s="149"/>
      <c r="G3144" s="149" t="s">
        <v>7628</v>
      </c>
      <c r="H3144" s="13"/>
      <c r="I3144" s="149" t="s">
        <v>7629</v>
      </c>
      <c r="J3144" s="20" t="e">
        <f>IF(shinsei_strtower23_KEISAN_X_ROUTE="","",shinsei_strtower23_KEISAN_X_ROUTE)</f>
        <v>#NAME?</v>
      </c>
    </row>
    <row r="3145" spans="1:12" ht="18" customHeight="1">
      <c r="A3145" s="149"/>
      <c r="B3145" s="149" t="s">
        <v>5645</v>
      </c>
      <c r="C3145" s="149"/>
      <c r="D3145" s="149"/>
      <c r="E3145" s="149"/>
      <c r="F3145" s="149"/>
      <c r="G3145" s="149" t="s">
        <v>7630</v>
      </c>
      <c r="H3145" s="13"/>
      <c r="I3145" s="149" t="s">
        <v>7631</v>
      </c>
      <c r="J3145" s="20" t="e">
        <f>IF(shinsei_strtower23_KEISAN_Y_ROUTE="","",shinsei_strtower23_KEISAN_Y_ROUTE)</f>
        <v>#NAME?</v>
      </c>
    </row>
    <row r="3146" spans="1:12" ht="18" customHeight="1">
      <c r="A3146" s="149"/>
      <c r="B3146" s="149"/>
      <c r="C3146" s="149" t="s">
        <v>3805</v>
      </c>
      <c r="D3146" s="149"/>
      <c r="E3146" s="149"/>
      <c r="F3146" s="149"/>
      <c r="G3146" s="149"/>
      <c r="H3146" s="12"/>
      <c r="I3146" s="149" t="s">
        <v>7632</v>
      </c>
      <c r="J3146" s="20" t="e">
        <f>IF(AND(cst_shinsei_strtower23_KEISAN_X_ROUTE="3",cst_shinsei_strtower23_KEISAN_Y_ROUTE="3"),"■","□")</f>
        <v>#NAME?</v>
      </c>
    </row>
    <row r="3147" spans="1:12" ht="18" customHeight="1">
      <c r="A3147" s="149"/>
      <c r="B3147" s="149" t="s">
        <v>5650</v>
      </c>
      <c r="C3147" s="149"/>
      <c r="D3147" s="149"/>
      <c r="E3147" s="149"/>
      <c r="F3147" s="149"/>
      <c r="G3147" s="149" t="s">
        <v>7633</v>
      </c>
      <c r="H3147" s="13"/>
      <c r="I3147" s="149" t="s">
        <v>7634</v>
      </c>
      <c r="J3147" s="20" t="e">
        <f>IF(shinsei_strtower23_PROGRAM_KIND_SONOTA="","",shinsei_strtower23_PROGRAM_KIND_SONOTA)</f>
        <v>#NAME?</v>
      </c>
    </row>
    <row r="3148" spans="1:12" ht="18" customHeight="1">
      <c r="A3148" s="149"/>
      <c r="B3148" s="149"/>
      <c r="C3148" s="149"/>
      <c r="D3148" s="149"/>
      <c r="E3148" s="149"/>
      <c r="F3148" s="149"/>
      <c r="G3148" s="149"/>
    </row>
    <row r="3149" spans="1:12" s="10" customFormat="1" ht="18" customHeight="1">
      <c r="A3149" s="162" t="s">
        <v>3157</v>
      </c>
      <c r="B3149" s="162"/>
      <c r="C3149" s="162"/>
      <c r="D3149" s="162"/>
      <c r="E3149" s="163"/>
      <c r="F3149" s="163"/>
      <c r="G3149" s="164"/>
      <c r="H3149" s="165"/>
      <c r="I3149" s="9"/>
    </row>
    <row r="3150" spans="1:12" s="10" customFormat="1" ht="18" customHeight="1">
      <c r="A3150" s="12"/>
      <c r="B3150" s="12" t="s">
        <v>3859</v>
      </c>
      <c r="C3150" s="12"/>
      <c r="D3150" s="12"/>
      <c r="E3150" s="11"/>
      <c r="F3150" s="11"/>
      <c r="G3150" s="10" t="s">
        <v>7635</v>
      </c>
      <c r="H3150" s="13"/>
      <c r="I3150" s="19" t="s">
        <v>7636</v>
      </c>
      <c r="J3150" s="25" t="e">
        <f>IF(shinsei_strtower24_TOWER_NO="","",shinsei_strtower24_TOWER_NO)</f>
        <v>#NAME?</v>
      </c>
      <c r="K3150" s="10" t="s">
        <v>3862</v>
      </c>
    </row>
    <row r="3151" spans="1:12" s="10" customFormat="1" ht="18" customHeight="1">
      <c r="A3151" s="12"/>
      <c r="B3151" s="12" t="s">
        <v>3864</v>
      </c>
      <c r="C3151" s="12"/>
      <c r="D3151" s="12"/>
      <c r="E3151" s="11"/>
      <c r="F3151" s="11"/>
      <c r="G3151" s="9" t="s">
        <v>7637</v>
      </c>
      <c r="H3151" s="13"/>
      <c r="I3151" s="19" t="s">
        <v>7638</v>
      </c>
      <c r="J3151" s="25" t="e">
        <f>IF(shinsei_strtower24_STR_TOWER_NO="","",shinsei_strtower24_STR_TOWER_NO)</f>
        <v>#NAME?</v>
      </c>
      <c r="K3151" s="10" t="s">
        <v>3862</v>
      </c>
      <c r="L3151" s="10" t="s">
        <v>3879</v>
      </c>
    </row>
    <row r="3152" spans="1:12" s="166" customFormat="1" ht="18" customHeight="1">
      <c r="B3152" s="12" t="s">
        <v>3868</v>
      </c>
      <c r="I3152" s="9" t="s">
        <v>7639</v>
      </c>
      <c r="J3152" s="167" t="e">
        <f>CONCATENATE(cst_shinsei_strtower24_TOWER_NO," - ",cst_shinsei_strtower24_STR_TOWER_NO)</f>
        <v>#NAME?</v>
      </c>
    </row>
    <row r="3153" spans="1:12" s="166" customFormat="1" ht="18" customHeight="1">
      <c r="B3153" s="12" t="s">
        <v>3870</v>
      </c>
      <c r="I3153" s="9" t="s">
        <v>7640</v>
      </c>
      <c r="J3153" s="167" t="e">
        <f>CONCATENATE(cst_shinsei_strtower24_STR_TOWER_NO," ／ ",cst_shinsei_STR_SHINSEI_TOWERS)</f>
        <v>#NAME?</v>
      </c>
    </row>
    <row r="3154" spans="1:12" s="10" customFormat="1" ht="18" customHeight="1">
      <c r="A3154" s="12"/>
      <c r="B3154" s="12" t="s">
        <v>3872</v>
      </c>
      <c r="C3154" s="11"/>
      <c r="D3154" s="11"/>
      <c r="E3154" s="11"/>
      <c r="F3154" s="11"/>
      <c r="G3154" s="9" t="s">
        <v>7641</v>
      </c>
      <c r="H3154" s="13"/>
      <c r="I3154" s="9" t="s">
        <v>7642</v>
      </c>
      <c r="J3154" s="25" t="e">
        <f>IF(shinsei_strtower24_STR_TOWER_NAME="","",shinsei_strtower24_STR_TOWER_NAME)</f>
        <v>#NAME?</v>
      </c>
    </row>
    <row r="3155" spans="1:12" s="10" customFormat="1" ht="18" customHeight="1">
      <c r="A3155" s="12"/>
      <c r="B3155" s="12" t="s">
        <v>3875</v>
      </c>
      <c r="C3155" s="12"/>
      <c r="D3155" s="12"/>
      <c r="E3155" s="11"/>
      <c r="F3155" s="11"/>
      <c r="G3155" s="9" t="s">
        <v>7643</v>
      </c>
      <c r="H3155" s="20"/>
      <c r="I3155" s="20" t="s">
        <v>7644</v>
      </c>
      <c r="J3155" s="25" t="e">
        <f>IF(shinsei_strtower24_JUDGE="","",shinsei_strtower24_JUDGE)</f>
        <v>#NAME?</v>
      </c>
      <c r="K3155" s="10" t="s">
        <v>3878</v>
      </c>
      <c r="L3155" s="10" t="s">
        <v>3879</v>
      </c>
    </row>
    <row r="3156" spans="1:12" s="10" customFormat="1" ht="18" customHeight="1">
      <c r="A3156" s="12"/>
      <c r="B3156" s="12" t="s">
        <v>4441</v>
      </c>
      <c r="C3156" s="12"/>
      <c r="D3156" s="12"/>
      <c r="E3156" s="11"/>
      <c r="F3156" s="11"/>
      <c r="G3156" s="9" t="s">
        <v>7645</v>
      </c>
      <c r="H3156" s="13"/>
      <c r="I3156" s="9" t="s">
        <v>7646</v>
      </c>
      <c r="J3156" s="25" t="e">
        <f>IF(shinsei_strtower24_STR_TOWER_YOUTO_TEXT="","",shinsei_strtower24_STR_TOWER_YOUTO_TEXT)</f>
        <v>#NAME?</v>
      </c>
      <c r="K3156" s="10" t="s">
        <v>3862</v>
      </c>
      <c r="L3156" s="10" t="s">
        <v>3879</v>
      </c>
    </row>
    <row r="3157" spans="1:12" s="10" customFormat="1" ht="18" customHeight="1">
      <c r="A3157" s="12"/>
      <c r="B3157" s="12" t="s">
        <v>3790</v>
      </c>
      <c r="C3157" s="12"/>
      <c r="D3157" s="12"/>
      <c r="E3157" s="11"/>
      <c r="F3157" s="11"/>
      <c r="G3157" s="9" t="s">
        <v>7647</v>
      </c>
      <c r="H3157" s="13"/>
      <c r="I3157" s="9" t="s">
        <v>7648</v>
      </c>
      <c r="J3157" s="25" t="e">
        <f>IF(shinsei_strtower24_KOUJI_TEXT="","",shinsei_strtower24_KOUJI_TEXT)</f>
        <v>#NAME?</v>
      </c>
      <c r="K3157" s="10" t="s">
        <v>3862</v>
      </c>
      <c r="L3157" s="10" t="s">
        <v>3879</v>
      </c>
    </row>
    <row r="3158" spans="1:12" s="10" customFormat="1" ht="18" customHeight="1">
      <c r="A3158" s="12"/>
      <c r="B3158" s="12" t="s">
        <v>3888</v>
      </c>
      <c r="C3158" s="11"/>
      <c r="D3158" s="11"/>
      <c r="E3158" s="11"/>
      <c r="F3158" s="11"/>
      <c r="G3158" s="9" t="s">
        <v>7649</v>
      </c>
      <c r="H3158" s="13"/>
      <c r="I3158" s="9" t="s">
        <v>7650</v>
      </c>
      <c r="J3158" s="25" t="e">
        <f>IF(shinsei_strtower24_KOUZOU_TEXT="","",shinsei_strtower24_KOUZOU_TEXT)</f>
        <v>#NAME?</v>
      </c>
    </row>
    <row r="3159" spans="1:12" s="10" customFormat="1" ht="18" customHeight="1">
      <c r="A3159" s="12"/>
      <c r="B3159" s="12" t="s">
        <v>3888</v>
      </c>
      <c r="C3159" s="12"/>
      <c r="D3159" s="12"/>
      <c r="E3159" s="11"/>
      <c r="F3159" s="11"/>
      <c r="G3159" s="9" t="s">
        <v>7651</v>
      </c>
      <c r="H3159" s="13"/>
      <c r="I3159" s="9" t="s">
        <v>7652</v>
      </c>
      <c r="J3159" s="25" t="e">
        <f>IF(shinsei_strtower24_KOUZOU_TEXT="","",shinsei_strtower24_KOUZOU_TEXT)</f>
        <v>#NAME?</v>
      </c>
    </row>
    <row r="3160" spans="1:12" s="10" customFormat="1" ht="18" customHeight="1">
      <c r="A3160" s="12"/>
      <c r="B3160" s="12" t="s">
        <v>3893</v>
      </c>
      <c r="C3160" s="11"/>
      <c r="D3160" s="11"/>
      <c r="E3160" s="11"/>
      <c r="F3160" s="11"/>
      <c r="G3160" s="9" t="s">
        <v>7653</v>
      </c>
      <c r="H3160" s="13"/>
      <c r="I3160" s="9" t="s">
        <v>7654</v>
      </c>
      <c r="J3160" s="25" t="e">
        <f>IF(shinsei_strtower24_KOUZOU_KEISAN="","",shinsei_strtower24_KOUZOU_KEISAN)</f>
        <v>#NAME?</v>
      </c>
    </row>
    <row r="3161" spans="1:12" s="10" customFormat="1" ht="18" customHeight="1">
      <c r="A3161" s="12"/>
      <c r="B3161" s="12" t="s">
        <v>3893</v>
      </c>
      <c r="C3161" s="12"/>
      <c r="D3161" s="12"/>
      <c r="E3161" s="11"/>
      <c r="F3161" s="11"/>
      <c r="G3161" s="9" t="s">
        <v>7655</v>
      </c>
      <c r="H3161" s="13"/>
      <c r="I3161" s="10" t="s">
        <v>7656</v>
      </c>
      <c r="J3161" s="25" t="e">
        <f>IF(shinsei_strtower24_KOUZOU_KEISAN_TEXT="","",shinsei_strtower24_KOUZOU_KEISAN_TEXT)</f>
        <v>#NAME?</v>
      </c>
    </row>
    <row r="3162" spans="1:12" s="10" customFormat="1" ht="18" customHeight="1">
      <c r="A3162" s="12"/>
      <c r="B3162" s="12" t="s">
        <v>3902</v>
      </c>
      <c r="C3162" s="12"/>
      <c r="D3162" s="12"/>
      <c r="E3162" s="11"/>
      <c r="F3162" s="11"/>
      <c r="G3162" s="9" t="s">
        <v>7657</v>
      </c>
      <c r="H3162" s="65"/>
      <c r="I3162" s="19" t="s">
        <v>7658</v>
      </c>
      <c r="J3162" s="168" t="e">
        <f>IF(shinsei_strtower24_MENSEKI="","",shinsei_strtower24_MENSEKI)</f>
        <v>#NAME?</v>
      </c>
      <c r="K3162" s="10" t="s">
        <v>3906</v>
      </c>
      <c r="L3162" s="10" t="s">
        <v>3906</v>
      </c>
    </row>
    <row r="3163" spans="1:12" ht="18" customHeight="1">
      <c r="A3163" s="12"/>
      <c r="B3163" s="12"/>
      <c r="C3163" s="12"/>
      <c r="D3163" s="12"/>
      <c r="E3163" s="12" t="s">
        <v>3907</v>
      </c>
      <c r="F3163" s="12"/>
      <c r="G3163" s="9"/>
      <c r="H3163" s="9"/>
      <c r="I3163" s="9" t="s">
        <v>7659</v>
      </c>
      <c r="J3163" s="168" t="e">
        <f>IF(shinsei_strtower24_MENSEKI="","",TEXT(shinsei_strtower24_MENSEKI,"#,##0.00_ ")&amp;"㎡")</f>
        <v>#NAME?</v>
      </c>
    </row>
    <row r="3164" spans="1:12" s="10" customFormat="1" ht="18" customHeight="1">
      <c r="A3164" s="12"/>
      <c r="B3164" s="12" t="s">
        <v>4390</v>
      </c>
      <c r="C3164" s="12"/>
      <c r="D3164" s="12"/>
      <c r="E3164" s="11"/>
      <c r="F3164" s="11"/>
      <c r="G3164" s="9" t="s">
        <v>7660</v>
      </c>
      <c r="H3164" s="93"/>
      <c r="I3164" s="9" t="s">
        <v>7661</v>
      </c>
      <c r="J3164" s="170" t="e">
        <f>IF(shinsei_strtower24_MAX_TAKASA="","",shinsei_strtower24_MAX_TAKASA)</f>
        <v>#NAME?</v>
      </c>
      <c r="K3164" s="10" t="s">
        <v>3911</v>
      </c>
      <c r="L3164" s="10" t="s">
        <v>3911</v>
      </c>
    </row>
    <row r="3165" spans="1:12" s="10" customFormat="1" ht="18" customHeight="1">
      <c r="A3165" s="12"/>
      <c r="B3165" s="12" t="s">
        <v>4388</v>
      </c>
      <c r="C3165" s="11"/>
      <c r="D3165" s="11"/>
      <c r="E3165" s="11"/>
      <c r="F3165" s="11"/>
      <c r="G3165" s="9" t="s">
        <v>7662</v>
      </c>
      <c r="H3165" s="93"/>
      <c r="I3165" s="9" t="s">
        <v>7663</v>
      </c>
      <c r="J3165" s="170" t="e">
        <f>IF(shinsei_strtower24_MAX_NOKI_TAKASA="","",shinsei_strtower24_MAX_NOKI_TAKASA)</f>
        <v>#NAME?</v>
      </c>
    </row>
    <row r="3166" spans="1:12" s="10" customFormat="1" ht="18" customHeight="1">
      <c r="A3166" s="12"/>
      <c r="B3166" s="12" t="s">
        <v>3782</v>
      </c>
      <c r="C3166" s="12"/>
      <c r="D3166" s="12"/>
      <c r="E3166" s="11"/>
      <c r="F3166" s="11"/>
      <c r="G3166" s="9"/>
      <c r="H3166" s="9"/>
      <c r="I3166" s="9"/>
    </row>
    <row r="3167" spans="1:12" s="10" customFormat="1" ht="18" customHeight="1">
      <c r="A3167" s="12"/>
      <c r="B3167" s="12"/>
      <c r="C3167" s="11" t="s">
        <v>3783</v>
      </c>
      <c r="D3167" s="12"/>
      <c r="G3167" s="9" t="s">
        <v>7664</v>
      </c>
      <c r="H3167" s="136"/>
      <c r="I3167" s="9" t="s">
        <v>7665</v>
      </c>
      <c r="J3167" s="171" t="e">
        <f>IF(shinsei_strtower24_KAISU_TIJYOU="","",shinsei_strtower24_KAISU_TIJYOU)</f>
        <v>#NAME?</v>
      </c>
      <c r="K3167" s="10" t="s">
        <v>3916</v>
      </c>
      <c r="L3167" s="10" t="s">
        <v>3916</v>
      </c>
    </row>
    <row r="3168" spans="1:12" s="10" customFormat="1" ht="18" customHeight="1">
      <c r="A3168" s="12"/>
      <c r="B3168" s="12"/>
      <c r="C3168" s="11" t="s">
        <v>3785</v>
      </c>
      <c r="D3168" s="12"/>
      <c r="G3168" s="9" t="s">
        <v>7666</v>
      </c>
      <c r="H3168" s="136"/>
      <c r="I3168" s="9" t="s">
        <v>7667</v>
      </c>
      <c r="J3168" s="171" t="e">
        <f>IF(shinsei_strtower24_KAISU_TIKA="","",shinsei_strtower24_KAISU_TIKA)</f>
        <v>#NAME?</v>
      </c>
      <c r="K3168" s="10" t="s">
        <v>3916</v>
      </c>
      <c r="L3168" s="10" t="s">
        <v>3916</v>
      </c>
    </row>
    <row r="3169" spans="1:12" s="10" customFormat="1" ht="18" customHeight="1">
      <c r="A3169" s="12"/>
      <c r="B3169" s="12"/>
      <c r="C3169" s="11" t="s">
        <v>3787</v>
      </c>
      <c r="D3169" s="12"/>
      <c r="G3169" s="9" t="s">
        <v>7668</v>
      </c>
      <c r="H3169" s="136"/>
      <c r="I3169" s="9" t="s">
        <v>7669</v>
      </c>
      <c r="J3169" s="171" t="e">
        <f>IF(shinsei_strtower24_KAISU_TOUYA="","",shinsei_strtower24_KAISU_TOUYA)</f>
        <v>#NAME?</v>
      </c>
      <c r="K3169" s="10" t="s">
        <v>3916</v>
      </c>
      <c r="L3169" s="10" t="s">
        <v>3916</v>
      </c>
    </row>
    <row r="3170" spans="1:12" s="10" customFormat="1" ht="18" customHeight="1">
      <c r="B3170" s="12" t="s">
        <v>3923</v>
      </c>
      <c r="G3170" s="9" t="s">
        <v>7670</v>
      </c>
      <c r="H3170" s="13"/>
      <c r="I3170" s="10" t="s">
        <v>7671</v>
      </c>
      <c r="J3170" s="25" t="e">
        <f>IF(shinsei_strtower24_BUILD_KUBUN="","",shinsei_strtower24_BUILD_KUBUN)</f>
        <v>#NAME?</v>
      </c>
    </row>
    <row r="3171" spans="1:12" s="10" customFormat="1" ht="18" customHeight="1">
      <c r="B3171" s="12" t="s">
        <v>3923</v>
      </c>
      <c r="C3171" s="12"/>
      <c r="D3171" s="12"/>
      <c r="G3171" s="9" t="s">
        <v>7672</v>
      </c>
      <c r="H3171" s="13"/>
      <c r="I3171" s="10" t="s">
        <v>7673</v>
      </c>
      <c r="J3171" s="25" t="e">
        <f>IF(shinsei_strtower24_BUILD_KUBUN_TEXT="","",shinsei_strtower24_BUILD_KUBUN_TEXT)</f>
        <v>#NAME?</v>
      </c>
      <c r="K3171" s="10" t="s">
        <v>3862</v>
      </c>
    </row>
    <row r="3172" spans="1:12" s="10" customFormat="1" ht="18" customHeight="1">
      <c r="A3172" s="149"/>
      <c r="B3172" s="149"/>
      <c r="C3172" s="149" t="s">
        <v>3801</v>
      </c>
      <c r="D3172" s="149"/>
      <c r="E3172" s="149"/>
      <c r="F3172" s="149"/>
      <c r="G3172" s="149"/>
      <c r="H3172" s="12"/>
      <c r="I3172" s="149" t="s">
        <v>7674</v>
      </c>
      <c r="J3172" s="20" t="e">
        <f>IF(shinsei_strtower24_BUILD_KUBUN_TEXT="建築基準法第20条第２号に掲げる建築物","■","□")</f>
        <v>#NAME?</v>
      </c>
    </row>
    <row r="3173" spans="1:12" s="10" customFormat="1" ht="18" customHeight="1">
      <c r="A3173" s="149"/>
      <c r="B3173" s="149"/>
      <c r="C3173" s="149" t="s">
        <v>3801</v>
      </c>
      <c r="D3173" s="149"/>
      <c r="E3173" s="149"/>
      <c r="F3173" s="149"/>
      <c r="G3173" s="149"/>
      <c r="H3173" s="12"/>
      <c r="I3173" s="149" t="s">
        <v>7675</v>
      </c>
      <c r="J3173" s="20" t="e">
        <f>IF(shinsei_strtower24_BUILD_KUBUN_TEXT="建築基準法第20条第３号に掲げる建築物","■","□")</f>
        <v>#NAME?</v>
      </c>
    </row>
    <row r="3174" spans="1:12" s="10" customFormat="1" ht="18" customHeight="1">
      <c r="A3174" s="12"/>
      <c r="B3174" s="12" t="s">
        <v>3932</v>
      </c>
      <c r="C3174" s="12"/>
      <c r="D3174" s="12"/>
      <c r="E3174" s="11"/>
      <c r="F3174" s="11"/>
      <c r="G3174" s="9" t="s">
        <v>7676</v>
      </c>
      <c r="H3174" s="13"/>
      <c r="I3174" s="9" t="s">
        <v>7677</v>
      </c>
      <c r="J3174" s="25" t="e">
        <f>IF(shinsei_strtower24_MENJYO_TEXT="","",shinsei_strtower24_MENJYO_TEXT)</f>
        <v>#NAME?</v>
      </c>
      <c r="K3174" s="10" t="s">
        <v>3862</v>
      </c>
    </row>
    <row r="3175" spans="1:12" s="10" customFormat="1" ht="18" customHeight="1">
      <c r="A3175" s="12"/>
      <c r="B3175" s="12" t="s">
        <v>3935</v>
      </c>
      <c r="C3175" s="12"/>
      <c r="D3175" s="12"/>
      <c r="E3175" s="11"/>
      <c r="F3175" s="11"/>
      <c r="G3175" s="9" t="s">
        <v>7678</v>
      </c>
      <c r="H3175" s="20"/>
      <c r="I3175" s="9" t="s">
        <v>7679</v>
      </c>
      <c r="J3175" s="25" t="e">
        <f>IF(shinsei_strtower24_PROGRAM_KIND="","",shinsei_strtower24_PROGRAM_KIND)</f>
        <v>#NAME?</v>
      </c>
      <c r="K3175" s="10" t="s">
        <v>5704</v>
      </c>
    </row>
    <row r="3176" spans="1:12" s="10" customFormat="1" ht="18" customHeight="1">
      <c r="B3176" s="12" t="s">
        <v>3939</v>
      </c>
      <c r="C3176" s="12"/>
      <c r="D3176" s="12"/>
      <c r="G3176" s="9" t="s">
        <v>7680</v>
      </c>
      <c r="H3176" s="13"/>
      <c r="I3176" s="10" t="s">
        <v>7681</v>
      </c>
      <c r="J3176" s="25" t="e">
        <f>IF(shinsei_strtower24_REI80_2_KOKUJI_TEXT="","",shinsei_strtower24_REI80_2_KOKUJI_TEXT)</f>
        <v>#NAME?</v>
      </c>
    </row>
    <row r="3177" spans="1:12" s="10" customFormat="1" ht="18" customHeight="1">
      <c r="B3177" s="12" t="s">
        <v>3943</v>
      </c>
      <c r="C3177" s="12"/>
      <c r="D3177" s="12"/>
      <c r="G3177" s="9" t="s">
        <v>7682</v>
      </c>
      <c r="H3177" s="13"/>
      <c r="I3177" s="10" t="s">
        <v>7683</v>
      </c>
      <c r="J3177" s="25" t="e">
        <f>IF(shinsei_strtower24_PROGRAM_KIND__nintei__box="■",2,IF(OR(shinsei_strtower24_PROGRAM_KIND__hyouka__box="■",shinsei_strtower24_PROGRAM_KIND__sonota__box="■"),1,0))</f>
        <v>#NAME?</v>
      </c>
      <c r="K3177" s="10" t="s">
        <v>3946</v>
      </c>
    </row>
    <row r="3178" spans="1:12" s="10" customFormat="1" ht="18" customHeight="1">
      <c r="B3178" s="12" t="s">
        <v>3947</v>
      </c>
      <c r="C3178" s="12"/>
      <c r="D3178" s="12"/>
      <c r="G3178" s="9" t="s">
        <v>9055</v>
      </c>
      <c r="H3178" s="13"/>
    </row>
    <row r="3179" spans="1:12" s="10" customFormat="1" ht="18" customHeight="1">
      <c r="B3179" s="12" t="s">
        <v>4305</v>
      </c>
      <c r="C3179" s="12"/>
      <c r="D3179" s="12"/>
      <c r="G3179" s="9" t="s">
        <v>9056</v>
      </c>
      <c r="H3179" s="13"/>
    </row>
    <row r="3180" spans="1:12" s="10" customFormat="1" ht="18" customHeight="1">
      <c r="B3180" s="105" t="s">
        <v>3950</v>
      </c>
      <c r="C3180" s="105"/>
      <c r="D3180" s="105"/>
      <c r="E3180" s="24"/>
      <c r="F3180" s="24"/>
      <c r="G3180" s="9"/>
      <c r="H3180" s="12"/>
    </row>
    <row r="3181" spans="1:12" s="10" customFormat="1" ht="18" customHeight="1">
      <c r="C3181" s="10" t="s">
        <v>3951</v>
      </c>
      <c r="D3181" s="12"/>
      <c r="G3181" s="9" t="s">
        <v>9057</v>
      </c>
      <c r="H3181" s="13"/>
      <c r="K3181" s="10" t="s">
        <v>3862</v>
      </c>
      <c r="L3181" s="10" t="s">
        <v>3879</v>
      </c>
    </row>
    <row r="3182" spans="1:12" s="10" customFormat="1" ht="18" customHeight="1">
      <c r="C3182" s="12" t="s">
        <v>3954</v>
      </c>
      <c r="D3182" s="12"/>
      <c r="E3182" s="12"/>
      <c r="F3182" s="12"/>
      <c r="G3182" s="9" t="s">
        <v>9058</v>
      </c>
      <c r="H3182" s="13"/>
    </row>
    <row r="3183" spans="1:12" s="10" customFormat="1" ht="18" customHeight="1">
      <c r="C3183" s="12" t="s">
        <v>3957</v>
      </c>
      <c r="D3183" s="12"/>
      <c r="G3183" s="9"/>
      <c r="H3183" s="9"/>
      <c r="I3183" s="10" t="s">
        <v>9059</v>
      </c>
      <c r="J3183" s="25" t="e">
        <f>IF(shinsei_strtower24_prgo01_NAME="","",IF(shinsei_strtower24_prgo01_NINTEI_NO="","無","有"))</f>
        <v>#NAME?</v>
      </c>
      <c r="K3183" s="10" t="s">
        <v>3959</v>
      </c>
      <c r="L3183" s="10" t="s">
        <v>3879</v>
      </c>
    </row>
    <row r="3184" spans="1:12" s="10" customFormat="1" ht="18" customHeight="1">
      <c r="C3184" s="12" t="s">
        <v>3960</v>
      </c>
      <c r="D3184" s="12"/>
      <c r="G3184" s="9" t="s">
        <v>9060</v>
      </c>
      <c r="H3184" s="13"/>
      <c r="I3184" s="10" t="s">
        <v>9061</v>
      </c>
      <c r="J3184" s="25" t="e">
        <f>IF(shinsei_strtower24_prgo01_NINTEI_NO="","",shinsei_strtower24_prgo01_NINTEI_NO)</f>
        <v>#NAME?</v>
      </c>
      <c r="K3184" s="10" t="s">
        <v>3862</v>
      </c>
      <c r="L3184" s="10" t="s">
        <v>3879</v>
      </c>
    </row>
    <row r="3185" spans="2:12" s="10" customFormat="1" ht="18" customHeight="1">
      <c r="C3185" s="12" t="s">
        <v>3964</v>
      </c>
      <c r="D3185" s="12"/>
      <c r="G3185" s="9" t="s">
        <v>9062</v>
      </c>
      <c r="H3185" s="74"/>
      <c r="I3185" s="10" t="s">
        <v>9063</v>
      </c>
      <c r="J3185" s="25" t="e">
        <f>IF(shinsei_strtower24_prgo01_NINTEI_DATE="","",TEXT(shinsei_strtower24_prgo01_NINTEI_DATE,"ggge年m月d日")&amp;"  ")</f>
        <v>#NAME?</v>
      </c>
    </row>
    <row r="3186" spans="2:12" s="10" customFormat="1" ht="18" customHeight="1">
      <c r="C3186" s="12" t="s">
        <v>3967</v>
      </c>
      <c r="D3186" s="12"/>
      <c r="G3186" s="9" t="s">
        <v>9064</v>
      </c>
      <c r="H3186" s="13"/>
    </row>
    <row r="3187" spans="2:12" s="10" customFormat="1" ht="18" customHeight="1">
      <c r="C3187" s="12" t="s">
        <v>3970</v>
      </c>
      <c r="D3187" s="12"/>
      <c r="G3187" s="9"/>
      <c r="H3187" s="12"/>
      <c r="I3187" s="9" t="s">
        <v>9065</v>
      </c>
      <c r="J3187" s="25" t="e">
        <f>IF(shinsei_strtower24_prgo01_NAME="","",shinsei_strtower24_prgo01_NAME)&amp;CHAR(10)&amp;IF(shinsei_strtower24_prgo01_VER="","","Ver."&amp;shinsei_strtower24_prgo01_VER&amp;CHAR(10))</f>
        <v>#NAME?</v>
      </c>
    </row>
    <row r="3188" spans="2:12" s="10" customFormat="1" ht="18" customHeight="1">
      <c r="C3188" s="12" t="s">
        <v>3972</v>
      </c>
      <c r="D3188" s="12"/>
      <c r="G3188" s="9"/>
      <c r="H3188" s="12"/>
      <c r="I3188" s="9" t="s">
        <v>9066</v>
      </c>
      <c r="J3188" s="25" t="e">
        <f>IF(shinsei_strtower24_prgo01_NAME="","",shinsei_strtower24_prgo01_NAME&amp;" ")&amp;IF(shinsei_strtower24_prgo01_VER="","","Ver."&amp;shinsei_strtower24_prgo01_VER&amp;"  ")</f>
        <v>#NAME?</v>
      </c>
    </row>
    <row r="3189" spans="2:12" s="10" customFormat="1" ht="18" customHeight="1">
      <c r="C3189" s="12" t="s">
        <v>3974</v>
      </c>
      <c r="D3189" s="12"/>
      <c r="G3189" s="9"/>
      <c r="H3189" s="12"/>
    </row>
    <row r="3190" spans="2:12" s="10" customFormat="1" ht="18" customHeight="1">
      <c r="D3190" s="12" t="s">
        <v>3975</v>
      </c>
      <c r="G3190" s="9"/>
      <c r="H3190" s="12"/>
      <c r="I3190" s="9" t="s">
        <v>9067</v>
      </c>
      <c r="J3190" s="173" t="e">
        <f>IF(cst_shinsei_strtower24_prgo01_NINTEI__umu="有",IF(shinsei_strtower24_prgo01_MAKER_NAME="","",shinsei_strtower24_prgo01_MAKER_NAME&amp;"  "),"")</f>
        <v>#NAME?</v>
      </c>
    </row>
    <row r="3191" spans="2:12" s="10" customFormat="1" ht="18" customHeight="1">
      <c r="B3191" s="12"/>
      <c r="D3191" s="12" t="s">
        <v>3972</v>
      </c>
      <c r="G3191" s="9"/>
      <c r="H3191" s="12"/>
      <c r="I3191" s="9" t="s">
        <v>9068</v>
      </c>
      <c r="J3191" s="25" t="e">
        <f>IF(cst_shinsei_strtower24_prgo01_NINTEI__umu="有",IF(shinsei_strtower24_prgo01_NAME="","",shinsei_strtower24_prgo01_NAME&amp;" ")&amp;IF(shinsei_strtower24_prgo01_VER="","","Ver."&amp;shinsei_strtower24_prgo01_VER&amp;"  "),"")</f>
        <v>#NAME?</v>
      </c>
    </row>
    <row r="3192" spans="2:12" s="10" customFormat="1" ht="18" customHeight="1">
      <c r="C3192" s="12" t="s">
        <v>3981</v>
      </c>
      <c r="D3192" s="12"/>
      <c r="G3192" s="9"/>
      <c r="H3192" s="12"/>
    </row>
    <row r="3193" spans="2:12" s="10" customFormat="1" ht="18" customHeight="1">
      <c r="B3193" s="12"/>
      <c r="D3193" s="12" t="s">
        <v>3975</v>
      </c>
      <c r="G3193" s="9"/>
      <c r="H3193" s="12"/>
      <c r="I3193" s="9" t="s">
        <v>9069</v>
      </c>
      <c r="J3193" s="173" t="e">
        <f>IF(cst_shinsei_strtower24_prgo01_NINTEI__umu="無",IF(shinsei_strtower24_prgo01_MAKER_NAME="","",shinsei_strtower24_prgo01_MAKER_NAME&amp;"  "),"")</f>
        <v>#NAME?</v>
      </c>
    </row>
    <row r="3194" spans="2:12" s="10" customFormat="1" ht="18" customHeight="1">
      <c r="B3194" s="12"/>
      <c r="D3194" s="12" t="s">
        <v>3972</v>
      </c>
      <c r="G3194" s="9"/>
      <c r="H3194" s="12"/>
      <c r="I3194" s="9" t="s">
        <v>9070</v>
      </c>
      <c r="J3194" s="25" t="e">
        <f>IF(cst_shinsei_strtower24_prgo01_NINTEI__umu="無",IF(shinsei_strtower24_prgo01_NAME="","",shinsei_strtower24_prgo01_NAME&amp;" ")&amp;IF(shinsei_strtower24_prgo01_VER="","","Ver."&amp;shinsei_strtower24_prgo01_VER&amp;"  "),"")</f>
        <v>#NAME?</v>
      </c>
    </row>
    <row r="3195" spans="2:12" s="10" customFormat="1" ht="18" customHeight="1">
      <c r="B3195" s="105" t="s">
        <v>4000</v>
      </c>
      <c r="C3195" s="105"/>
      <c r="D3195" s="105"/>
      <c r="E3195" s="24"/>
      <c r="F3195" s="24"/>
      <c r="G3195" s="9"/>
      <c r="H3195" s="12"/>
    </row>
    <row r="3196" spans="2:12" s="10" customFormat="1" ht="18" customHeight="1">
      <c r="C3196" s="10" t="s">
        <v>3951</v>
      </c>
      <c r="D3196" s="12"/>
      <c r="G3196" s="9" t="s">
        <v>9071</v>
      </c>
      <c r="H3196" s="13"/>
      <c r="K3196" s="10" t="s">
        <v>3862</v>
      </c>
      <c r="L3196" s="10" t="s">
        <v>3879</v>
      </c>
    </row>
    <row r="3197" spans="2:12" s="10" customFormat="1" ht="18" customHeight="1">
      <c r="C3197" s="12" t="s">
        <v>3954</v>
      </c>
      <c r="D3197" s="12"/>
      <c r="G3197" s="9" t="s">
        <v>9072</v>
      </c>
      <c r="H3197" s="13"/>
    </row>
    <row r="3198" spans="2:12" s="10" customFormat="1" ht="18" customHeight="1">
      <c r="C3198" s="12" t="s">
        <v>3957</v>
      </c>
      <c r="D3198" s="12"/>
      <c r="G3198" s="9"/>
      <c r="H3198" s="9"/>
      <c r="I3198" s="10" t="s">
        <v>9073</v>
      </c>
      <c r="J3198" s="25" t="e">
        <f>IF(shinsei_strtower24_prgo02_NAME="","",IF(shinsei_strtower24_prgo02_NINTEI_NO="","無","有"))</f>
        <v>#NAME?</v>
      </c>
      <c r="L3198" s="10" t="s">
        <v>3879</v>
      </c>
    </row>
    <row r="3199" spans="2:12" s="10" customFormat="1" ht="18" customHeight="1">
      <c r="C3199" s="12" t="s">
        <v>3960</v>
      </c>
      <c r="D3199" s="12"/>
      <c r="G3199" s="9" t="s">
        <v>9074</v>
      </c>
      <c r="H3199" s="13"/>
      <c r="I3199" s="10" t="s">
        <v>9075</v>
      </c>
      <c r="J3199" s="25" t="e">
        <f>IF(shinsei_strtower24_prgo02_NINTEI_NO="","",shinsei_strtower24_prgo02_NINTEI_NO)</f>
        <v>#NAME?</v>
      </c>
      <c r="K3199" s="10" t="s">
        <v>3862</v>
      </c>
      <c r="L3199" s="10" t="s">
        <v>3879</v>
      </c>
    </row>
    <row r="3200" spans="2:12" s="10" customFormat="1" ht="18" customHeight="1">
      <c r="C3200" s="12" t="s">
        <v>3964</v>
      </c>
      <c r="D3200" s="12"/>
      <c r="G3200" s="9" t="s">
        <v>9076</v>
      </c>
      <c r="H3200" s="74"/>
      <c r="I3200" s="10" t="s">
        <v>9077</v>
      </c>
      <c r="J3200" s="25" t="e">
        <f>IF(shinsei_strtower24_prgo02_NINTEI_DATE="","",shinsei_strtower24_prgo02_NINTEI_DATE)</f>
        <v>#NAME?</v>
      </c>
    </row>
    <row r="3201" spans="2:12" s="10" customFormat="1" ht="18" customHeight="1">
      <c r="C3201" s="12" t="s">
        <v>3967</v>
      </c>
      <c r="D3201" s="12"/>
      <c r="G3201" s="9" t="s">
        <v>9078</v>
      </c>
      <c r="H3201" s="13"/>
    </row>
    <row r="3202" spans="2:12" s="10" customFormat="1" ht="18" customHeight="1">
      <c r="C3202" s="12" t="s">
        <v>3970</v>
      </c>
      <c r="D3202" s="12"/>
      <c r="G3202" s="9"/>
      <c r="H3202" s="12"/>
      <c r="I3202" s="9" t="s">
        <v>9079</v>
      </c>
      <c r="J3202" s="25" t="e">
        <f>IF(shinsei_strtower24_prgo02_NAME="","",shinsei_strtower24_prgo02_NAME)&amp;CHAR(10)&amp;IF(shinsei_strtower24_prgo02_VER="","","Ver."&amp;shinsei_strtower24_prgo02_VER&amp;CHAR(10))</f>
        <v>#NAME?</v>
      </c>
    </row>
    <row r="3203" spans="2:12" s="10" customFormat="1" ht="18" customHeight="1">
      <c r="C3203" s="12" t="s">
        <v>3972</v>
      </c>
      <c r="D3203" s="12"/>
      <c r="G3203" s="9"/>
      <c r="H3203" s="12"/>
      <c r="I3203" s="9" t="s">
        <v>9080</v>
      </c>
      <c r="J3203" s="25" t="e">
        <f>IF(shinsei_strtower24_prgo02_NAME="","",shinsei_strtower24_prgo02_NAME&amp;" ")&amp;IF(shinsei_strtower24_prgo02_VER="","","Ver."&amp;shinsei_strtower24_prgo02_VER&amp;"  ")</f>
        <v>#NAME?</v>
      </c>
    </row>
    <row r="3204" spans="2:12" s="10" customFormat="1" ht="18" customHeight="1">
      <c r="C3204" s="12" t="s">
        <v>3974</v>
      </c>
      <c r="D3204" s="12"/>
      <c r="G3204" s="9"/>
      <c r="H3204" s="12"/>
    </row>
    <row r="3205" spans="2:12" s="10" customFormat="1" ht="18" customHeight="1">
      <c r="D3205" s="12" t="s">
        <v>3975</v>
      </c>
      <c r="G3205" s="9"/>
      <c r="H3205" s="12"/>
      <c r="I3205" s="9" t="s">
        <v>9081</v>
      </c>
      <c r="J3205" s="173" t="e">
        <f>IF(cst_shinsei_strtower24_prgo02_NINTEI__umu="有",IF(shinsei_strtower24_prgo02_MAKER_NAME="","",shinsei_strtower24_prgo02_MAKER_NAME&amp;"  "),"")</f>
        <v>#NAME?</v>
      </c>
    </row>
    <row r="3206" spans="2:12" s="10" customFormat="1" ht="18" customHeight="1">
      <c r="D3206" s="12" t="s">
        <v>3972</v>
      </c>
      <c r="G3206" s="9"/>
      <c r="H3206" s="12"/>
      <c r="I3206" s="9" t="s">
        <v>9082</v>
      </c>
      <c r="J3206" s="25" t="e">
        <f>IF(cst_shinsei_strtower24_prgo02_NINTEI__umu="有",IF(shinsei_strtower24_prgo02_NAME="","",shinsei_strtower24_prgo02_NAME&amp;" ")&amp;IF(shinsei_strtower24_prgo02_VER="","","Ver."&amp;shinsei_strtower24_prgo02_VER&amp;"  "),"")</f>
        <v>#NAME?</v>
      </c>
    </row>
    <row r="3207" spans="2:12" s="10" customFormat="1" ht="18" customHeight="1">
      <c r="C3207" s="12" t="s">
        <v>3981</v>
      </c>
      <c r="D3207" s="12"/>
      <c r="G3207" s="9"/>
      <c r="H3207" s="12"/>
    </row>
    <row r="3208" spans="2:12" s="10" customFormat="1" ht="18" customHeight="1">
      <c r="D3208" s="12" t="s">
        <v>3975</v>
      </c>
      <c r="G3208" s="9"/>
      <c r="H3208" s="12"/>
      <c r="I3208" s="9" t="s">
        <v>9083</v>
      </c>
      <c r="J3208" s="173" t="e">
        <f>IF(cst_shinsei_strtower24_prgo02_NINTEI__umu="無",IF(shinsei_strtower24_prgo02_MAKER_NAME="","",shinsei_strtower24_prgo02_MAKER_NAME&amp;"  "),"")</f>
        <v>#NAME?</v>
      </c>
    </row>
    <row r="3209" spans="2:12" s="10" customFormat="1" ht="18" customHeight="1">
      <c r="D3209" s="12" t="s">
        <v>3972</v>
      </c>
      <c r="G3209" s="9"/>
      <c r="H3209" s="12"/>
      <c r="I3209" s="9" t="s">
        <v>9084</v>
      </c>
      <c r="J3209" s="25" t="e">
        <f>IF(cst_shinsei_strtower24_prgo02_NINTEI__umu="無",IF(shinsei_strtower24_prgo02_NAME="","",shinsei_strtower24_prgo02_NAME&amp;" ")&amp;IF(shinsei_strtower24_prgo02_VER="","","Ver."&amp;shinsei_strtower24_prgo02_VER&amp;"  "),"")</f>
        <v>#NAME?</v>
      </c>
    </row>
    <row r="3210" spans="2:12" s="10" customFormat="1" ht="18" customHeight="1">
      <c r="B3210" s="105" t="s">
        <v>4016</v>
      </c>
      <c r="C3210" s="105"/>
      <c r="D3210" s="105"/>
      <c r="E3210" s="24"/>
      <c r="F3210" s="24"/>
      <c r="G3210" s="9"/>
      <c r="H3210" s="12"/>
    </row>
    <row r="3211" spans="2:12" s="10" customFormat="1" ht="18" customHeight="1">
      <c r="C3211" s="10" t="s">
        <v>3951</v>
      </c>
      <c r="D3211" s="12"/>
      <c r="G3211" s="9" t="s">
        <v>9085</v>
      </c>
      <c r="H3211" s="13"/>
    </row>
    <row r="3212" spans="2:12" s="10" customFormat="1" ht="18" customHeight="1">
      <c r="C3212" s="12" t="s">
        <v>3954</v>
      </c>
      <c r="D3212" s="12"/>
      <c r="G3212" s="9" t="s">
        <v>9086</v>
      </c>
      <c r="H3212" s="13"/>
    </row>
    <row r="3213" spans="2:12" s="10" customFormat="1" ht="18" customHeight="1">
      <c r="C3213" s="12" t="s">
        <v>3957</v>
      </c>
      <c r="D3213" s="12"/>
      <c r="G3213" s="9"/>
      <c r="H3213" s="9"/>
      <c r="I3213" s="10" t="s">
        <v>9087</v>
      </c>
      <c r="J3213" s="25" t="e">
        <f>IF(shinsei_strtower24_prgo03_NAME="","",IF(shinsei_strtower24_prgo03_NINTEI_NO="","無","有"))</f>
        <v>#NAME?</v>
      </c>
      <c r="K3213" s="10" t="s">
        <v>2941</v>
      </c>
      <c r="L3213" s="10" t="s">
        <v>3879</v>
      </c>
    </row>
    <row r="3214" spans="2:12" s="10" customFormat="1" ht="18" customHeight="1">
      <c r="C3214" s="12" t="s">
        <v>3960</v>
      </c>
      <c r="D3214" s="12"/>
      <c r="G3214" s="9" t="s">
        <v>9088</v>
      </c>
      <c r="H3214" s="13"/>
      <c r="K3214" s="10" t="s">
        <v>3862</v>
      </c>
      <c r="L3214" s="10" t="s">
        <v>3879</v>
      </c>
    </row>
    <row r="3215" spans="2:12" s="10" customFormat="1" ht="18" customHeight="1">
      <c r="C3215" s="12" t="s">
        <v>3964</v>
      </c>
      <c r="D3215" s="12"/>
      <c r="G3215" s="9" t="s">
        <v>9089</v>
      </c>
      <c r="H3215" s="74"/>
      <c r="I3215" s="10" t="s">
        <v>9090</v>
      </c>
      <c r="J3215" s="25" t="e">
        <f>IF(shinsei_strtower24_prgo03_NINTEI_DATE="","",TEXT(shinsei_strtower24_prgo03_NINTEI_DATE,"ggge年m月d日")&amp;"  ")</f>
        <v>#NAME?</v>
      </c>
    </row>
    <row r="3216" spans="2:12" s="10" customFormat="1" ht="18" customHeight="1">
      <c r="C3216" s="12" t="s">
        <v>3967</v>
      </c>
      <c r="D3216" s="12"/>
      <c r="G3216" s="9" t="s">
        <v>9091</v>
      </c>
      <c r="H3216" s="13"/>
      <c r="I3216" s="9"/>
      <c r="J3216" s="9"/>
    </row>
    <row r="3217" spans="2:12" s="10" customFormat="1" ht="18" customHeight="1">
      <c r="C3217" s="12" t="s">
        <v>3970</v>
      </c>
      <c r="D3217" s="12"/>
      <c r="G3217" s="9"/>
      <c r="H3217" s="12"/>
      <c r="I3217" s="9" t="s">
        <v>9092</v>
      </c>
      <c r="J3217" s="25" t="e">
        <f>IF(shinsei_strtower24_prgo03_NAME="","",shinsei_strtower24_prgo03_NAME)&amp;CHAR(10)&amp;IF(shinsei_strtower24_prgo03_VER="","","Ver."&amp;shinsei_strtower24_prgo03_VER&amp;CHAR(10))</f>
        <v>#NAME?</v>
      </c>
    </row>
    <row r="3218" spans="2:12" s="10" customFormat="1" ht="18" customHeight="1">
      <c r="C3218" s="12" t="s">
        <v>3972</v>
      </c>
      <c r="D3218" s="12"/>
      <c r="G3218" s="9"/>
      <c r="H3218" s="12"/>
      <c r="I3218" s="9" t="s">
        <v>9093</v>
      </c>
      <c r="J3218" s="25" t="e">
        <f>IF(shinsei_strtower24_prgo03_NAME="","",shinsei_strtower24_prgo03_NAME&amp;" ")&amp;IF(shinsei_strtower24_prgo03_VER="","","Ver."&amp;shinsei_strtower24_prgo03_VER&amp;"  ")</f>
        <v>#NAME?</v>
      </c>
    </row>
    <row r="3219" spans="2:12" s="10" customFormat="1" ht="18" customHeight="1">
      <c r="C3219" s="12" t="s">
        <v>3974</v>
      </c>
      <c r="D3219" s="12"/>
      <c r="G3219" s="9"/>
      <c r="H3219" s="12"/>
    </row>
    <row r="3220" spans="2:12" s="10" customFormat="1" ht="18" customHeight="1">
      <c r="D3220" s="12" t="s">
        <v>3975</v>
      </c>
      <c r="G3220" s="9"/>
      <c r="H3220" s="12"/>
      <c r="I3220" s="9" t="s">
        <v>9094</v>
      </c>
      <c r="J3220" s="173" t="e">
        <f>IF(cst_shinsei_strtower24_prgo03_NINTEI__umu="有",IF(shinsei_strtower24_prgo03_MAKER_NAME="","",shinsei_strtower24_prgo03_MAKER_NAME&amp;"  "),"")</f>
        <v>#NAME?</v>
      </c>
    </row>
    <row r="3221" spans="2:12" s="10" customFormat="1" ht="18" customHeight="1">
      <c r="D3221" s="12" t="s">
        <v>3972</v>
      </c>
      <c r="G3221" s="9"/>
      <c r="H3221" s="12"/>
      <c r="I3221" s="9" t="s">
        <v>9095</v>
      </c>
      <c r="J3221" s="25" t="e">
        <f>IF(cst_shinsei_strtower24_prgo03_NINTEI__umu="有",IF(shinsei_strtower24_prgo03_NAME="","",shinsei_strtower24_prgo03_NAME&amp;" ")&amp;IF(shinsei_strtower24_prgo03_VER="","","Ver."&amp;shinsei_strtower24_prgo03_VER&amp;"  "),"")</f>
        <v>#NAME?</v>
      </c>
    </row>
    <row r="3222" spans="2:12" s="10" customFormat="1" ht="18" customHeight="1">
      <c r="C3222" s="12" t="s">
        <v>3981</v>
      </c>
      <c r="D3222" s="12"/>
      <c r="G3222" s="9"/>
      <c r="H3222" s="12"/>
    </row>
    <row r="3223" spans="2:12" s="10" customFormat="1" ht="18" customHeight="1">
      <c r="D3223" s="12" t="s">
        <v>3975</v>
      </c>
      <c r="G3223" s="9"/>
      <c r="H3223" s="12"/>
      <c r="I3223" s="9" t="s">
        <v>9096</v>
      </c>
      <c r="J3223" s="173" t="e">
        <f>IF(cst_shinsei_strtower24_prgo03_NINTEI__umu="無",IF(shinsei_strtower24_prgo03_MAKER_NAME="","",shinsei_strtower24_prgo03_MAKER_NAME&amp;"  "),"")</f>
        <v>#NAME?</v>
      </c>
    </row>
    <row r="3224" spans="2:12" s="10" customFormat="1" ht="18" customHeight="1">
      <c r="D3224" s="12" t="s">
        <v>3972</v>
      </c>
      <c r="G3224" s="9"/>
      <c r="H3224" s="12"/>
      <c r="I3224" s="9" t="s">
        <v>9097</v>
      </c>
      <c r="J3224" s="25" t="e">
        <f>IF(cst_shinsei_strtower24_prgo03_NINTEI__umu="無",IF(shinsei_strtower24_prgo03_NAME="","",shinsei_strtower24_prgo03_NAME&amp;" ")&amp;IF(shinsei_strtower24_prgo03_VER="","","Ver."&amp;shinsei_strtower24_prgo03_VER&amp;"  "),"")</f>
        <v>#NAME?</v>
      </c>
    </row>
    <row r="3225" spans="2:12" s="10" customFormat="1" ht="18" customHeight="1">
      <c r="B3225" s="105" t="s">
        <v>4031</v>
      </c>
      <c r="C3225" s="105"/>
      <c r="D3225" s="105"/>
      <c r="E3225" s="24"/>
      <c r="F3225" s="24"/>
      <c r="G3225" s="9"/>
      <c r="H3225" s="12"/>
    </row>
    <row r="3226" spans="2:12" s="10" customFormat="1" ht="18" customHeight="1">
      <c r="C3226" s="10" t="s">
        <v>3951</v>
      </c>
      <c r="D3226" s="12"/>
      <c r="G3226" s="9" t="s">
        <v>9098</v>
      </c>
      <c r="H3226" s="13"/>
    </row>
    <row r="3227" spans="2:12" s="10" customFormat="1" ht="18" customHeight="1">
      <c r="C3227" s="12" t="s">
        <v>3954</v>
      </c>
      <c r="D3227" s="12"/>
      <c r="G3227" s="9" t="s">
        <v>9099</v>
      </c>
      <c r="H3227" s="13"/>
    </row>
    <row r="3228" spans="2:12" s="10" customFormat="1" ht="18" customHeight="1">
      <c r="C3228" s="12" t="s">
        <v>3957</v>
      </c>
      <c r="D3228" s="12"/>
      <c r="G3228" s="9"/>
      <c r="H3228" s="9"/>
      <c r="I3228" s="10" t="s">
        <v>9100</v>
      </c>
      <c r="J3228" s="25" t="e">
        <f>IF(shinsei_strtower24_prgo04_NAME="","",IF(shinsei_strtower24_prgo04_NINTEI_NO="","無","有"))</f>
        <v>#NAME?</v>
      </c>
      <c r="K3228" s="10" t="s">
        <v>2941</v>
      </c>
      <c r="L3228" s="10" t="s">
        <v>3879</v>
      </c>
    </row>
    <row r="3229" spans="2:12" s="10" customFormat="1" ht="18" customHeight="1">
      <c r="C3229" s="12" t="s">
        <v>3960</v>
      </c>
      <c r="D3229" s="12"/>
      <c r="G3229" s="9" t="s">
        <v>9101</v>
      </c>
      <c r="H3229" s="13"/>
      <c r="K3229" s="10" t="s">
        <v>3862</v>
      </c>
      <c r="L3229" s="10" t="s">
        <v>3879</v>
      </c>
    </row>
    <row r="3230" spans="2:12" s="10" customFormat="1" ht="18" customHeight="1">
      <c r="C3230" s="12" t="s">
        <v>3964</v>
      </c>
      <c r="D3230" s="12"/>
      <c r="G3230" s="9" t="s">
        <v>9102</v>
      </c>
      <c r="H3230" s="74"/>
      <c r="I3230" s="10" t="s">
        <v>9103</v>
      </c>
      <c r="J3230" s="25" t="e">
        <f>IF(shinsei_strtower24_prgo04_NINTEI_DATE="","",TEXT(shinsei_strtower24_prgo04_NINTEI_DATE,"ggge年m月d日")&amp;"  ")</f>
        <v>#NAME?</v>
      </c>
    </row>
    <row r="3231" spans="2:12" s="10" customFormat="1" ht="18" customHeight="1">
      <c r="C3231" s="12" t="s">
        <v>3967</v>
      </c>
      <c r="D3231" s="12"/>
      <c r="G3231" s="9" t="s">
        <v>9104</v>
      </c>
      <c r="H3231" s="13"/>
      <c r="I3231" s="9" t="s">
        <v>9105</v>
      </c>
      <c r="J3231" s="20" t="e">
        <f>IF(shinsei_strtower24_prgo04_MAKER_NAME="","",shinsei_strtower24_prgo04_MAKER_NAME)</f>
        <v>#NAME?</v>
      </c>
    </row>
    <row r="3232" spans="2:12" s="10" customFormat="1" ht="18" customHeight="1">
      <c r="C3232" s="12" t="s">
        <v>3970</v>
      </c>
      <c r="D3232" s="12"/>
      <c r="G3232" s="9"/>
      <c r="H3232" s="12"/>
      <c r="I3232" s="9" t="s">
        <v>9106</v>
      </c>
      <c r="J3232" s="25" t="e">
        <f>IF(shinsei_strtower24_prgo04_NAME="","",shinsei_strtower24_prgo04_NAME)&amp;CHAR(10)&amp;IF(shinsei_strtower24_prgo04_VER="","","Ver."&amp;shinsei_strtower24_prgo04_VER&amp;CHAR(10))</f>
        <v>#NAME?</v>
      </c>
    </row>
    <row r="3233" spans="2:12" s="10" customFormat="1" ht="18" customHeight="1">
      <c r="C3233" s="12" t="s">
        <v>3972</v>
      </c>
      <c r="D3233" s="12"/>
      <c r="G3233" s="9"/>
      <c r="H3233" s="12"/>
      <c r="I3233" s="9" t="s">
        <v>9107</v>
      </c>
      <c r="J3233" s="25" t="e">
        <f>IF(shinsei_strtower24_prgo04_NAME="","",shinsei_strtower24_prgo04_NAME&amp;" ")&amp;IF(shinsei_strtower24_prgo04_VER="","","Ver."&amp;shinsei_strtower24_prgo04_VER&amp;"  ")</f>
        <v>#NAME?</v>
      </c>
    </row>
    <row r="3234" spans="2:12" s="10" customFormat="1" ht="18" customHeight="1">
      <c r="C3234" s="12" t="s">
        <v>3974</v>
      </c>
      <c r="D3234" s="12"/>
      <c r="G3234" s="9"/>
      <c r="H3234" s="12"/>
    </row>
    <row r="3235" spans="2:12" s="10" customFormat="1" ht="18" customHeight="1">
      <c r="D3235" s="12" t="s">
        <v>3975</v>
      </c>
      <c r="G3235" s="9"/>
      <c r="H3235" s="12"/>
      <c r="I3235" s="9" t="s">
        <v>9108</v>
      </c>
      <c r="J3235" s="173" t="e">
        <f>IF(cst_shinsei_strtower24_prgo04_NINTEI__umu="有",IF(shinsei_strtower24_prgo04_MAKER_NAME="","",shinsei_strtower24_prgo04_MAKER_NAME&amp;"  "),"")</f>
        <v>#NAME?</v>
      </c>
    </row>
    <row r="3236" spans="2:12" s="10" customFormat="1" ht="18" customHeight="1">
      <c r="D3236" s="12" t="s">
        <v>3972</v>
      </c>
      <c r="G3236" s="9"/>
      <c r="H3236" s="12"/>
      <c r="I3236" s="9" t="s">
        <v>9109</v>
      </c>
      <c r="J3236" s="25" t="e">
        <f>IF(cst_shinsei_strtower24_prgo04_NINTEI__umu="有",IF(shinsei_strtower24_prgo04_NAME="","",shinsei_strtower24_prgo04_NAME&amp;" ")&amp;IF(shinsei_strtower24_prgo04_VER="","","Ver."&amp;shinsei_strtower24_prgo04_VER&amp;"  "),"")</f>
        <v>#NAME?</v>
      </c>
    </row>
    <row r="3237" spans="2:12" s="10" customFormat="1" ht="18" customHeight="1">
      <c r="C3237" s="12" t="s">
        <v>3981</v>
      </c>
      <c r="D3237" s="12"/>
      <c r="G3237" s="9"/>
      <c r="H3237" s="12"/>
    </row>
    <row r="3238" spans="2:12" s="10" customFormat="1" ht="18" customHeight="1">
      <c r="D3238" s="12" t="s">
        <v>3975</v>
      </c>
      <c r="G3238" s="9"/>
      <c r="H3238" s="12"/>
      <c r="I3238" s="9" t="s">
        <v>9110</v>
      </c>
      <c r="J3238" s="173" t="e">
        <f>IF(cst_shinsei_strtower24_prgo04_NINTEI__umu="無",IF(shinsei_strtower24_prgo04_MAKER_NAME="","",shinsei_strtower24_prgo04_MAKER_NAME&amp;"  "),"")</f>
        <v>#NAME?</v>
      </c>
    </row>
    <row r="3239" spans="2:12" s="10" customFormat="1" ht="18" customHeight="1">
      <c r="D3239" s="12" t="s">
        <v>3972</v>
      </c>
      <c r="G3239" s="9"/>
      <c r="H3239" s="12"/>
      <c r="I3239" s="9" t="s">
        <v>9111</v>
      </c>
      <c r="J3239" s="25" t="e">
        <f>IF(cst_shinsei_strtower24_prgo04_NINTEI__umu="無",IF(shinsei_strtower24_prgo04_NAME="","",shinsei_strtower24_prgo04_NAME&amp;" ")&amp;IF(shinsei_strtower24_prgo04_VER="","","Ver."&amp;shinsei_strtower24_prgo04_VER&amp;"  "),"")</f>
        <v>#NAME?</v>
      </c>
    </row>
    <row r="3240" spans="2:12" s="10" customFormat="1" ht="18" customHeight="1">
      <c r="B3240" s="105" t="s">
        <v>4049</v>
      </c>
      <c r="C3240" s="105"/>
      <c r="D3240" s="105"/>
      <c r="E3240" s="24"/>
      <c r="F3240" s="24"/>
      <c r="G3240" s="9"/>
      <c r="H3240" s="12"/>
    </row>
    <row r="3241" spans="2:12" s="10" customFormat="1" ht="18" customHeight="1">
      <c r="C3241" s="10" t="s">
        <v>3951</v>
      </c>
      <c r="D3241" s="12"/>
      <c r="G3241" s="9" t="s">
        <v>9112</v>
      </c>
      <c r="H3241" s="13"/>
    </row>
    <row r="3242" spans="2:12" s="10" customFormat="1" ht="18" customHeight="1">
      <c r="C3242" s="12" t="s">
        <v>3954</v>
      </c>
      <c r="D3242" s="12"/>
      <c r="G3242" s="9" t="s">
        <v>9113</v>
      </c>
      <c r="H3242" s="13"/>
    </row>
    <row r="3243" spans="2:12" s="10" customFormat="1" ht="18" customHeight="1">
      <c r="C3243" s="12" t="s">
        <v>3957</v>
      </c>
      <c r="D3243" s="12"/>
      <c r="G3243" s="9"/>
      <c r="H3243" s="9"/>
      <c r="I3243" s="10" t="s">
        <v>9114</v>
      </c>
      <c r="J3243" s="25" t="e">
        <f>IF(shinsei_strtower24_prgo05_NAME="","",IF(shinsei_strtower24_prgo05_NINTEI_NO="","無","有"))</f>
        <v>#NAME?</v>
      </c>
      <c r="K3243" s="10" t="s">
        <v>2941</v>
      </c>
      <c r="L3243" s="10" t="s">
        <v>3879</v>
      </c>
    </row>
    <row r="3244" spans="2:12" s="10" customFormat="1" ht="18" customHeight="1">
      <c r="C3244" s="12" t="s">
        <v>3960</v>
      </c>
      <c r="D3244" s="12"/>
      <c r="G3244" s="9" t="s">
        <v>9115</v>
      </c>
      <c r="H3244" s="13"/>
      <c r="K3244" s="10" t="s">
        <v>3862</v>
      </c>
      <c r="L3244" s="10" t="s">
        <v>3879</v>
      </c>
    </row>
    <row r="3245" spans="2:12" s="10" customFormat="1" ht="18" customHeight="1">
      <c r="C3245" s="12" t="s">
        <v>3964</v>
      </c>
      <c r="D3245" s="12"/>
      <c r="G3245" s="9" t="s">
        <v>9116</v>
      </c>
      <c r="H3245" s="74"/>
      <c r="I3245" s="10" t="s">
        <v>9117</v>
      </c>
      <c r="J3245" s="25" t="e">
        <f>IF(shinsei_strtower24_prgo05_NINTEI_DATE="","",TEXT(shinsei_strtower24_prgo05_NINTEI_DATE,"ggge年m月d日")&amp;"  ")</f>
        <v>#NAME?</v>
      </c>
    </row>
    <row r="3246" spans="2:12" s="10" customFormat="1" ht="18" customHeight="1">
      <c r="C3246" s="12" t="s">
        <v>3967</v>
      </c>
      <c r="D3246" s="12"/>
      <c r="G3246" s="9" t="s">
        <v>9118</v>
      </c>
      <c r="H3246" s="13"/>
    </row>
    <row r="3247" spans="2:12" s="10" customFormat="1" ht="18" customHeight="1">
      <c r="C3247" s="12" t="s">
        <v>3970</v>
      </c>
      <c r="D3247" s="12"/>
      <c r="G3247" s="9"/>
      <c r="H3247" s="12"/>
      <c r="I3247" s="9" t="s">
        <v>9119</v>
      </c>
      <c r="J3247" s="25" t="e">
        <f>IF(shinsei_strtower24_prgo05_NAME="","",shinsei_strtower24_prgo05_NAME)&amp;CHAR(10)&amp;IF(shinsei_strtower24_prgo05_VER="","","Ver."&amp;shinsei_strtower24_prgo05_VER&amp;CHAR(10))</f>
        <v>#NAME?</v>
      </c>
    </row>
    <row r="3248" spans="2:12" s="10" customFormat="1" ht="18" customHeight="1">
      <c r="C3248" s="12" t="s">
        <v>3972</v>
      </c>
      <c r="D3248" s="12"/>
      <c r="G3248" s="9"/>
      <c r="H3248" s="12"/>
      <c r="I3248" s="9" t="s">
        <v>9120</v>
      </c>
      <c r="J3248" s="25" t="e">
        <f>IF(shinsei_strtower24_prgo05_NAME="","",shinsei_strtower24_prgo05_NAME&amp;" ")&amp;IF(shinsei_strtower25_prgo04_VER="","","Ver."&amp;shinsei_strtower25_prgo04_VER&amp;"  ")</f>
        <v>#NAME?</v>
      </c>
    </row>
    <row r="3249" spans="2:10" s="10" customFormat="1" ht="18" customHeight="1">
      <c r="C3249" s="12" t="s">
        <v>3974</v>
      </c>
      <c r="D3249" s="12"/>
      <c r="G3249" s="9"/>
      <c r="H3249" s="12"/>
    </row>
    <row r="3250" spans="2:10" s="10" customFormat="1" ht="18" customHeight="1">
      <c r="D3250" s="12" t="s">
        <v>3975</v>
      </c>
      <c r="G3250" s="9"/>
      <c r="H3250" s="12"/>
      <c r="I3250" s="9" t="s">
        <v>9121</v>
      </c>
      <c r="J3250" s="173" t="e">
        <f>IF(cst_shinsei_strtower24_prgo05_NINTEI__umu="有",IF(shinsei_strtower24_prgo05_MAKER_NAME="","",shinsei_strtower24_prgo05_MAKER_NAME&amp;"  "),"")</f>
        <v>#NAME?</v>
      </c>
    </row>
    <row r="3251" spans="2:10" s="10" customFormat="1" ht="18" customHeight="1">
      <c r="D3251" s="12" t="s">
        <v>3972</v>
      </c>
      <c r="G3251" s="9"/>
      <c r="H3251" s="12"/>
      <c r="I3251" s="9" t="s">
        <v>9122</v>
      </c>
      <c r="J3251" s="25" t="e">
        <f>IF(cst_shinsei_strtower24_prgo05_NINTEI__umu="有",IF(shinsei_strtower24_prgo05_NAME="","",shinsei_strtower24_prgo05_NAME&amp;" ")&amp;IF(shinsei_strtower24_prgo05_VER="","","Ver."&amp;shinsei_strtower24_prgo05_VER&amp;"  "),"")</f>
        <v>#NAME?</v>
      </c>
    </row>
    <row r="3252" spans="2:10" s="10" customFormat="1" ht="18" customHeight="1">
      <c r="C3252" s="12" t="s">
        <v>3981</v>
      </c>
      <c r="D3252" s="12"/>
      <c r="G3252" s="9"/>
      <c r="H3252" s="12"/>
    </row>
    <row r="3253" spans="2:10" s="10" customFormat="1" ht="18" customHeight="1">
      <c r="D3253" s="12" t="s">
        <v>3975</v>
      </c>
      <c r="G3253" s="9"/>
      <c r="H3253" s="12"/>
      <c r="I3253" s="9" t="s">
        <v>9123</v>
      </c>
      <c r="J3253" s="173" t="e">
        <f>IF(cst_shinsei_strtower24_prgo05_NINTEI__umu="無",IF(shinsei_strtower24_prgo05_MAKER_NAME="","",shinsei_strtower24_prgo05_MAKER_NAME&amp;"  "),"")</f>
        <v>#NAME?</v>
      </c>
    </row>
    <row r="3254" spans="2:10" s="10" customFormat="1" ht="18" customHeight="1">
      <c r="D3254" s="12" t="s">
        <v>3972</v>
      </c>
      <c r="G3254" s="9"/>
      <c r="H3254" s="12"/>
      <c r="I3254" s="9" t="s">
        <v>9124</v>
      </c>
      <c r="J3254" s="25" t="e">
        <f>IF(cst_shinsei_strtower24_prgo05_NINTEI__umu="無",IF(shinsei_strtower24_prgo05_NAME="","",shinsei_strtower24_prgo05_NAME&amp;" ")&amp;IF(shinsei_strtower24_prgo05_VER="","","Ver."&amp;shinsei_strtower24_prgo05_VER&amp;"  "),"")</f>
        <v>#NAME?</v>
      </c>
    </row>
    <row r="3255" spans="2:10" s="10" customFormat="1" ht="18" customHeight="1">
      <c r="B3255" s="13" t="s">
        <v>3827</v>
      </c>
      <c r="C3255" s="13"/>
      <c r="D3255" s="13"/>
      <c r="E3255" s="25"/>
      <c r="F3255" s="25"/>
      <c r="G3255" s="9"/>
      <c r="H3255" s="80"/>
      <c r="I3255" s="9"/>
      <c r="J3255" s="80"/>
    </row>
    <row r="3256" spans="2:10" s="10" customFormat="1" ht="18" customHeight="1">
      <c r="C3256" s="12" t="s">
        <v>3970</v>
      </c>
      <c r="D3256" s="12"/>
      <c r="G3256" s="9"/>
      <c r="H3256" s="80"/>
      <c r="I3256" s="166" t="s">
        <v>9125</v>
      </c>
      <c r="J3256" s="74" t="e">
        <f>cst_shinsei_strtower24_prgo01_NAME_VER&amp;cst_shinsei_strtower24_prgo02_NAME_VER&amp;cst_shinsei_strtower24_prgo03_NAME_VER&amp;cst_shinsei_strtower24_prgo04_NAME_VER&amp;cst_shinsei_strtower24_prgo05_NAME_VER</f>
        <v>#NAME?</v>
      </c>
    </row>
    <row r="3257" spans="2:10" s="10" customFormat="1" ht="18" customHeight="1">
      <c r="C3257" s="12" t="s">
        <v>3972</v>
      </c>
      <c r="D3257" s="12"/>
      <c r="G3257" s="9"/>
      <c r="H3257" s="80"/>
      <c r="I3257" s="166" t="s">
        <v>9126</v>
      </c>
      <c r="J3257" s="74" t="e">
        <f>cst_shinsei_strtower24_prgo01_NAME_VER__SP&amp;cst_shinsei_strtower24_prgo02_NAME_VER__SP&amp;cst_shinsei_strtower24_prgo03_NAME_VER__SP&amp;cst_shinsei_strtower24_prgo04_NAME_VER__SP&amp;cst_shinsei_strtower24_prgo05_NAME_VER__SP</f>
        <v>#NAME?</v>
      </c>
    </row>
    <row r="3258" spans="2:10" s="10" customFormat="1" ht="18" customHeight="1">
      <c r="B3258" s="13" t="s">
        <v>4068</v>
      </c>
      <c r="C3258" s="13"/>
      <c r="D3258" s="13"/>
      <c r="E3258" s="25"/>
      <c r="F3258" s="25"/>
      <c r="G3258" s="9"/>
      <c r="H3258" s="80"/>
      <c r="I3258" s="9"/>
      <c r="J3258" s="80"/>
    </row>
    <row r="3259" spans="2:10" s="10" customFormat="1" ht="18" customHeight="1">
      <c r="C3259" s="12" t="s">
        <v>3975</v>
      </c>
      <c r="D3259" s="12"/>
      <c r="G3259" s="9"/>
      <c r="H3259" s="80"/>
      <c r="I3259" s="166" t="s">
        <v>9127</v>
      </c>
      <c r="J3259" s="74" t="e">
        <f>cst_shinsei_strtower24_prgo01_MAKER__NINTEI_ari&amp;cst_shinsei_strtower24_prgo02_MAKER__NINTEI_ari&amp;cst_shinsei_strtower24_prgo03_MAKER__NINTEI_ari&amp;cst_shinsei_strtower24_prgo04_MAKER__NINTEI_ari&amp;cst_shinsei_strtower24_prgo05_MAKER__NINTEI_ari</f>
        <v>#NAME?</v>
      </c>
    </row>
    <row r="3260" spans="2:10" s="10" customFormat="1" ht="18" customHeight="1">
      <c r="C3260" s="12" t="s">
        <v>3972</v>
      </c>
      <c r="D3260" s="12"/>
      <c r="G3260" s="9"/>
      <c r="H3260" s="80"/>
      <c r="I3260" s="166" t="s">
        <v>9128</v>
      </c>
      <c r="J3260" s="173" t="e">
        <f>cst_shinsei_strtower24_prgo01_NAME_VER__NINTEI_ari&amp;cst_shinsei_strtower24_prgo02_NAME_VER__NINTEI_ari&amp;cst_shinsei_strtower24_prgo03_NAME_VER__NINTEI_ari&amp;cst_shinsei_strtower24_prgo04_NAME_VER__NINTEI_ari&amp;cst_shinsei_strtower24_prgo05_NAME_VER__NINTEI_ari</f>
        <v>#NAME?</v>
      </c>
    </row>
    <row r="3261" spans="2:10" s="10" customFormat="1" ht="18" customHeight="1">
      <c r="C3261" s="12" t="s">
        <v>3964</v>
      </c>
      <c r="D3261" s="12"/>
      <c r="G3261" s="9"/>
      <c r="H3261" s="80"/>
      <c r="I3261" s="166" t="s">
        <v>9129</v>
      </c>
      <c r="J3261" s="74" t="e">
        <f>cst_shinsei_strtower24_prgo01_NINTEI_DATE_dsp&amp;cst_shinsei_strtower24_prgo02_NINTEI_DATE_dsp&amp;cst_shinsei_strtower24_prgo03_NINTEI_DATE_dsp&amp;cst_shinsei_strtower24_prgo04_NINTEI_DATE_dsp&amp;cst_shinsei_strtower24_prgo05_NINTEI_DATE_dsp</f>
        <v>#NAME?</v>
      </c>
    </row>
    <row r="3262" spans="2:10" s="10" customFormat="1" ht="18" customHeight="1">
      <c r="B3262" s="13" t="s">
        <v>4072</v>
      </c>
      <c r="C3262" s="13"/>
      <c r="D3262" s="13"/>
      <c r="E3262" s="25"/>
      <c r="F3262" s="25"/>
      <c r="G3262" s="9"/>
      <c r="H3262" s="80"/>
      <c r="I3262" s="9"/>
      <c r="J3262" s="80"/>
    </row>
    <row r="3263" spans="2:10" s="10" customFormat="1" ht="18" customHeight="1">
      <c r="C3263" s="12" t="s">
        <v>3975</v>
      </c>
      <c r="D3263" s="12"/>
      <c r="G3263" s="9"/>
      <c r="H3263" s="80"/>
      <c r="I3263" s="166" t="s">
        <v>9130</v>
      </c>
      <c r="J3263" s="74" t="e">
        <f>cst_shinsei_strtower24_prgo01_MAKER__NINTEI_non&amp;cst_shinsei_strtower24_prgo02_MAKER__NINTEI_non&amp;cst_shinsei_strtower24_prgo03_MAKER__NINTEI_non&amp;cst_shinsei_strtower24_prgo04_MAKER__NINTEI_non&amp;cst_shinsei_strtower24_prgo05_MAKER__NINTEI_non</f>
        <v>#NAME?</v>
      </c>
    </row>
    <row r="3264" spans="2:10" s="10" customFormat="1" ht="18" customHeight="1">
      <c r="C3264" s="12" t="s">
        <v>3972</v>
      </c>
      <c r="D3264" s="12"/>
      <c r="G3264" s="9"/>
      <c r="H3264" s="80"/>
      <c r="I3264" s="166" t="s">
        <v>9131</v>
      </c>
      <c r="J3264" s="173" t="e">
        <f>cst_shinsei_strtower24_prgo01_NAME_VER__NINTEI_non&amp;cst_shinsei_strtower24_prgo02_NAME_VER__NINTEI_non&amp;cst_shinsei_strtower24_prgo03_NAME_VER__NINTEI_non&amp;cst_shinsei_strtower24_prgo04_NAME_VER__NINTEI_non&amp;cst_shinsei_strtower24_prgo05_NAME_VER__NINTEI_non</f>
        <v>#NAME?</v>
      </c>
    </row>
    <row r="3265" spans="1:12" s="10" customFormat="1" ht="18" customHeight="1">
      <c r="B3265" s="12" t="s">
        <v>4075</v>
      </c>
      <c r="G3265" s="9" t="s">
        <v>9132</v>
      </c>
      <c r="H3265" s="20"/>
      <c r="I3265" s="9" t="s">
        <v>9133</v>
      </c>
      <c r="J3265" s="20" t="e">
        <f>IF(shinsei_strtower24_DISK_FLAG="","",IF(shinsei_strtower24_DISK_FLAG=1,"有","無"))</f>
        <v>#NAME?</v>
      </c>
    </row>
    <row r="3266" spans="1:12" s="10" customFormat="1" ht="18" customHeight="1">
      <c r="A3266" s="9"/>
      <c r="B3266" s="9" t="s">
        <v>2955</v>
      </c>
      <c r="C3266" s="9"/>
      <c r="D3266" s="9"/>
      <c r="E3266" s="9"/>
      <c r="F3266" s="9"/>
      <c r="G3266" s="9" t="s">
        <v>9134</v>
      </c>
      <c r="H3266" s="136"/>
      <c r="I3266" s="19" t="s">
        <v>9135</v>
      </c>
      <c r="J3266" s="171" t="e">
        <f>IF(shinsei_strtower24_CHARGE="","",shinsei_strtower24_CHARGE)</f>
        <v>#NAME?</v>
      </c>
      <c r="K3266" s="9" t="s">
        <v>2528</v>
      </c>
      <c r="L3266" s="9" t="s">
        <v>2528</v>
      </c>
    </row>
    <row r="3267" spans="1:12" ht="18" customHeight="1">
      <c r="A3267" s="149"/>
      <c r="B3267" s="149"/>
      <c r="C3267" s="149"/>
      <c r="D3267" s="149"/>
      <c r="E3267" s="12" t="s">
        <v>3907</v>
      </c>
      <c r="F3267" s="12"/>
      <c r="G3267" s="149"/>
      <c r="I3267" s="100" t="s">
        <v>9136</v>
      </c>
      <c r="J3267" s="171" t="e">
        <f>IF(shinsei_strtower24_CHARGE="","",TEXT(shinsei_strtower24_CHARGE,"#,##0_ ")&amp;"円")</f>
        <v>#NAME?</v>
      </c>
      <c r="K3267" s="9"/>
      <c r="L3267" s="9"/>
    </row>
    <row r="3268" spans="1:12" ht="18" customHeight="1">
      <c r="A3268" s="149"/>
      <c r="B3268" s="149" t="s">
        <v>3041</v>
      </c>
      <c r="C3268" s="149"/>
      <c r="D3268" s="149"/>
      <c r="E3268" s="149"/>
      <c r="F3268" s="149"/>
      <c r="G3268" s="149" t="s">
        <v>9137</v>
      </c>
      <c r="H3268" s="136"/>
      <c r="I3268" s="100" t="s">
        <v>9138</v>
      </c>
      <c r="J3268" s="136" t="e">
        <f>IF(shinsei_strtower24_CHARGE_WARIMASHI="","",shinsei_strtower24_CHARGE_WARIMASHI)</f>
        <v>#NAME?</v>
      </c>
      <c r="K3268" s="9" t="s">
        <v>2528</v>
      </c>
      <c r="L3268" s="9" t="s">
        <v>2528</v>
      </c>
    </row>
    <row r="3269" spans="1:12" ht="18" customHeight="1">
      <c r="A3269" s="149"/>
      <c r="B3269" s="149" t="s">
        <v>3043</v>
      </c>
      <c r="C3269" s="149"/>
      <c r="D3269" s="149"/>
      <c r="E3269" s="149"/>
      <c r="F3269" s="149"/>
      <c r="G3269" s="149" t="s">
        <v>9139</v>
      </c>
      <c r="H3269" s="136"/>
      <c r="I3269" s="100" t="s">
        <v>9140</v>
      </c>
      <c r="J3269" s="136" t="e">
        <f>IF(shinsei_strtower24_CHARGE_TOTAL="","",shinsei_strtower24_CHARGE_TOTAL)</f>
        <v>#NAME?</v>
      </c>
      <c r="K3269" s="9" t="s">
        <v>2528</v>
      </c>
      <c r="L3269" s="9" t="s">
        <v>2528</v>
      </c>
    </row>
    <row r="3270" spans="1:12" ht="18" customHeight="1">
      <c r="A3270" s="149"/>
      <c r="B3270" s="149" t="s">
        <v>5637</v>
      </c>
      <c r="C3270" s="149"/>
      <c r="D3270" s="149"/>
      <c r="E3270" s="149"/>
      <c r="F3270" s="149"/>
      <c r="G3270" s="149" t="s">
        <v>9141</v>
      </c>
      <c r="H3270" s="13"/>
      <c r="I3270" s="176" t="s">
        <v>9142</v>
      </c>
      <c r="J3270" s="20" t="e">
        <f>IF(shinsei_strtower24_CHARGE_KEISAN_NOTE="","",shinsei_strtower24_CHARGE_KEISAN_NOTE)</f>
        <v>#NAME?</v>
      </c>
      <c r="K3270" s="10" t="s">
        <v>3862</v>
      </c>
      <c r="L3270" s="10" t="s">
        <v>3879</v>
      </c>
    </row>
    <row r="3271" spans="1:12" ht="18" customHeight="1">
      <c r="A3271" s="149"/>
      <c r="B3271" s="149"/>
      <c r="C3271" s="149"/>
      <c r="D3271" s="149"/>
      <c r="E3271" s="149" t="s">
        <v>5640</v>
      </c>
      <c r="F3271" s="149"/>
      <c r="G3271" s="149"/>
      <c r="I3271" s="100" t="s">
        <v>9143</v>
      </c>
      <c r="J3271" s="20" t="e">
        <f>IF(shinsei_INSPECTION_TYPE="計画変更",IF(shinsei_strtower24_CHARGE="","","延べ面積×1/2により算出"),IF(shinsei_strtower24_CHARGE_KEISAN_NOTE="","",shinsei_strtower24_CHARGE_KEISAN_NOTE))</f>
        <v>#NAME?</v>
      </c>
    </row>
    <row r="3272" spans="1:12" ht="18" customHeight="1">
      <c r="A3272" s="149"/>
      <c r="B3272" s="149" t="s">
        <v>5642</v>
      </c>
      <c r="C3272" s="149"/>
      <c r="D3272" s="149"/>
      <c r="E3272" s="149"/>
      <c r="F3272" s="149"/>
      <c r="G3272" s="149" t="s">
        <v>9144</v>
      </c>
      <c r="H3272" s="13"/>
      <c r="I3272" s="149" t="s">
        <v>9145</v>
      </c>
      <c r="J3272" s="20" t="e">
        <f>IF(shinsei_strtower24_KEISAN_X_ROUTE="","",shinsei_strtower24_KEISAN_X_ROUTE)</f>
        <v>#NAME?</v>
      </c>
    </row>
    <row r="3273" spans="1:12" ht="18" customHeight="1">
      <c r="A3273" s="149"/>
      <c r="B3273" s="149" t="s">
        <v>5645</v>
      </c>
      <c r="C3273" s="149"/>
      <c r="D3273" s="149"/>
      <c r="E3273" s="149"/>
      <c r="F3273" s="149"/>
      <c r="G3273" s="149" t="s">
        <v>9146</v>
      </c>
      <c r="H3273" s="13"/>
      <c r="I3273" s="149" t="s">
        <v>9147</v>
      </c>
      <c r="J3273" s="20" t="e">
        <f>IF(shinsei_strtower24_KEISAN_Y_ROUTE="","",shinsei_strtower24_KEISAN_Y_ROUTE)</f>
        <v>#NAME?</v>
      </c>
    </row>
    <row r="3274" spans="1:12" ht="18" customHeight="1">
      <c r="A3274" s="149"/>
      <c r="B3274" s="149"/>
      <c r="C3274" s="149" t="s">
        <v>3805</v>
      </c>
      <c r="D3274" s="149"/>
      <c r="E3274" s="149"/>
      <c r="F3274" s="149"/>
      <c r="G3274" s="149"/>
      <c r="H3274" s="12"/>
      <c r="I3274" s="149" t="s">
        <v>9148</v>
      </c>
      <c r="J3274" s="20" t="e">
        <f>IF(AND(cst_shinsei_strtower24_KEISAN_X_ROUTE="3",cst_shinsei_strtower24_KEISAN_Y_ROUTE="3"),"■","□")</f>
        <v>#NAME?</v>
      </c>
    </row>
    <row r="3275" spans="1:12" ht="18" customHeight="1">
      <c r="A3275" s="149"/>
      <c r="B3275" s="149" t="s">
        <v>5650</v>
      </c>
      <c r="C3275" s="149"/>
      <c r="D3275" s="149"/>
      <c r="E3275" s="149"/>
      <c r="F3275" s="149"/>
      <c r="G3275" s="149" t="s">
        <v>9149</v>
      </c>
      <c r="H3275" s="13"/>
      <c r="I3275" s="149" t="s">
        <v>9150</v>
      </c>
      <c r="J3275" s="20" t="e">
        <f>IF(shinsei_strtower24_PROGRAM_KIND_SONOTA="","",shinsei_strtower24_PROGRAM_KIND_SONOTA)</f>
        <v>#NAME?</v>
      </c>
    </row>
    <row r="3276" spans="1:12" ht="18" customHeight="1">
      <c r="A3276" s="149"/>
      <c r="B3276" s="149"/>
      <c r="C3276" s="149"/>
      <c r="D3276" s="149"/>
      <c r="E3276" s="149"/>
      <c r="F3276" s="149"/>
      <c r="G3276" s="149"/>
    </row>
    <row r="3277" spans="1:12" s="10" customFormat="1" ht="18" customHeight="1">
      <c r="A3277" s="162" t="s">
        <v>3162</v>
      </c>
      <c r="B3277" s="162"/>
      <c r="C3277" s="162"/>
      <c r="D3277" s="162"/>
      <c r="E3277" s="163"/>
      <c r="F3277" s="163"/>
      <c r="G3277" s="164"/>
      <c r="H3277" s="165"/>
      <c r="I3277" s="9"/>
    </row>
    <row r="3278" spans="1:12" s="10" customFormat="1" ht="18" customHeight="1">
      <c r="A3278" s="12"/>
      <c r="B3278" s="12" t="s">
        <v>3859</v>
      </c>
      <c r="C3278" s="12"/>
      <c r="D3278" s="12"/>
      <c r="E3278" s="11"/>
      <c r="F3278" s="11"/>
      <c r="G3278" s="10" t="s">
        <v>9151</v>
      </c>
      <c r="H3278" s="13"/>
      <c r="I3278" s="19" t="s">
        <v>9152</v>
      </c>
      <c r="J3278" s="25" t="e">
        <f>IF(shinsei_strtower25_TOWER_NO="","",shinsei_strtower25_TOWER_NO)</f>
        <v>#NAME?</v>
      </c>
      <c r="K3278" s="10" t="s">
        <v>3862</v>
      </c>
    </row>
    <row r="3279" spans="1:12" s="10" customFormat="1" ht="18" customHeight="1">
      <c r="A3279" s="12"/>
      <c r="B3279" s="12" t="s">
        <v>3864</v>
      </c>
      <c r="C3279" s="12"/>
      <c r="D3279" s="12"/>
      <c r="E3279" s="11"/>
      <c r="F3279" s="11"/>
      <c r="G3279" s="9" t="s">
        <v>9153</v>
      </c>
      <c r="H3279" s="13"/>
      <c r="I3279" s="19" t="s">
        <v>9154</v>
      </c>
      <c r="J3279" s="25" t="e">
        <f>IF(shinsei_strtower25_STR_TOWER_NO="","",shinsei_strtower25_STR_TOWER_NO)</f>
        <v>#NAME?</v>
      </c>
      <c r="K3279" s="10" t="s">
        <v>3862</v>
      </c>
      <c r="L3279" s="10" t="s">
        <v>3879</v>
      </c>
    </row>
    <row r="3280" spans="1:12" s="166" customFormat="1" ht="18" customHeight="1">
      <c r="B3280" s="12" t="s">
        <v>3868</v>
      </c>
      <c r="I3280" s="9" t="s">
        <v>9155</v>
      </c>
      <c r="J3280" s="167" t="e">
        <f>CONCATENATE(cst_shinsei_strtower25_TOWER_NO," - ",cst_shinsei_strtower25_STR_TOWER_NO)</f>
        <v>#NAME?</v>
      </c>
    </row>
    <row r="3281" spans="1:12" s="166" customFormat="1" ht="18" customHeight="1">
      <c r="B3281" s="12" t="s">
        <v>3870</v>
      </c>
      <c r="I3281" s="9" t="s">
        <v>9156</v>
      </c>
      <c r="J3281" s="167" t="e">
        <f>CONCATENATE(cst_shinsei_strtower25_STR_TOWER_NO," ／ ",cst_shinsei_STR_SHINSEI_TOWERS)</f>
        <v>#NAME?</v>
      </c>
    </row>
    <row r="3282" spans="1:12" s="10" customFormat="1" ht="18" customHeight="1">
      <c r="A3282" s="12"/>
      <c r="B3282" s="12" t="s">
        <v>3872</v>
      </c>
      <c r="C3282" s="11"/>
      <c r="D3282" s="11"/>
      <c r="E3282" s="11"/>
      <c r="F3282" s="11"/>
      <c r="G3282" s="9" t="s">
        <v>9157</v>
      </c>
      <c r="H3282" s="13"/>
      <c r="I3282" s="9" t="s">
        <v>9158</v>
      </c>
      <c r="J3282" s="25" t="e">
        <f>IF(shinsei_strtower25_STR_TOWER_NAME="","",shinsei_strtower25_STR_TOWER_NAME)</f>
        <v>#NAME?</v>
      </c>
    </row>
    <row r="3283" spans="1:12" s="10" customFormat="1" ht="18" customHeight="1">
      <c r="A3283" s="12"/>
      <c r="B3283" s="12" t="s">
        <v>3875</v>
      </c>
      <c r="C3283" s="12"/>
      <c r="D3283" s="12"/>
      <c r="E3283" s="11"/>
      <c r="F3283" s="11"/>
      <c r="G3283" s="9" t="s">
        <v>9159</v>
      </c>
      <c r="H3283" s="20"/>
      <c r="I3283" s="20" t="s">
        <v>9160</v>
      </c>
      <c r="J3283" s="25" t="e">
        <f>IF(shinsei_strtower25_JUDGE="","",shinsei_strtower25_JUDGE)</f>
        <v>#NAME?</v>
      </c>
      <c r="K3283" s="10" t="s">
        <v>3878</v>
      </c>
      <c r="L3283" s="10" t="s">
        <v>3879</v>
      </c>
    </row>
    <row r="3284" spans="1:12" s="10" customFormat="1" ht="18" customHeight="1">
      <c r="A3284" s="12"/>
      <c r="B3284" s="12" t="s">
        <v>4441</v>
      </c>
      <c r="C3284" s="12"/>
      <c r="D3284" s="12"/>
      <c r="E3284" s="11"/>
      <c r="F3284" s="11"/>
      <c r="G3284" s="9" t="s">
        <v>9161</v>
      </c>
      <c r="H3284" s="13"/>
      <c r="I3284" s="9" t="s">
        <v>9162</v>
      </c>
      <c r="J3284" s="25" t="e">
        <f>IF(shinsei_strtower25_STR_TOWER_YOUTO_TEXT="","",shinsei_strtower25_STR_TOWER_YOUTO_TEXT)</f>
        <v>#NAME?</v>
      </c>
      <c r="K3284" s="10" t="s">
        <v>3862</v>
      </c>
      <c r="L3284" s="10" t="s">
        <v>3879</v>
      </c>
    </row>
    <row r="3285" spans="1:12" s="10" customFormat="1" ht="18" customHeight="1">
      <c r="A3285" s="12"/>
      <c r="B3285" s="12" t="s">
        <v>3790</v>
      </c>
      <c r="C3285" s="12"/>
      <c r="D3285" s="12"/>
      <c r="E3285" s="11"/>
      <c r="F3285" s="11"/>
      <c r="G3285" s="9" t="s">
        <v>9163</v>
      </c>
      <c r="H3285" s="13"/>
      <c r="I3285" s="9" t="s">
        <v>9164</v>
      </c>
      <c r="J3285" s="25" t="e">
        <f>IF(shinsei_strtower25_KOUJI_TEXT="","",shinsei_strtower25_KOUJI_TEXT)</f>
        <v>#NAME?</v>
      </c>
      <c r="K3285" s="10" t="s">
        <v>3862</v>
      </c>
      <c r="L3285" s="10" t="s">
        <v>3879</v>
      </c>
    </row>
    <row r="3286" spans="1:12" s="10" customFormat="1" ht="18" customHeight="1">
      <c r="A3286" s="12"/>
      <c r="B3286" s="12" t="s">
        <v>3888</v>
      </c>
      <c r="C3286" s="11"/>
      <c r="D3286" s="11"/>
      <c r="E3286" s="11"/>
      <c r="F3286" s="11"/>
      <c r="G3286" s="9" t="s">
        <v>9165</v>
      </c>
      <c r="H3286" s="13"/>
      <c r="I3286" s="9" t="s">
        <v>9166</v>
      </c>
      <c r="J3286" s="25" t="e">
        <f>IF(shinsei_strtower25_KOUZOU_TEXT="","",shinsei_strtower25_KOUZOU_TEXT)</f>
        <v>#NAME?</v>
      </c>
    </row>
    <row r="3287" spans="1:12" s="10" customFormat="1" ht="18" customHeight="1">
      <c r="A3287" s="12"/>
      <c r="B3287" s="12" t="s">
        <v>3888</v>
      </c>
      <c r="C3287" s="12"/>
      <c r="D3287" s="12"/>
      <c r="E3287" s="11"/>
      <c r="F3287" s="11"/>
      <c r="G3287" s="9" t="s">
        <v>9167</v>
      </c>
      <c r="H3287" s="13"/>
      <c r="I3287" s="9" t="s">
        <v>9168</v>
      </c>
      <c r="J3287" s="25" t="e">
        <f>IF(shinsei_strtower25_KOUZOU_TEXT="","",shinsei_strtower25_KOUZOU_TEXT)</f>
        <v>#NAME?</v>
      </c>
    </row>
    <row r="3288" spans="1:12" s="10" customFormat="1" ht="18" customHeight="1">
      <c r="A3288" s="12"/>
      <c r="B3288" s="12" t="s">
        <v>3893</v>
      </c>
      <c r="C3288" s="11"/>
      <c r="D3288" s="11"/>
      <c r="E3288" s="11"/>
      <c r="F3288" s="11"/>
      <c r="G3288" s="9" t="s">
        <v>9169</v>
      </c>
      <c r="H3288" s="13"/>
      <c r="I3288" s="9" t="s">
        <v>9170</v>
      </c>
      <c r="J3288" s="25" t="e">
        <f>IF(shinsei_strtower25_KOUZOU_KEISAN="","",shinsei_strtower25_KOUZOU_KEISAN)</f>
        <v>#NAME?</v>
      </c>
    </row>
    <row r="3289" spans="1:12" s="10" customFormat="1" ht="18" customHeight="1">
      <c r="A3289" s="12"/>
      <c r="B3289" s="12" t="s">
        <v>3893</v>
      </c>
      <c r="C3289" s="12"/>
      <c r="D3289" s="12"/>
      <c r="E3289" s="11"/>
      <c r="F3289" s="11"/>
      <c r="G3289" s="9" t="s">
        <v>9171</v>
      </c>
      <c r="H3289" s="13"/>
      <c r="I3289" s="10" t="s">
        <v>9172</v>
      </c>
      <c r="J3289" s="25" t="e">
        <f>IF(shinsei_strtower25_KOUZOU_KEISAN_TEXT="","",shinsei_strtower25_KOUZOU_KEISAN_TEXT)</f>
        <v>#NAME?</v>
      </c>
    </row>
    <row r="3290" spans="1:12" s="10" customFormat="1" ht="18" customHeight="1">
      <c r="A3290" s="12"/>
      <c r="B3290" s="12" t="s">
        <v>3902</v>
      </c>
      <c r="C3290" s="12"/>
      <c r="D3290" s="12"/>
      <c r="E3290" s="11"/>
      <c r="F3290" s="11"/>
      <c r="G3290" s="9" t="s">
        <v>9173</v>
      </c>
      <c r="H3290" s="65"/>
      <c r="I3290" s="19" t="s">
        <v>9174</v>
      </c>
      <c r="J3290" s="168" t="e">
        <f>IF(shinsei_strtower25_MENSEKI="","",shinsei_strtower25_MENSEKI)</f>
        <v>#NAME?</v>
      </c>
      <c r="K3290" s="10" t="s">
        <v>3906</v>
      </c>
      <c r="L3290" s="10" t="s">
        <v>3906</v>
      </c>
    </row>
    <row r="3291" spans="1:12" ht="18" customHeight="1">
      <c r="A3291" s="12"/>
      <c r="B3291" s="12"/>
      <c r="C3291" s="12"/>
      <c r="D3291" s="12"/>
      <c r="E3291" s="12" t="s">
        <v>3907</v>
      </c>
      <c r="F3291" s="12"/>
      <c r="G3291" s="9"/>
      <c r="H3291" s="9"/>
      <c r="I3291" s="9" t="s">
        <v>9175</v>
      </c>
      <c r="J3291" s="168" t="e">
        <f>IF(shinsei_strtower25_MENSEKI="","",TEXT(shinsei_strtower25_MENSEKI,"#,##0.00_ ")&amp;"㎡")</f>
        <v>#NAME?</v>
      </c>
    </row>
    <row r="3292" spans="1:12" s="10" customFormat="1" ht="18" customHeight="1">
      <c r="A3292" s="12"/>
      <c r="B3292" s="12" t="s">
        <v>4390</v>
      </c>
      <c r="C3292" s="12"/>
      <c r="D3292" s="12"/>
      <c r="E3292" s="11"/>
      <c r="F3292" s="11"/>
      <c r="G3292" s="9" t="s">
        <v>9176</v>
      </c>
      <c r="H3292" s="93"/>
      <c r="I3292" s="9" t="s">
        <v>9177</v>
      </c>
      <c r="J3292" s="170" t="e">
        <f>IF(shinsei_strtower25_MAX_TAKASA="","",shinsei_strtower25_MAX_TAKASA)</f>
        <v>#NAME?</v>
      </c>
      <c r="K3292" s="10" t="s">
        <v>3911</v>
      </c>
      <c r="L3292" s="10" t="s">
        <v>3911</v>
      </c>
    </row>
    <row r="3293" spans="1:12" s="10" customFormat="1" ht="18" customHeight="1">
      <c r="A3293" s="12"/>
      <c r="B3293" s="12" t="s">
        <v>4388</v>
      </c>
      <c r="C3293" s="11"/>
      <c r="D3293" s="11"/>
      <c r="E3293" s="11"/>
      <c r="F3293" s="11"/>
      <c r="G3293" s="9" t="s">
        <v>9178</v>
      </c>
      <c r="H3293" s="93"/>
      <c r="I3293" s="9" t="s">
        <v>9179</v>
      </c>
      <c r="J3293" s="170" t="e">
        <f>IF(shinsei_strtower25_MAX_NOKI_TAKASA="","",shinsei_strtower25_MAX_NOKI_TAKASA)</f>
        <v>#NAME?</v>
      </c>
    </row>
    <row r="3294" spans="1:12" s="10" customFormat="1" ht="18" customHeight="1">
      <c r="A3294" s="12"/>
      <c r="B3294" s="12" t="s">
        <v>3782</v>
      </c>
      <c r="C3294" s="12"/>
      <c r="D3294" s="12"/>
      <c r="E3294" s="11"/>
      <c r="F3294" s="11"/>
      <c r="G3294" s="9"/>
      <c r="H3294" s="9"/>
      <c r="I3294" s="9"/>
    </row>
    <row r="3295" spans="1:12" s="10" customFormat="1" ht="18" customHeight="1">
      <c r="A3295" s="12"/>
      <c r="B3295" s="12"/>
      <c r="C3295" s="11" t="s">
        <v>3783</v>
      </c>
      <c r="D3295" s="12"/>
      <c r="G3295" s="9" t="s">
        <v>9180</v>
      </c>
      <c r="H3295" s="136"/>
      <c r="I3295" s="9" t="s">
        <v>9181</v>
      </c>
      <c r="J3295" s="171" t="e">
        <f>IF(shinsei_strtower25_KAISU_TIJYOU="","",shinsei_strtower25_KAISU_TIJYOU)</f>
        <v>#NAME?</v>
      </c>
      <c r="K3295" s="10" t="s">
        <v>3916</v>
      </c>
      <c r="L3295" s="10" t="s">
        <v>3916</v>
      </c>
    </row>
    <row r="3296" spans="1:12" s="10" customFormat="1" ht="18" customHeight="1">
      <c r="A3296" s="12"/>
      <c r="B3296" s="12"/>
      <c r="C3296" s="11" t="s">
        <v>3785</v>
      </c>
      <c r="D3296" s="12"/>
      <c r="G3296" s="9" t="s">
        <v>9182</v>
      </c>
      <c r="H3296" s="136"/>
      <c r="I3296" s="9" t="s">
        <v>9183</v>
      </c>
      <c r="J3296" s="171" t="e">
        <f>IF(shinsei_strtower25_KAISU_TIKA="","",shinsei_strtower25_KAISU_TIKA)</f>
        <v>#NAME?</v>
      </c>
      <c r="K3296" s="10" t="s">
        <v>3916</v>
      </c>
      <c r="L3296" s="10" t="s">
        <v>3916</v>
      </c>
    </row>
    <row r="3297" spans="1:12" s="10" customFormat="1" ht="18" customHeight="1">
      <c r="A3297" s="12"/>
      <c r="B3297" s="12"/>
      <c r="C3297" s="11" t="s">
        <v>3787</v>
      </c>
      <c r="D3297" s="12"/>
      <c r="G3297" s="9" t="s">
        <v>9184</v>
      </c>
      <c r="H3297" s="136"/>
      <c r="I3297" s="9" t="s">
        <v>9185</v>
      </c>
      <c r="J3297" s="171" t="e">
        <f>IF(shinsei_strtower25_KAISU_TOUYA="","",shinsei_strtower25_KAISU_TOUYA)</f>
        <v>#NAME?</v>
      </c>
      <c r="K3297" s="10" t="s">
        <v>3916</v>
      </c>
      <c r="L3297" s="10" t="s">
        <v>3916</v>
      </c>
    </row>
    <row r="3298" spans="1:12" s="10" customFormat="1" ht="18" customHeight="1">
      <c r="B3298" s="12" t="s">
        <v>3923</v>
      </c>
      <c r="G3298" s="9" t="s">
        <v>9186</v>
      </c>
      <c r="H3298" s="13"/>
      <c r="I3298" s="10" t="s">
        <v>9187</v>
      </c>
      <c r="J3298" s="25" t="e">
        <f>IF(shinsei_strtower25_BUILD_KUBUN="","",shinsei_strtower25_BUILD_KUBUN)</f>
        <v>#NAME?</v>
      </c>
    </row>
    <row r="3299" spans="1:12" s="10" customFormat="1" ht="18" customHeight="1">
      <c r="B3299" s="12" t="s">
        <v>3923</v>
      </c>
      <c r="C3299" s="12"/>
      <c r="D3299" s="12"/>
      <c r="G3299" s="9" t="s">
        <v>9188</v>
      </c>
      <c r="H3299" s="13"/>
      <c r="I3299" s="10" t="s">
        <v>9189</v>
      </c>
      <c r="J3299" s="25" t="e">
        <f>IF(shinsei_strtower25_BUILD_KUBUN_TEXT="","",shinsei_strtower25_BUILD_KUBUN_TEXT)</f>
        <v>#NAME?</v>
      </c>
      <c r="K3299" s="10" t="s">
        <v>3862</v>
      </c>
    </row>
    <row r="3300" spans="1:12" s="10" customFormat="1" ht="18" customHeight="1">
      <c r="A3300" s="149"/>
      <c r="B3300" s="149"/>
      <c r="C3300" s="149" t="s">
        <v>3801</v>
      </c>
      <c r="D3300" s="149"/>
      <c r="E3300" s="149"/>
      <c r="F3300" s="149"/>
      <c r="G3300" s="149"/>
      <c r="H3300" s="12"/>
      <c r="I3300" s="149" t="s">
        <v>9190</v>
      </c>
      <c r="J3300" s="20" t="e">
        <f>IF(shinsei_strtower25_BUILD_KUBUN_TEXT="建築基準法第20条第２号に掲げる建築物","■","□")</f>
        <v>#NAME?</v>
      </c>
    </row>
    <row r="3301" spans="1:12" s="10" customFormat="1" ht="18" customHeight="1">
      <c r="A3301" s="149"/>
      <c r="B3301" s="149"/>
      <c r="C3301" s="149" t="s">
        <v>3801</v>
      </c>
      <c r="D3301" s="149"/>
      <c r="E3301" s="149"/>
      <c r="F3301" s="149"/>
      <c r="G3301" s="149"/>
      <c r="H3301" s="12"/>
      <c r="I3301" s="149" t="s">
        <v>9191</v>
      </c>
      <c r="J3301" s="20" t="e">
        <f>IF(shinsei_strtower25_BUILD_KUBUN_TEXT="建築基準法第20条第３号に掲げる建築物","■","□")</f>
        <v>#NAME?</v>
      </c>
    </row>
    <row r="3302" spans="1:12" s="10" customFormat="1" ht="18" customHeight="1">
      <c r="A3302" s="12"/>
      <c r="B3302" s="12" t="s">
        <v>3932</v>
      </c>
      <c r="C3302" s="12"/>
      <c r="D3302" s="12"/>
      <c r="E3302" s="11"/>
      <c r="F3302" s="11"/>
      <c r="G3302" s="9" t="s">
        <v>9192</v>
      </c>
      <c r="H3302" s="13"/>
      <c r="I3302" s="9" t="s">
        <v>9193</v>
      </c>
      <c r="J3302" s="25" t="e">
        <f>IF(shinsei_strtower25_MENJYO_TEXT="","",shinsei_strtower25_MENJYO_TEXT)</f>
        <v>#NAME?</v>
      </c>
      <c r="K3302" s="10" t="s">
        <v>3862</v>
      </c>
    </row>
    <row r="3303" spans="1:12" s="10" customFormat="1" ht="18" customHeight="1">
      <c r="A3303" s="12"/>
      <c r="B3303" s="12" t="s">
        <v>3935</v>
      </c>
      <c r="C3303" s="12"/>
      <c r="D3303" s="12"/>
      <c r="E3303" s="11"/>
      <c r="F3303" s="11"/>
      <c r="G3303" s="9" t="s">
        <v>9194</v>
      </c>
      <c r="H3303" s="20"/>
      <c r="I3303" s="9" t="s">
        <v>9195</v>
      </c>
      <c r="J3303" s="25" t="e">
        <f>IF(shinsei_strtower25_PROGRAM_KIND="","",shinsei_strtower25_PROGRAM_KIND)</f>
        <v>#NAME?</v>
      </c>
      <c r="K3303" s="10" t="s">
        <v>5704</v>
      </c>
    </row>
    <row r="3304" spans="1:12" s="10" customFormat="1" ht="18" customHeight="1">
      <c r="B3304" s="12" t="s">
        <v>3939</v>
      </c>
      <c r="C3304" s="12"/>
      <c r="D3304" s="12"/>
      <c r="G3304" s="9" t="s">
        <v>9196</v>
      </c>
      <c r="H3304" s="13"/>
      <c r="I3304" s="10" t="s">
        <v>9197</v>
      </c>
      <c r="J3304" s="25" t="e">
        <f>IF(shinsei_strtower25_REI80_2_KOKUJI_TEXT="","",shinsei_strtower25_REI80_2_KOKUJI_TEXT)</f>
        <v>#NAME?</v>
      </c>
    </row>
    <row r="3305" spans="1:12" s="10" customFormat="1" ht="18" customHeight="1">
      <c r="B3305" s="12" t="s">
        <v>3943</v>
      </c>
      <c r="C3305" s="12"/>
      <c r="D3305" s="12"/>
      <c r="G3305" s="9" t="s">
        <v>9198</v>
      </c>
      <c r="H3305" s="13"/>
      <c r="I3305" s="10" t="s">
        <v>9199</v>
      </c>
      <c r="J3305" s="25" t="e">
        <f>IF(shinsei_strtower25_PROGRAM_KIND__nintei__box="■",2,IF(OR(shinsei_strtower25_PROGRAM_KIND__hyouka__box="■",shinsei_strtower25_PROGRAM_KIND__sonota__box="■"),1,0))</f>
        <v>#NAME?</v>
      </c>
      <c r="K3305" s="10" t="s">
        <v>3946</v>
      </c>
    </row>
    <row r="3306" spans="1:12" s="10" customFormat="1" ht="18" customHeight="1">
      <c r="B3306" s="12" t="s">
        <v>3947</v>
      </c>
      <c r="C3306" s="12"/>
      <c r="D3306" s="12"/>
      <c r="G3306" s="9" t="s">
        <v>9200</v>
      </c>
      <c r="H3306" s="13"/>
    </row>
    <row r="3307" spans="1:12" s="10" customFormat="1" ht="18" customHeight="1">
      <c r="B3307" s="12" t="s">
        <v>4305</v>
      </c>
      <c r="C3307" s="12"/>
      <c r="D3307" s="12"/>
      <c r="G3307" s="9" t="s">
        <v>9201</v>
      </c>
      <c r="H3307" s="13"/>
    </row>
    <row r="3308" spans="1:12" s="10" customFormat="1" ht="18" customHeight="1">
      <c r="B3308" s="105" t="s">
        <v>3950</v>
      </c>
      <c r="C3308" s="105"/>
      <c r="D3308" s="105"/>
      <c r="E3308" s="24"/>
      <c r="F3308" s="24"/>
      <c r="G3308" s="9"/>
      <c r="H3308" s="12"/>
    </row>
    <row r="3309" spans="1:12" s="10" customFormat="1" ht="18" customHeight="1">
      <c r="C3309" s="10" t="s">
        <v>3951</v>
      </c>
      <c r="D3309" s="12"/>
      <c r="G3309" s="9" t="s">
        <v>9202</v>
      </c>
      <c r="H3309" s="13"/>
      <c r="K3309" s="10" t="s">
        <v>3862</v>
      </c>
      <c r="L3309" s="10" t="s">
        <v>3879</v>
      </c>
    </row>
    <row r="3310" spans="1:12" s="10" customFormat="1" ht="18" customHeight="1">
      <c r="C3310" s="12" t="s">
        <v>3954</v>
      </c>
      <c r="D3310" s="12"/>
      <c r="E3310" s="12"/>
      <c r="F3310" s="12"/>
      <c r="G3310" s="9" t="s">
        <v>9203</v>
      </c>
      <c r="H3310" s="13"/>
    </row>
    <row r="3311" spans="1:12" s="10" customFormat="1" ht="18" customHeight="1">
      <c r="C3311" s="12" t="s">
        <v>3957</v>
      </c>
      <c r="D3311" s="12"/>
      <c r="G3311" s="9"/>
      <c r="H3311" s="9"/>
      <c r="I3311" s="10" t="s">
        <v>9204</v>
      </c>
      <c r="J3311" s="25" t="e">
        <f>IF(shinsei_strtower25_prgo01_NAME="","",IF(shinsei_strtower25_prgo01_NINTEI_NO="","無","有"))</f>
        <v>#NAME?</v>
      </c>
      <c r="K3311" s="10" t="s">
        <v>3959</v>
      </c>
      <c r="L3311" s="10" t="s">
        <v>3879</v>
      </c>
    </row>
    <row r="3312" spans="1:12" s="10" customFormat="1" ht="18" customHeight="1">
      <c r="C3312" s="12" t="s">
        <v>3960</v>
      </c>
      <c r="D3312" s="12"/>
      <c r="G3312" s="9" t="s">
        <v>9205</v>
      </c>
      <c r="H3312" s="13"/>
      <c r="I3312" s="10" t="s">
        <v>9206</v>
      </c>
      <c r="J3312" s="25" t="e">
        <f>IF(shinsei_strtower25_prgo01_NINTEI_NO="","",shinsei_strtower25_prgo01_NINTEI_NO)</f>
        <v>#NAME?</v>
      </c>
      <c r="K3312" s="10" t="s">
        <v>3862</v>
      </c>
      <c r="L3312" s="10" t="s">
        <v>3879</v>
      </c>
    </row>
    <row r="3313" spans="2:12" s="10" customFormat="1" ht="18" customHeight="1">
      <c r="C3313" s="12" t="s">
        <v>3964</v>
      </c>
      <c r="D3313" s="12"/>
      <c r="G3313" s="9" t="s">
        <v>9207</v>
      </c>
      <c r="H3313" s="74"/>
      <c r="I3313" s="10" t="s">
        <v>9208</v>
      </c>
      <c r="J3313" s="25" t="e">
        <f>IF(shinsei_strtower25_prgo01_NINTEI_DATE="","",TEXT(shinsei_strtower25_prgo01_NINTEI_DATE,"ggge年m月d日")&amp;"  ")</f>
        <v>#NAME?</v>
      </c>
    </row>
    <row r="3314" spans="2:12" s="10" customFormat="1" ht="18" customHeight="1">
      <c r="C3314" s="12" t="s">
        <v>3967</v>
      </c>
      <c r="D3314" s="12"/>
      <c r="G3314" s="9" t="s">
        <v>9209</v>
      </c>
      <c r="H3314" s="13"/>
    </row>
    <row r="3315" spans="2:12" s="10" customFormat="1" ht="18" customHeight="1">
      <c r="C3315" s="12" t="s">
        <v>3970</v>
      </c>
      <c r="D3315" s="12"/>
      <c r="G3315" s="9"/>
      <c r="H3315" s="12"/>
      <c r="I3315" s="9" t="s">
        <v>9210</v>
      </c>
      <c r="J3315" s="25" t="e">
        <f>IF(shinsei_strtower25_prgo01_NAME="","",shinsei_strtower25_prgo01_NAME)&amp;CHAR(10)&amp;IF(shinsei_strtower25_prgo01_VER="","","Ver."&amp;shinsei_strtower25_prgo01_VER&amp;CHAR(10))</f>
        <v>#NAME?</v>
      </c>
    </row>
    <row r="3316" spans="2:12" s="10" customFormat="1" ht="18" customHeight="1">
      <c r="C3316" s="12" t="s">
        <v>3972</v>
      </c>
      <c r="D3316" s="12"/>
      <c r="G3316" s="9"/>
      <c r="H3316" s="12"/>
      <c r="I3316" s="9" t="s">
        <v>9211</v>
      </c>
      <c r="J3316" s="25" t="e">
        <f>IF(shinsei_strtower25_prgo01_NAME="","",shinsei_strtower25_prgo01_NAME&amp;" ")&amp;IF(shinsei_strtower25_prgo01_VER="","","Ver."&amp;shinsei_strtower25_prgo01_VER&amp;"  ")</f>
        <v>#NAME?</v>
      </c>
    </row>
    <row r="3317" spans="2:12" s="10" customFormat="1" ht="18" customHeight="1">
      <c r="C3317" s="12" t="s">
        <v>3974</v>
      </c>
      <c r="D3317" s="12"/>
      <c r="G3317" s="9"/>
      <c r="H3317" s="12"/>
    </row>
    <row r="3318" spans="2:12" s="10" customFormat="1" ht="18" customHeight="1">
      <c r="D3318" s="12" t="s">
        <v>3975</v>
      </c>
      <c r="G3318" s="9"/>
      <c r="H3318" s="12"/>
      <c r="I3318" s="9" t="s">
        <v>9212</v>
      </c>
      <c r="J3318" s="173" t="e">
        <f>IF(cst_shinsei_strtower25_prgo01_NINTEI__umu="有",IF(shinsei_strtower25_prgo01_MAKER_NAME="","",shinsei_strtower25_prgo01_MAKER_NAME&amp;"  "),"")</f>
        <v>#NAME?</v>
      </c>
    </row>
    <row r="3319" spans="2:12" s="10" customFormat="1" ht="18" customHeight="1">
      <c r="B3319" s="12"/>
      <c r="D3319" s="12" t="s">
        <v>3972</v>
      </c>
      <c r="G3319" s="9"/>
      <c r="H3319" s="12"/>
      <c r="I3319" s="9" t="s">
        <v>9213</v>
      </c>
      <c r="J3319" s="25" t="e">
        <f>IF(cst_shinsei_strtower25_prgo01_NINTEI__umu="有",IF(shinsei_strtower25_prgo01_NAME="","",shinsei_strtower25_prgo01_NAME&amp;" ")&amp;IF(shinsei_strtower25_prgo01_VER="","","Ver."&amp;shinsei_strtower25_prgo01_VER&amp;"  "),"")</f>
        <v>#NAME?</v>
      </c>
    </row>
    <row r="3320" spans="2:12" s="10" customFormat="1" ht="18" customHeight="1">
      <c r="C3320" s="12" t="s">
        <v>3981</v>
      </c>
      <c r="D3320" s="12"/>
      <c r="G3320" s="9"/>
      <c r="H3320" s="12"/>
    </row>
    <row r="3321" spans="2:12" s="10" customFormat="1" ht="18" customHeight="1">
      <c r="B3321" s="12"/>
      <c r="D3321" s="12" t="s">
        <v>3975</v>
      </c>
      <c r="G3321" s="9"/>
      <c r="H3321" s="12"/>
      <c r="I3321" s="9" t="s">
        <v>9214</v>
      </c>
      <c r="J3321" s="173" t="e">
        <f>IF(cst_shinsei_strtower25_prgo01_NINTEI__umu="無",IF(shinsei_strtower25_prgo01_MAKER_NAME="","",shinsei_strtower25_prgo01_MAKER_NAME&amp;"  "),"")</f>
        <v>#NAME?</v>
      </c>
    </row>
    <row r="3322" spans="2:12" s="10" customFormat="1" ht="18" customHeight="1">
      <c r="B3322" s="12"/>
      <c r="D3322" s="12" t="s">
        <v>3972</v>
      </c>
      <c r="G3322" s="9"/>
      <c r="H3322" s="12"/>
      <c r="I3322" s="9" t="s">
        <v>9215</v>
      </c>
      <c r="J3322" s="25" t="e">
        <f>IF(cst_shinsei_strtower25_prgo01_NINTEI__umu="無",IF(shinsei_strtower25_prgo01_NAME="","",shinsei_strtower25_prgo01_NAME&amp;" ")&amp;IF(shinsei_strtower25_prgo01_VER="","","Ver."&amp;shinsei_strtower25_prgo01_VER&amp;"  "),"")</f>
        <v>#NAME?</v>
      </c>
    </row>
    <row r="3323" spans="2:12" s="10" customFormat="1" ht="18" customHeight="1">
      <c r="B3323" s="105" t="s">
        <v>4000</v>
      </c>
      <c r="C3323" s="105"/>
      <c r="D3323" s="105"/>
      <c r="E3323" s="24"/>
      <c r="F3323" s="24"/>
      <c r="G3323" s="9"/>
      <c r="H3323" s="12"/>
    </row>
    <row r="3324" spans="2:12" s="10" customFormat="1" ht="18" customHeight="1">
      <c r="C3324" s="10" t="s">
        <v>3951</v>
      </c>
      <c r="D3324" s="12"/>
      <c r="G3324" s="9" t="s">
        <v>9216</v>
      </c>
      <c r="H3324" s="13"/>
      <c r="K3324" s="10" t="s">
        <v>3862</v>
      </c>
      <c r="L3324" s="10" t="s">
        <v>3879</v>
      </c>
    </row>
    <row r="3325" spans="2:12" s="10" customFormat="1" ht="18" customHeight="1">
      <c r="C3325" s="12" t="s">
        <v>3954</v>
      </c>
      <c r="D3325" s="12"/>
      <c r="G3325" s="9" t="s">
        <v>9217</v>
      </c>
      <c r="H3325" s="13"/>
    </row>
    <row r="3326" spans="2:12" s="10" customFormat="1" ht="18" customHeight="1">
      <c r="C3326" s="12" t="s">
        <v>3957</v>
      </c>
      <c r="D3326" s="12"/>
      <c r="G3326" s="9"/>
      <c r="H3326" s="9"/>
      <c r="I3326" s="10" t="s">
        <v>9218</v>
      </c>
      <c r="J3326" s="25" t="e">
        <f>IF(shinsei_strtower25_prgo02_NAME="","",IF(shinsei_strtower25_prgo02_NINTEI_NO="","無","有"))</f>
        <v>#NAME?</v>
      </c>
      <c r="L3326" s="10" t="s">
        <v>3879</v>
      </c>
    </row>
    <row r="3327" spans="2:12" s="10" customFormat="1" ht="18" customHeight="1">
      <c r="C3327" s="12" t="s">
        <v>3960</v>
      </c>
      <c r="D3327" s="12"/>
      <c r="G3327" s="9" t="s">
        <v>9219</v>
      </c>
      <c r="H3327" s="13"/>
      <c r="I3327" s="10" t="s">
        <v>9220</v>
      </c>
      <c r="J3327" s="25" t="e">
        <f>IF(shinsei_strtower25_prgo02_NINTEI_NO="","",shinsei_strtower25_prgo02_NINTEI_NO)</f>
        <v>#NAME?</v>
      </c>
      <c r="K3327" s="10" t="s">
        <v>3862</v>
      </c>
      <c r="L3327" s="10" t="s">
        <v>3879</v>
      </c>
    </row>
    <row r="3328" spans="2:12" s="10" customFormat="1" ht="18" customHeight="1">
      <c r="C3328" s="12" t="s">
        <v>3964</v>
      </c>
      <c r="D3328" s="12"/>
      <c r="G3328" s="9" t="s">
        <v>9221</v>
      </c>
      <c r="H3328" s="74"/>
      <c r="I3328" s="10" t="s">
        <v>9222</v>
      </c>
      <c r="J3328" s="25" t="e">
        <f>IF(shinsei_strtower25_prgo02_NINTEI_DATE="","",shinsei_strtower25_prgo02_NINTEI_DATE)</f>
        <v>#NAME?</v>
      </c>
    </row>
    <row r="3329" spans="2:12" s="10" customFormat="1" ht="18" customHeight="1">
      <c r="C3329" s="12" t="s">
        <v>3967</v>
      </c>
      <c r="D3329" s="12"/>
      <c r="G3329" s="9" t="s">
        <v>9223</v>
      </c>
      <c r="H3329" s="13"/>
      <c r="I3329" s="10" t="s">
        <v>9224</v>
      </c>
      <c r="J3329" s="25" t="e">
        <f>IF(shinsei_strtower25_prgo02_MAKER_NAME="","",shinsei_strtower25_prgo02_MAKER_NAME)</f>
        <v>#NAME?</v>
      </c>
    </row>
    <row r="3330" spans="2:12" s="10" customFormat="1" ht="18" customHeight="1">
      <c r="C3330" s="12" t="s">
        <v>3970</v>
      </c>
      <c r="D3330" s="12"/>
      <c r="G3330" s="9"/>
      <c r="H3330" s="12"/>
      <c r="I3330" s="9" t="s">
        <v>9225</v>
      </c>
      <c r="J3330" s="25" t="e">
        <f>IF(shinsei_strtower25_prgo02_NAME="","",shinsei_strtower25_prgo02_NAME)&amp;CHAR(10)&amp;IF(shinsei_strtower25_prgo02_VER="","","Ver."&amp;shinsei_strtower25_prgo02_VER&amp;CHAR(10))</f>
        <v>#NAME?</v>
      </c>
    </row>
    <row r="3331" spans="2:12" s="10" customFormat="1" ht="18" customHeight="1">
      <c r="C3331" s="12" t="s">
        <v>3972</v>
      </c>
      <c r="D3331" s="12"/>
      <c r="G3331" s="9"/>
      <c r="H3331" s="12"/>
      <c r="I3331" s="9" t="s">
        <v>9226</v>
      </c>
      <c r="J3331" s="25" t="e">
        <f>IF(shinsei_strtower25_prgo02_NAME="","",shinsei_strtower25_prgo02_NAME&amp;" ")&amp;IF(shinsei_strtower25_prgo02_VER="","","Ver."&amp;shinsei_strtower25_prgo02_VER&amp;"  ")</f>
        <v>#NAME?</v>
      </c>
    </row>
    <row r="3332" spans="2:12" s="10" customFormat="1" ht="18" customHeight="1">
      <c r="C3332" s="12" t="s">
        <v>3974</v>
      </c>
      <c r="D3332" s="12"/>
      <c r="G3332" s="9"/>
      <c r="H3332" s="12"/>
    </row>
    <row r="3333" spans="2:12" s="10" customFormat="1" ht="18" customHeight="1">
      <c r="D3333" s="12" t="s">
        <v>3975</v>
      </c>
      <c r="G3333" s="9"/>
      <c r="H3333" s="12"/>
      <c r="I3333" s="9" t="s">
        <v>9227</v>
      </c>
      <c r="J3333" s="173" t="e">
        <f>IF(cst_shinsei_strtower25_prgo02_NINTEI__umu="有",IF(shinsei_strtower25_prgo02_MAKER_NAME="","",shinsei_strtower25_prgo02_MAKER_NAME&amp;"  "),"")</f>
        <v>#NAME?</v>
      </c>
    </row>
    <row r="3334" spans="2:12" s="10" customFormat="1" ht="18" customHeight="1">
      <c r="D3334" s="12" t="s">
        <v>3972</v>
      </c>
      <c r="G3334" s="9"/>
      <c r="H3334" s="12"/>
      <c r="I3334" s="9" t="s">
        <v>9228</v>
      </c>
      <c r="J3334" s="25" t="e">
        <f>IF(cst_shinsei_strtower25_prgo02_NINTEI__umu="有",IF(shinsei_strtower25_prgo02_NAME="","",shinsei_strtower25_prgo02_NAME&amp;" ")&amp;IF(shinsei_strtower25_prgo02_VER="","","Ver."&amp;shinsei_strtower25_prgo02_VER&amp;"  "),"")</f>
        <v>#NAME?</v>
      </c>
    </row>
    <row r="3335" spans="2:12" s="10" customFormat="1" ht="18" customHeight="1">
      <c r="C3335" s="12" t="s">
        <v>3981</v>
      </c>
      <c r="D3335" s="12"/>
      <c r="G3335" s="9"/>
      <c r="H3335" s="12"/>
    </row>
    <row r="3336" spans="2:12" s="10" customFormat="1" ht="18" customHeight="1">
      <c r="D3336" s="12" t="s">
        <v>3975</v>
      </c>
      <c r="G3336" s="9"/>
      <c r="H3336" s="12"/>
      <c r="I3336" s="9" t="s">
        <v>9229</v>
      </c>
      <c r="J3336" s="173" t="e">
        <f>IF(cst_shinsei_strtower25_prgo02_NINTEI__umu="無",IF(shinsei_strtower25_prgo02_MAKER_NAME="","",shinsei_strtower25_prgo02_MAKER_NAME&amp;"  "),"")</f>
        <v>#NAME?</v>
      </c>
    </row>
    <row r="3337" spans="2:12" s="10" customFormat="1" ht="18" customHeight="1">
      <c r="D3337" s="12" t="s">
        <v>3972</v>
      </c>
      <c r="G3337" s="9"/>
      <c r="H3337" s="12"/>
      <c r="I3337" s="9" t="s">
        <v>9230</v>
      </c>
      <c r="J3337" s="25" t="e">
        <f>IF(cst_shinsei_strtower25_prgo02_NINTEI__umu="無",IF(shinsei_strtower25_prgo02_NAME="","",shinsei_strtower25_prgo02_NAME&amp;" ")&amp;IF(shinsei_strtower25_prgo02_VER="","","Ver."&amp;shinsei_strtower25_prgo02_VER&amp;"  "),"")</f>
        <v>#NAME?</v>
      </c>
    </row>
    <row r="3338" spans="2:12" s="10" customFormat="1" ht="18" customHeight="1">
      <c r="B3338" s="105" t="s">
        <v>4016</v>
      </c>
      <c r="C3338" s="105"/>
      <c r="D3338" s="105"/>
      <c r="E3338" s="24"/>
      <c r="F3338" s="24"/>
      <c r="G3338" s="9"/>
      <c r="H3338" s="12"/>
    </row>
    <row r="3339" spans="2:12" s="10" customFormat="1" ht="18" customHeight="1">
      <c r="C3339" s="10" t="s">
        <v>3951</v>
      </c>
      <c r="D3339" s="12"/>
      <c r="G3339" s="9" t="s">
        <v>9231</v>
      </c>
      <c r="H3339" s="13"/>
    </row>
    <row r="3340" spans="2:12" s="10" customFormat="1" ht="18" customHeight="1">
      <c r="C3340" s="12" t="s">
        <v>3954</v>
      </c>
      <c r="D3340" s="12"/>
      <c r="G3340" s="9" t="s">
        <v>9232</v>
      </c>
      <c r="H3340" s="13"/>
    </row>
    <row r="3341" spans="2:12" s="10" customFormat="1" ht="18" customHeight="1">
      <c r="C3341" s="12" t="s">
        <v>3957</v>
      </c>
      <c r="D3341" s="12"/>
      <c r="G3341" s="9"/>
      <c r="H3341" s="9"/>
      <c r="I3341" s="10" t="s">
        <v>9233</v>
      </c>
      <c r="J3341" s="25" t="e">
        <f>IF(shinsei_strtower25_prgo03_NAME="","",IF(shinsei_strtower25_prgo03_NINTEI_NO="","無","有"))</f>
        <v>#NAME?</v>
      </c>
      <c r="K3341" s="10" t="s">
        <v>2941</v>
      </c>
      <c r="L3341" s="10" t="s">
        <v>3879</v>
      </c>
    </row>
    <row r="3342" spans="2:12" s="10" customFormat="1" ht="18" customHeight="1">
      <c r="C3342" s="12" t="s">
        <v>3960</v>
      </c>
      <c r="D3342" s="12"/>
      <c r="G3342" s="9" t="s">
        <v>9234</v>
      </c>
      <c r="H3342" s="13"/>
      <c r="K3342" s="10" t="s">
        <v>3862</v>
      </c>
      <c r="L3342" s="10" t="s">
        <v>3879</v>
      </c>
    </row>
    <row r="3343" spans="2:12" s="10" customFormat="1" ht="18" customHeight="1">
      <c r="C3343" s="12" t="s">
        <v>3964</v>
      </c>
      <c r="D3343" s="12"/>
      <c r="G3343" s="9" t="s">
        <v>9235</v>
      </c>
      <c r="H3343" s="74"/>
      <c r="I3343" s="10" t="s">
        <v>9236</v>
      </c>
      <c r="J3343" s="25" t="e">
        <f>IF(shinsei_strtower25_prgo03_NINTEI_DATE="","",TEXT(shinsei_strtower25_prgo03_NINTEI_DATE,"ggge年m月d日")&amp;"  ")</f>
        <v>#NAME?</v>
      </c>
    </row>
    <row r="3344" spans="2:12" s="10" customFormat="1" ht="18" customHeight="1">
      <c r="C3344" s="12" t="s">
        <v>3967</v>
      </c>
      <c r="D3344" s="12"/>
      <c r="G3344" s="9" t="s">
        <v>9237</v>
      </c>
      <c r="H3344" s="13"/>
      <c r="I3344" s="9"/>
      <c r="J3344" s="9"/>
    </row>
    <row r="3345" spans="2:12" s="10" customFormat="1" ht="18" customHeight="1">
      <c r="C3345" s="12" t="s">
        <v>3970</v>
      </c>
      <c r="D3345" s="12"/>
      <c r="G3345" s="9"/>
      <c r="H3345" s="12"/>
      <c r="I3345" s="9" t="s">
        <v>9238</v>
      </c>
      <c r="J3345" s="25" t="e">
        <f>IF(shinsei_strtower25_prgo03_NAME="","",shinsei_strtower25_prgo03_NAME)&amp;CHAR(10)&amp;IF(shinsei_strtower25_prgo03_VER="","","Ver."&amp;shinsei_strtower25_prgo03_VER&amp;CHAR(10))</f>
        <v>#NAME?</v>
      </c>
    </row>
    <row r="3346" spans="2:12" s="10" customFormat="1" ht="18" customHeight="1">
      <c r="C3346" s="12" t="s">
        <v>3972</v>
      </c>
      <c r="D3346" s="12"/>
      <c r="G3346" s="9"/>
      <c r="H3346" s="12"/>
      <c r="I3346" s="9" t="s">
        <v>9239</v>
      </c>
      <c r="J3346" s="25" t="e">
        <f>IF(shinsei_strtower25_prgo03_NAME="","",shinsei_strtower25_prgo03_NAME&amp;" ")&amp;IF(shinsei_strtower25_prgo03_VER="","","Ver."&amp;shinsei_strtower25_prgo03_VER&amp;"  ")</f>
        <v>#NAME?</v>
      </c>
    </row>
    <row r="3347" spans="2:12" s="10" customFormat="1" ht="18" customHeight="1">
      <c r="C3347" s="12" t="s">
        <v>3974</v>
      </c>
      <c r="D3347" s="12"/>
      <c r="G3347" s="9"/>
      <c r="H3347" s="12"/>
    </row>
    <row r="3348" spans="2:12" s="10" customFormat="1" ht="18" customHeight="1">
      <c r="D3348" s="12" t="s">
        <v>3975</v>
      </c>
      <c r="G3348" s="9"/>
      <c r="H3348" s="12"/>
      <c r="I3348" s="9" t="s">
        <v>9240</v>
      </c>
      <c r="J3348" s="173" t="e">
        <f>IF(cst_shinsei_strtower25_prgo03_NINTEI__umu="有",IF(shinsei_strtower25_prgo03_MAKER_NAME="","",shinsei_strtower25_prgo03_MAKER_NAME&amp;"  "),"")</f>
        <v>#NAME?</v>
      </c>
    </row>
    <row r="3349" spans="2:12" s="10" customFormat="1" ht="18" customHeight="1">
      <c r="D3349" s="12" t="s">
        <v>3972</v>
      </c>
      <c r="G3349" s="9"/>
      <c r="H3349" s="12"/>
      <c r="I3349" s="9" t="s">
        <v>9241</v>
      </c>
      <c r="J3349" s="25" t="e">
        <f>IF(cst_shinsei_strtower25_prgo03_NINTEI__umu="有",IF(shinsei_strtower25_prgo03_NAME="","",shinsei_strtower25_prgo03_NAME&amp;" ")&amp;IF(shinsei_strtower25_prgo03_VER="","","Ver."&amp;shinsei_strtower25_prgo03_VER&amp;"  "),"")</f>
        <v>#NAME?</v>
      </c>
    </row>
    <row r="3350" spans="2:12" s="10" customFormat="1" ht="18" customHeight="1">
      <c r="C3350" s="12" t="s">
        <v>3981</v>
      </c>
      <c r="D3350" s="12"/>
      <c r="G3350" s="9"/>
      <c r="H3350" s="12"/>
    </row>
    <row r="3351" spans="2:12" s="10" customFormat="1" ht="18" customHeight="1">
      <c r="D3351" s="12" t="s">
        <v>3975</v>
      </c>
      <c r="G3351" s="9"/>
      <c r="H3351" s="12"/>
      <c r="I3351" s="9" t="s">
        <v>9242</v>
      </c>
      <c r="J3351" s="173" t="e">
        <f>IF(cst_shinsei_strtower25_prgo03_NINTEI__umu="無",IF(shinsei_strtower25_prgo03_MAKER_NAME="","",shinsei_strtower25_prgo03_MAKER_NAME&amp;"  "),"")</f>
        <v>#NAME?</v>
      </c>
    </row>
    <row r="3352" spans="2:12" s="10" customFormat="1" ht="18" customHeight="1">
      <c r="D3352" s="12" t="s">
        <v>3972</v>
      </c>
      <c r="G3352" s="9"/>
      <c r="H3352" s="12"/>
      <c r="I3352" s="9" t="s">
        <v>9243</v>
      </c>
      <c r="J3352" s="25" t="e">
        <f>IF(cst_shinsei_strtower25_prgo03_NINTEI__umu="無",IF(shinsei_strtower25_prgo03_NAME="","",shinsei_strtower25_prgo03_NAME&amp;" ")&amp;IF(shinsei_strtower25_prgo03_VER="","","Ver."&amp;shinsei_strtower25_prgo03_VER&amp;"  "),"")</f>
        <v>#NAME?</v>
      </c>
    </row>
    <row r="3353" spans="2:12" s="10" customFormat="1" ht="18" customHeight="1">
      <c r="B3353" s="105" t="s">
        <v>4031</v>
      </c>
      <c r="C3353" s="105"/>
      <c r="D3353" s="105"/>
      <c r="E3353" s="24"/>
      <c r="F3353" s="24"/>
      <c r="G3353" s="9"/>
      <c r="H3353" s="12"/>
    </row>
    <row r="3354" spans="2:12" s="10" customFormat="1" ht="18" customHeight="1">
      <c r="C3354" s="10" t="s">
        <v>3951</v>
      </c>
      <c r="D3354" s="12"/>
      <c r="G3354" s="9" t="s">
        <v>9244</v>
      </c>
      <c r="H3354" s="13"/>
    </row>
    <row r="3355" spans="2:12" s="10" customFormat="1" ht="18" customHeight="1">
      <c r="C3355" s="12" t="s">
        <v>3954</v>
      </c>
      <c r="D3355" s="12"/>
      <c r="G3355" s="9" t="s">
        <v>9245</v>
      </c>
      <c r="H3355" s="13"/>
    </row>
    <row r="3356" spans="2:12" s="10" customFormat="1" ht="18" customHeight="1">
      <c r="C3356" s="12" t="s">
        <v>3957</v>
      </c>
      <c r="D3356" s="12"/>
      <c r="G3356" s="9"/>
      <c r="H3356" s="9"/>
      <c r="I3356" s="10" t="s">
        <v>9246</v>
      </c>
      <c r="J3356" s="25" t="e">
        <f>IF(shinsei_strtower25_prgo04_NAME="","",IF(shinsei_strtower25_prgo04_NINTEI_NO="","無","有"))</f>
        <v>#NAME?</v>
      </c>
      <c r="K3356" s="10" t="s">
        <v>2941</v>
      </c>
      <c r="L3356" s="10" t="s">
        <v>3879</v>
      </c>
    </row>
    <row r="3357" spans="2:12" s="10" customFormat="1" ht="18" customHeight="1">
      <c r="C3357" s="12" t="s">
        <v>3960</v>
      </c>
      <c r="D3357" s="12"/>
      <c r="G3357" s="9" t="s">
        <v>9247</v>
      </c>
      <c r="H3357" s="13"/>
      <c r="K3357" s="10" t="s">
        <v>3862</v>
      </c>
      <c r="L3357" s="10" t="s">
        <v>3879</v>
      </c>
    </row>
    <row r="3358" spans="2:12" s="10" customFormat="1" ht="18" customHeight="1">
      <c r="C3358" s="12" t="s">
        <v>3964</v>
      </c>
      <c r="D3358" s="12"/>
      <c r="G3358" s="9" t="s">
        <v>9248</v>
      </c>
      <c r="H3358" s="74"/>
      <c r="I3358" s="10" t="s">
        <v>9249</v>
      </c>
      <c r="J3358" s="25" t="e">
        <f>IF(shinsei_strtower25_prgo04_NINTEI_DATE="","",TEXT(shinsei_strtower25_prgo04_NINTEI_DATE,"ggge年m月d日")&amp;"  ")</f>
        <v>#NAME?</v>
      </c>
    </row>
    <row r="3359" spans="2:12" s="10" customFormat="1" ht="18" customHeight="1">
      <c r="C3359" s="12" t="s">
        <v>3967</v>
      </c>
      <c r="D3359" s="12"/>
      <c r="G3359" s="9" t="s">
        <v>9250</v>
      </c>
      <c r="H3359" s="13"/>
      <c r="I3359" s="9"/>
      <c r="J3359" s="9"/>
    </row>
    <row r="3360" spans="2:12" s="10" customFormat="1" ht="18" customHeight="1">
      <c r="C3360" s="12" t="s">
        <v>3970</v>
      </c>
      <c r="D3360" s="12"/>
      <c r="G3360" s="9"/>
      <c r="H3360" s="12"/>
      <c r="I3360" s="9" t="s">
        <v>9251</v>
      </c>
      <c r="J3360" s="25" t="e">
        <f>IF(shinsei_strtower25_prgo04_NAME="","",shinsei_strtower25_prgo04_NAME)&amp;CHAR(10)&amp;IF(shinsei_strtower25_prgo04_VER="","","Ver."&amp;shinsei_strtower25_prgo04_VER&amp;CHAR(10))</f>
        <v>#NAME?</v>
      </c>
    </row>
    <row r="3361" spans="2:12" s="10" customFormat="1" ht="18" customHeight="1">
      <c r="C3361" s="12" t="s">
        <v>3972</v>
      </c>
      <c r="D3361" s="12"/>
      <c r="G3361" s="9"/>
      <c r="H3361" s="12"/>
      <c r="I3361" s="9" t="s">
        <v>9252</v>
      </c>
      <c r="J3361" s="25" t="e">
        <f>IF(shinsei_strtower25_prgo04_NAME="","",shinsei_strtower25_prgo04_NAME&amp;" ")&amp;IF(shinsei_strtower25_prgo04_VER="","","Ver."&amp;shinsei_strtower25_prgo04_VER&amp;"  ")</f>
        <v>#NAME?</v>
      </c>
    </row>
    <row r="3362" spans="2:12" s="10" customFormat="1" ht="18" customHeight="1">
      <c r="C3362" s="12" t="s">
        <v>3974</v>
      </c>
      <c r="D3362" s="12"/>
      <c r="G3362" s="9"/>
      <c r="H3362" s="12"/>
    </row>
    <row r="3363" spans="2:12" s="10" customFormat="1" ht="18" customHeight="1">
      <c r="D3363" s="12" t="s">
        <v>3975</v>
      </c>
      <c r="G3363" s="9"/>
      <c r="H3363" s="12"/>
      <c r="I3363" s="9" t="s">
        <v>9253</v>
      </c>
      <c r="J3363" s="173" t="e">
        <f>IF(cst_shinsei_strtower25_prgo04_NINTEI__umu="有",IF(shinsei_strtower25_prgo04_MAKER_NAME="","",shinsei_strtower25_prgo04_MAKER_NAME&amp;"  "),"")</f>
        <v>#NAME?</v>
      </c>
    </row>
    <row r="3364" spans="2:12" s="10" customFormat="1" ht="18" customHeight="1">
      <c r="D3364" s="12" t="s">
        <v>3972</v>
      </c>
      <c r="G3364" s="9"/>
      <c r="H3364" s="12"/>
      <c r="I3364" s="9" t="s">
        <v>9254</v>
      </c>
      <c r="J3364" s="25" t="e">
        <f>IF(cst_shinsei_strtower25_prgo04_NINTEI__umu="有",IF(shinsei_strtower25_prgo04_NAME="","",shinsei_strtower25_prgo04_NAME&amp;" ")&amp;IF(shinsei_strtower25_prgo04_VER="","","Ver."&amp;shinsei_strtower25_prgo04_VER&amp;"  "),"")</f>
        <v>#NAME?</v>
      </c>
    </row>
    <row r="3365" spans="2:12" s="10" customFormat="1" ht="18" customHeight="1">
      <c r="C3365" s="12" t="s">
        <v>3981</v>
      </c>
      <c r="D3365" s="12"/>
      <c r="G3365" s="9"/>
      <c r="H3365" s="12"/>
    </row>
    <row r="3366" spans="2:12" s="10" customFormat="1" ht="18" customHeight="1">
      <c r="D3366" s="12" t="s">
        <v>3975</v>
      </c>
      <c r="G3366" s="9"/>
      <c r="H3366" s="12"/>
      <c r="I3366" s="9" t="s">
        <v>9255</v>
      </c>
      <c r="J3366" s="173" t="e">
        <f>IF(cst_shinsei_strtower25_prgo04_NINTEI__umu="無",IF(shinsei_strtower25_prgo04_MAKER_NAME="","",shinsei_strtower25_prgo04_MAKER_NAME&amp;"  "),"")</f>
        <v>#NAME?</v>
      </c>
    </row>
    <row r="3367" spans="2:12" s="10" customFormat="1" ht="18" customHeight="1">
      <c r="D3367" s="12" t="s">
        <v>3972</v>
      </c>
      <c r="G3367" s="9"/>
      <c r="H3367" s="12"/>
      <c r="I3367" s="9" t="s">
        <v>9256</v>
      </c>
      <c r="J3367" s="25" t="e">
        <f>IF(cst_shinsei_strtower25_prgo04_NINTEI__umu="無",IF(shinsei_strtower25_prgo04_NAME="","",shinsei_strtower25_prgo04_NAME&amp;" ")&amp;IF(shinsei_strtower25_prgo04_VER="","","Ver."&amp;shinsei_strtower25_prgo04_VER&amp;"  "),"")</f>
        <v>#NAME?</v>
      </c>
    </row>
    <row r="3368" spans="2:12" s="10" customFormat="1" ht="18" customHeight="1">
      <c r="B3368" s="105" t="s">
        <v>4049</v>
      </c>
      <c r="C3368" s="105"/>
      <c r="D3368" s="105"/>
      <c r="E3368" s="24"/>
      <c r="F3368" s="24"/>
      <c r="G3368" s="9"/>
      <c r="H3368" s="12"/>
    </row>
    <row r="3369" spans="2:12" s="10" customFormat="1" ht="18" customHeight="1">
      <c r="C3369" s="10" t="s">
        <v>3951</v>
      </c>
      <c r="D3369" s="12"/>
      <c r="G3369" s="9" t="s">
        <v>9257</v>
      </c>
      <c r="H3369" s="13"/>
    </row>
    <row r="3370" spans="2:12" s="10" customFormat="1" ht="18" customHeight="1">
      <c r="C3370" s="12" t="s">
        <v>3954</v>
      </c>
      <c r="D3370" s="12"/>
      <c r="G3370" s="9" t="s">
        <v>9258</v>
      </c>
      <c r="H3370" s="13"/>
    </row>
    <row r="3371" spans="2:12" s="10" customFormat="1" ht="18" customHeight="1">
      <c r="C3371" s="12" t="s">
        <v>3957</v>
      </c>
      <c r="D3371" s="12"/>
      <c r="G3371" s="9"/>
      <c r="H3371" s="9"/>
      <c r="I3371" s="10" t="s">
        <v>9259</v>
      </c>
      <c r="J3371" s="25" t="e">
        <f>IF(shinsei_strtower25_prgo05_NAME="","",IF(shinsei_strtower25_prgo05_NINTEI_NO="","無","有"))</f>
        <v>#NAME?</v>
      </c>
      <c r="K3371" s="10" t="s">
        <v>2941</v>
      </c>
      <c r="L3371" s="10" t="s">
        <v>3879</v>
      </c>
    </row>
    <row r="3372" spans="2:12" s="10" customFormat="1" ht="18" customHeight="1">
      <c r="C3372" s="12" t="s">
        <v>3960</v>
      </c>
      <c r="D3372" s="12"/>
      <c r="G3372" s="9" t="s">
        <v>9260</v>
      </c>
      <c r="H3372" s="13"/>
      <c r="K3372" s="10" t="s">
        <v>3862</v>
      </c>
      <c r="L3372" s="10" t="s">
        <v>3879</v>
      </c>
    </row>
    <row r="3373" spans="2:12" s="10" customFormat="1" ht="18" customHeight="1">
      <c r="C3373" s="12" t="s">
        <v>3964</v>
      </c>
      <c r="D3373" s="12"/>
      <c r="G3373" s="9" t="s">
        <v>9261</v>
      </c>
      <c r="H3373" s="74"/>
      <c r="I3373" s="10" t="s">
        <v>9262</v>
      </c>
      <c r="J3373" s="25" t="e">
        <f>IF(shinsei_strtower25_prgo05_NINTEI_DATE="","",TEXT(shinsei_strtower25_prgo05_NINTEI_DATE,"ggge年m月d日")&amp;"  ")</f>
        <v>#NAME?</v>
      </c>
    </row>
    <row r="3374" spans="2:12" s="10" customFormat="1" ht="18" customHeight="1">
      <c r="C3374" s="12" t="s">
        <v>3967</v>
      </c>
      <c r="D3374" s="12"/>
      <c r="G3374" s="9" t="s">
        <v>9263</v>
      </c>
      <c r="H3374" s="13"/>
    </row>
    <row r="3375" spans="2:12" s="10" customFormat="1" ht="18" customHeight="1">
      <c r="C3375" s="12" t="s">
        <v>3970</v>
      </c>
      <c r="D3375" s="12"/>
      <c r="G3375" s="9"/>
      <c r="H3375" s="12"/>
      <c r="I3375" s="9" t="s">
        <v>9264</v>
      </c>
      <c r="J3375" s="25" t="e">
        <f>IF(shinsei_strtower25_prgo05_NAME="","",shinsei_strtower25_prgo05_NAME)&amp;CHAR(10)&amp;IF(shinsei_strtower25_prgo05_VER="","","Ver."&amp;shinsei_strtower25_prgo05_VER&amp;CHAR(10))</f>
        <v>#NAME?</v>
      </c>
    </row>
    <row r="3376" spans="2:12" s="10" customFormat="1" ht="18" customHeight="1">
      <c r="C3376" s="12" t="s">
        <v>3972</v>
      </c>
      <c r="D3376" s="12"/>
      <c r="G3376" s="9"/>
      <c r="H3376" s="12"/>
      <c r="I3376" s="9" t="s">
        <v>9265</v>
      </c>
      <c r="J3376" s="25" t="e">
        <f>IF(shinsei_strtower25_prgo05_NAME="","",shinsei_strtower25_prgo05_NAME&amp;" ")&amp;IF(shinsei_strtower25_prgo05_VER="","","Ver."&amp;shinsei_strtower25_prgo05_VER&amp;"  ")</f>
        <v>#NAME?</v>
      </c>
    </row>
    <row r="3377" spans="2:10" s="10" customFormat="1" ht="18" customHeight="1">
      <c r="C3377" s="12" t="s">
        <v>3974</v>
      </c>
      <c r="D3377" s="12"/>
      <c r="G3377" s="9"/>
      <c r="H3377" s="12"/>
    </row>
    <row r="3378" spans="2:10" s="10" customFormat="1" ht="18" customHeight="1">
      <c r="D3378" s="12" t="s">
        <v>3975</v>
      </c>
      <c r="G3378" s="9"/>
      <c r="H3378" s="12"/>
      <c r="I3378" s="9" t="s">
        <v>9266</v>
      </c>
      <c r="J3378" s="173" t="e">
        <f>IF(cst_shinsei_strtower25_prgo05_NINTEI__umu="有",IF(shinsei_strtower25_prgo05_MAKER_NAME="","",shinsei_strtower25_prgo05_MAKER_NAME&amp;"  "),"")</f>
        <v>#NAME?</v>
      </c>
    </row>
    <row r="3379" spans="2:10" s="10" customFormat="1" ht="18" customHeight="1">
      <c r="D3379" s="12" t="s">
        <v>3972</v>
      </c>
      <c r="G3379" s="9"/>
      <c r="H3379" s="12"/>
      <c r="I3379" s="9" t="s">
        <v>9267</v>
      </c>
      <c r="J3379" s="25" t="e">
        <f>IF(cst_shinsei_strtower25_prgo05_NINTEI__umu="有",IF(shinsei_strtower25_prgo05_NAME="","",shinsei_strtower25_prgo05_NAME&amp;" ")&amp;IF(shinsei_strtower25_prgo05_VER="","","Ver."&amp;shinsei_strtower25_prgo05_VER&amp;"  "),"")</f>
        <v>#NAME?</v>
      </c>
    </row>
    <row r="3380" spans="2:10" s="10" customFormat="1" ht="18" customHeight="1">
      <c r="C3380" s="12" t="s">
        <v>3981</v>
      </c>
      <c r="D3380" s="12"/>
      <c r="G3380" s="9"/>
      <c r="H3380" s="12"/>
    </row>
    <row r="3381" spans="2:10" s="10" customFormat="1" ht="18" customHeight="1">
      <c r="D3381" s="12" t="s">
        <v>3975</v>
      </c>
      <c r="G3381" s="9"/>
      <c r="H3381" s="12"/>
      <c r="I3381" s="9" t="s">
        <v>9268</v>
      </c>
      <c r="J3381" s="173" t="e">
        <f>IF(cst_shinsei_strtower25_prgo05_NINTEI__umu="無",IF(shinsei_strtower25_prgo05_MAKER_NAME="","",shinsei_strtower25_prgo05_MAKER_NAME&amp;"  "),"")</f>
        <v>#NAME?</v>
      </c>
    </row>
    <row r="3382" spans="2:10" s="10" customFormat="1" ht="18" customHeight="1">
      <c r="D3382" s="12" t="s">
        <v>3972</v>
      </c>
      <c r="G3382" s="9"/>
      <c r="H3382" s="12"/>
      <c r="I3382" s="9" t="s">
        <v>9269</v>
      </c>
      <c r="J3382" s="25" t="e">
        <f>IF(cst_shinsei_strtower25_prgo05_NINTEI__umu="無",IF(shinsei_strtower25_prgo05_NAME="","",shinsei_strtower25_prgo05_NAME&amp;" ")&amp;IF(shinsei_strtower25_prgo05_VER="","","Ver."&amp;shinsei_strtower25_prgo05_VER&amp;"  "),"")</f>
        <v>#NAME?</v>
      </c>
    </row>
    <row r="3383" spans="2:10" s="10" customFormat="1" ht="18" customHeight="1">
      <c r="B3383" s="13" t="s">
        <v>3827</v>
      </c>
      <c r="C3383" s="13"/>
      <c r="D3383" s="13"/>
      <c r="E3383" s="25"/>
      <c r="F3383" s="25"/>
      <c r="G3383" s="9"/>
      <c r="H3383" s="80"/>
      <c r="I3383" s="9"/>
      <c r="J3383" s="80"/>
    </row>
    <row r="3384" spans="2:10" s="10" customFormat="1" ht="18" customHeight="1">
      <c r="C3384" s="12" t="s">
        <v>3970</v>
      </c>
      <c r="D3384" s="12"/>
      <c r="G3384" s="9"/>
      <c r="H3384" s="80"/>
      <c r="I3384" s="166" t="s">
        <v>9270</v>
      </c>
      <c r="J3384" s="74" t="e">
        <f>cst_shinsei_strtower25_prgo01_NAME_VER&amp;cst_shinsei_strtower25_prgo02_NAME_VER&amp;cst_shinsei_strtower25_prgo03_NAME_VER&amp;cst_shinsei_strtower25_prgo04_NAME_VER&amp;cst_shinsei_strtower25_prgo05_NAME_VER</f>
        <v>#NAME?</v>
      </c>
    </row>
    <row r="3385" spans="2:10" s="10" customFormat="1" ht="18" customHeight="1">
      <c r="C3385" s="12" t="s">
        <v>3972</v>
      </c>
      <c r="D3385" s="12"/>
      <c r="G3385" s="9"/>
      <c r="H3385" s="80"/>
      <c r="I3385" s="166" t="s">
        <v>9271</v>
      </c>
      <c r="J3385" s="74" t="e">
        <f>cst_shinsei_strtower25_prgo01_NAME_VER__SP&amp;cst_shinsei_strtower25_prgo02_NAME_VER__SP&amp;cst_shinsei_strtower25_prgo03_NAME_VER__SP&amp;cst_shinsei_strtower25_prgo04_NAME_VER__SP&amp;cst_shinsei_strtower25_prgo05_NAME_VER__SP</f>
        <v>#NAME?</v>
      </c>
    </row>
    <row r="3386" spans="2:10" s="10" customFormat="1" ht="18" customHeight="1">
      <c r="B3386" s="13" t="s">
        <v>4068</v>
      </c>
      <c r="C3386" s="13"/>
      <c r="D3386" s="13"/>
      <c r="E3386" s="25"/>
      <c r="F3386" s="25"/>
      <c r="G3386" s="9"/>
      <c r="H3386" s="80"/>
      <c r="I3386" s="9"/>
      <c r="J3386" s="80"/>
    </row>
    <row r="3387" spans="2:10" s="10" customFormat="1" ht="18" customHeight="1">
      <c r="C3387" s="12" t="s">
        <v>3975</v>
      </c>
      <c r="D3387" s="12"/>
      <c r="G3387" s="9"/>
      <c r="H3387" s="80"/>
      <c r="I3387" s="166" t="s">
        <v>9272</v>
      </c>
      <c r="J3387" s="74" t="e">
        <f>cst_shinsei_strtower25_prgo01_MAKER__NINTEI_ari&amp;cst_shinsei_strtower25_prgo02_MAKER__NINTEI_ari&amp;cst_shinsei_strtower25_prgo03_MAKER__NINTEI_ari&amp;cst_shinsei_strtower25_prgo04_MAKER__NINTEI_ari&amp;cst_shinsei_strtower25_prgo05_MAKER__NINTEI_ari</f>
        <v>#NAME?</v>
      </c>
    </row>
    <row r="3388" spans="2:10" s="10" customFormat="1" ht="18" customHeight="1">
      <c r="C3388" s="12" t="s">
        <v>3972</v>
      </c>
      <c r="D3388" s="12"/>
      <c r="G3388" s="9"/>
      <c r="H3388" s="80"/>
      <c r="I3388" s="166" t="s">
        <v>9273</v>
      </c>
      <c r="J3388" s="173" t="e">
        <f>cst_shinsei_strtower25_prgo01_NAME_VER__NINTEI_ari&amp;cst_shinsei_strtower25_prgo02_NAME_VER__NINTEI_ari&amp;cst_shinsei_strtower25_prgo03_NAME_VER__NINTEI_ari&amp;cst_shinsei_strtower25_prgo04_NAME_VER__NINTEI_ari&amp;cst_shinsei_strtower25_prgo05_NAME_VER__NINTEI_ari</f>
        <v>#NAME?</v>
      </c>
    </row>
    <row r="3389" spans="2:10" s="10" customFormat="1" ht="18" customHeight="1">
      <c r="C3389" s="12" t="s">
        <v>3964</v>
      </c>
      <c r="D3389" s="12"/>
      <c r="G3389" s="9"/>
      <c r="H3389" s="80"/>
      <c r="I3389" s="166" t="s">
        <v>9274</v>
      </c>
      <c r="J3389" s="74" t="e">
        <f>cst_shinsei_strtower25_prgo01_NINTEI_DATE_dsp&amp;cst_shinsei_strtower25_prgo02_NINTEI_DATE_dsp&amp;cst_shinsei_strtower25_prgo03_NINTEI_DATE_dsp&amp;cst_shinsei_strtower25_prgo04_NINTEI_DATE_dsp&amp;cst_shinsei_strtower25_prgo05_NINTEI_DATE_dsp</f>
        <v>#NAME?</v>
      </c>
    </row>
    <row r="3390" spans="2:10" s="10" customFormat="1" ht="18" customHeight="1">
      <c r="B3390" s="13" t="s">
        <v>4072</v>
      </c>
      <c r="C3390" s="13"/>
      <c r="D3390" s="13"/>
      <c r="E3390" s="25"/>
      <c r="F3390" s="25"/>
      <c r="G3390" s="9"/>
      <c r="H3390" s="80"/>
      <c r="I3390" s="9"/>
      <c r="J3390" s="80"/>
    </row>
    <row r="3391" spans="2:10" s="10" customFormat="1" ht="18" customHeight="1">
      <c r="C3391" s="12" t="s">
        <v>3975</v>
      </c>
      <c r="D3391" s="12"/>
      <c r="G3391" s="9"/>
      <c r="H3391" s="80"/>
      <c r="I3391" s="166" t="s">
        <v>9275</v>
      </c>
      <c r="J3391" s="74" t="e">
        <f>cst_shinsei_strtower25_prgo01_MAKER__NINTEI_non&amp;cst_shinsei_strtower25_prgo02_MAKER__NINTEI_non&amp;cst_shinsei_strtower25_prgo03_MAKER__NINTEI_non&amp;cst_shinsei_strtower25_prgo04_MAKER__NINTEI_non&amp;cst_shinsei_strtower25_prgo05_MAKER__NINTEI_non</f>
        <v>#NAME?</v>
      </c>
    </row>
    <row r="3392" spans="2:10" s="10" customFormat="1" ht="18" customHeight="1">
      <c r="C3392" s="12" t="s">
        <v>3972</v>
      </c>
      <c r="D3392" s="12"/>
      <c r="G3392" s="9"/>
      <c r="H3392" s="80"/>
      <c r="I3392" s="166" t="s">
        <v>9276</v>
      </c>
      <c r="J3392" s="173" t="e">
        <f>cst_shinsei_strtower25_prgo01_NAME_VER__NINTEI_non&amp;cst_shinsei_strtower25_prgo02_NAME_VER__NINTEI_non&amp;cst_shinsei_strtower25_prgo03_NAME_VER__NINTEI_non&amp;cst_shinsei_strtower25_prgo04_NAME_VER__NINTEI_non&amp;cst_shinsei_strtower25_prgo05_NAME_VER__NINTEI_non</f>
        <v>#NAME?</v>
      </c>
    </row>
    <row r="3393" spans="1:12" s="10" customFormat="1" ht="18" customHeight="1">
      <c r="B3393" s="12" t="s">
        <v>4075</v>
      </c>
      <c r="G3393" s="9" t="s">
        <v>9277</v>
      </c>
      <c r="H3393" s="20"/>
      <c r="I3393" s="9" t="s">
        <v>9278</v>
      </c>
      <c r="J3393" s="20" t="e">
        <f>IF(shinsei_strtower25_DISK_FLAG="","",IF(shinsei_strtower25_DISK_FLAG=1,"有","無"))</f>
        <v>#NAME?</v>
      </c>
    </row>
    <row r="3394" spans="1:12" s="10" customFormat="1" ht="18" customHeight="1">
      <c r="A3394" s="9"/>
      <c r="B3394" s="9" t="s">
        <v>2955</v>
      </c>
      <c r="C3394" s="9"/>
      <c r="D3394" s="9"/>
      <c r="E3394" s="9"/>
      <c r="F3394" s="9"/>
      <c r="G3394" s="9" t="s">
        <v>9279</v>
      </c>
      <c r="H3394" s="136"/>
      <c r="I3394" s="19" t="s">
        <v>9280</v>
      </c>
      <c r="J3394" s="171" t="e">
        <f>IF(shinsei_strtower25_CHARGE="","",shinsei_strtower25_CHARGE)</f>
        <v>#NAME?</v>
      </c>
      <c r="K3394" s="9" t="s">
        <v>2528</v>
      </c>
      <c r="L3394" s="9" t="s">
        <v>2528</v>
      </c>
    </row>
    <row r="3395" spans="1:12" ht="18" customHeight="1">
      <c r="A3395" s="149"/>
      <c r="B3395" s="149"/>
      <c r="C3395" s="149"/>
      <c r="D3395" s="149"/>
      <c r="E3395" s="12" t="s">
        <v>3907</v>
      </c>
      <c r="F3395" s="12"/>
      <c r="G3395" s="149"/>
      <c r="I3395" s="100" t="s">
        <v>9281</v>
      </c>
      <c r="J3395" s="171" t="e">
        <f>IF(shinsei_strtower25_CHARGE="","",TEXT(shinsei_strtower25_CHARGE,"#,##0_ ")&amp;"円")</f>
        <v>#NAME?</v>
      </c>
      <c r="K3395" s="9"/>
      <c r="L3395" s="9"/>
    </row>
    <row r="3396" spans="1:12" ht="18" customHeight="1">
      <c r="A3396" s="149"/>
      <c r="B3396" s="149" t="s">
        <v>3041</v>
      </c>
      <c r="C3396" s="149"/>
      <c r="D3396" s="149"/>
      <c r="E3396" s="149"/>
      <c r="F3396" s="149"/>
      <c r="G3396" s="149" t="s">
        <v>9282</v>
      </c>
      <c r="H3396" s="136"/>
      <c r="I3396" s="100" t="s">
        <v>9283</v>
      </c>
      <c r="J3396" s="136" t="e">
        <f>IF(shinsei_strtower25_CHARGE_WARIMASHI="","",shinsei_strtower25_CHARGE_WARIMASHI)</f>
        <v>#NAME?</v>
      </c>
      <c r="K3396" s="9" t="s">
        <v>2528</v>
      </c>
      <c r="L3396" s="9" t="s">
        <v>2528</v>
      </c>
    </row>
    <row r="3397" spans="1:12" ht="18" customHeight="1">
      <c r="A3397" s="149"/>
      <c r="B3397" s="149" t="s">
        <v>3043</v>
      </c>
      <c r="C3397" s="149"/>
      <c r="D3397" s="149"/>
      <c r="E3397" s="149"/>
      <c r="F3397" s="149"/>
      <c r="G3397" s="149" t="s">
        <v>9284</v>
      </c>
      <c r="H3397" s="136"/>
      <c r="I3397" s="100" t="s">
        <v>9285</v>
      </c>
      <c r="J3397" s="136" t="e">
        <f>IF(shinsei_strtower25_CHARGE_TOTAL="","",shinsei_strtower25_CHARGE_TOTAL)</f>
        <v>#NAME?</v>
      </c>
      <c r="K3397" s="9" t="s">
        <v>2528</v>
      </c>
      <c r="L3397" s="9" t="s">
        <v>2528</v>
      </c>
    </row>
    <row r="3398" spans="1:12" ht="18" customHeight="1">
      <c r="A3398" s="149"/>
      <c r="B3398" s="149" t="s">
        <v>5637</v>
      </c>
      <c r="C3398" s="149"/>
      <c r="D3398" s="149"/>
      <c r="E3398" s="149"/>
      <c r="F3398" s="149"/>
      <c r="G3398" s="149" t="s">
        <v>9286</v>
      </c>
      <c r="H3398" s="13"/>
      <c r="I3398" s="176" t="s">
        <v>9287</v>
      </c>
      <c r="J3398" s="20" t="e">
        <f>IF(shinsei_strtower25_CHARGE_KEISAN_NOTE="","",shinsei_strtower25_CHARGE_KEISAN_NOTE)</f>
        <v>#NAME?</v>
      </c>
      <c r="K3398" s="10" t="s">
        <v>3862</v>
      </c>
      <c r="L3398" s="10" t="s">
        <v>3879</v>
      </c>
    </row>
    <row r="3399" spans="1:12" ht="18" customHeight="1">
      <c r="A3399" s="149"/>
      <c r="B3399" s="149"/>
      <c r="C3399" s="149"/>
      <c r="D3399" s="149"/>
      <c r="E3399" s="149" t="s">
        <v>5640</v>
      </c>
      <c r="F3399" s="149"/>
      <c r="G3399" s="149"/>
      <c r="I3399" s="100" t="s">
        <v>9288</v>
      </c>
      <c r="J3399" s="20" t="e">
        <f>IF(shinsei_INSPECTION_TYPE="計画変更",IF(shinsei_strtower25_CHARGE="","","延べ面積×1/2により算出"),IF(shinsei_strtower25_CHARGE_KEISAN_NOTE="","",shinsei_strtower25_CHARGE_KEISAN_NOTE))</f>
        <v>#NAME?</v>
      </c>
    </row>
    <row r="3400" spans="1:12" ht="18" customHeight="1">
      <c r="A3400" s="149"/>
      <c r="B3400" s="149" t="s">
        <v>5642</v>
      </c>
      <c r="C3400" s="149"/>
      <c r="D3400" s="149"/>
      <c r="E3400" s="149"/>
      <c r="F3400" s="149"/>
      <c r="G3400" s="149" t="s">
        <v>9289</v>
      </c>
      <c r="H3400" s="13"/>
      <c r="I3400" s="149" t="s">
        <v>9290</v>
      </c>
      <c r="J3400" s="20" t="e">
        <f>IF(shinsei_strtower25_KEISAN_X_ROUTE="","",shinsei_strtower25_KEISAN_X_ROUTE)</f>
        <v>#NAME?</v>
      </c>
    </row>
    <row r="3401" spans="1:12" ht="18" customHeight="1">
      <c r="A3401" s="149"/>
      <c r="B3401" s="149" t="s">
        <v>5645</v>
      </c>
      <c r="C3401" s="149"/>
      <c r="D3401" s="149"/>
      <c r="E3401" s="149"/>
      <c r="F3401" s="149"/>
      <c r="G3401" s="149" t="s">
        <v>9291</v>
      </c>
      <c r="H3401" s="13"/>
      <c r="I3401" s="149" t="s">
        <v>9292</v>
      </c>
      <c r="J3401" s="20" t="e">
        <f>IF(shinsei_strtower25_KEISAN_Y_ROUTE="","",shinsei_strtower25_KEISAN_Y_ROUTE)</f>
        <v>#NAME?</v>
      </c>
    </row>
    <row r="3402" spans="1:12" ht="18" customHeight="1">
      <c r="A3402" s="149"/>
      <c r="B3402" s="149"/>
      <c r="C3402" s="149" t="s">
        <v>3805</v>
      </c>
      <c r="D3402" s="149"/>
      <c r="E3402" s="149"/>
      <c r="F3402" s="149"/>
      <c r="G3402" s="149"/>
      <c r="H3402" s="12"/>
      <c r="I3402" s="149" t="s">
        <v>9293</v>
      </c>
      <c r="J3402" s="20" t="e">
        <f>IF(AND(cst_shinsei_strtower25_KEISAN_X_ROUTE="3",cst_shinsei_strtower25_KEISAN_Y_ROUTE="3"),"■","□")</f>
        <v>#NAME?</v>
      </c>
    </row>
    <row r="3403" spans="1:12" ht="18" customHeight="1">
      <c r="A3403" s="149"/>
      <c r="B3403" s="149" t="s">
        <v>5650</v>
      </c>
      <c r="C3403" s="149"/>
      <c r="D3403" s="149"/>
      <c r="E3403" s="149"/>
      <c r="F3403" s="149"/>
      <c r="G3403" s="149" t="s">
        <v>9294</v>
      </c>
      <c r="H3403" s="13"/>
      <c r="I3403" s="149" t="s">
        <v>9295</v>
      </c>
      <c r="J3403" s="20" t="e">
        <f>IF(shinsei_strtower25_PROGRAM_KIND_SONOTA="","",shinsei_strtower25_PROGRAM_KIND_SONOTA)</f>
        <v>#NAME?</v>
      </c>
    </row>
    <row r="3404" spans="1:12" ht="18" customHeight="1">
      <c r="A3404" s="149"/>
      <c r="B3404" s="149"/>
      <c r="C3404" s="149"/>
      <c r="D3404" s="149"/>
      <c r="E3404" s="149"/>
      <c r="F3404" s="149"/>
      <c r="G3404" s="149"/>
    </row>
    <row r="3405" spans="1:12" s="10" customFormat="1" ht="18" customHeight="1">
      <c r="A3405" s="162" t="s">
        <v>3167</v>
      </c>
      <c r="B3405" s="162"/>
      <c r="C3405" s="162"/>
      <c r="D3405" s="162"/>
      <c r="E3405" s="163"/>
      <c r="F3405" s="163"/>
      <c r="G3405" s="164"/>
      <c r="H3405" s="165"/>
      <c r="I3405" s="9"/>
    </row>
    <row r="3406" spans="1:12" s="10" customFormat="1" ht="18" customHeight="1">
      <c r="A3406" s="12"/>
      <c r="B3406" s="12" t="s">
        <v>3859</v>
      </c>
      <c r="C3406" s="12"/>
      <c r="D3406" s="12"/>
      <c r="E3406" s="11"/>
      <c r="F3406" s="11"/>
      <c r="G3406" s="10" t="s">
        <v>9296</v>
      </c>
      <c r="H3406" s="13"/>
      <c r="I3406" s="19" t="s">
        <v>9297</v>
      </c>
      <c r="J3406" s="25" t="e">
        <f>IF(shinsei_strtower26_TOWER_NO="","",shinsei_strtower26_TOWER_NO)</f>
        <v>#NAME?</v>
      </c>
      <c r="K3406" s="10" t="s">
        <v>3862</v>
      </c>
    </row>
    <row r="3407" spans="1:12" s="10" customFormat="1" ht="18" customHeight="1">
      <c r="A3407" s="12"/>
      <c r="B3407" s="12" t="s">
        <v>3864</v>
      </c>
      <c r="C3407" s="12"/>
      <c r="D3407" s="12"/>
      <c r="E3407" s="11"/>
      <c r="F3407" s="11"/>
      <c r="G3407" s="9" t="s">
        <v>9298</v>
      </c>
      <c r="H3407" s="13"/>
      <c r="I3407" s="19" t="s">
        <v>9299</v>
      </c>
      <c r="J3407" s="25" t="e">
        <f>IF(shinsei_strtower26_STR_TOWER_NO="","",shinsei_strtower26_STR_TOWER_NO)</f>
        <v>#NAME?</v>
      </c>
      <c r="K3407" s="10" t="s">
        <v>3862</v>
      </c>
      <c r="L3407" s="10" t="s">
        <v>3879</v>
      </c>
    </row>
    <row r="3408" spans="1:12" s="166" customFormat="1" ht="18" customHeight="1">
      <c r="B3408" s="12" t="s">
        <v>3868</v>
      </c>
      <c r="I3408" s="9" t="s">
        <v>9300</v>
      </c>
      <c r="J3408" s="167" t="e">
        <f>CONCATENATE(cst_shinsei_strtower26_TOWER_NO," - ",cst_shinsei_strtower26_STR_TOWER_NO)</f>
        <v>#NAME?</v>
      </c>
    </row>
    <row r="3409" spans="1:12" s="166" customFormat="1" ht="18" customHeight="1">
      <c r="B3409" s="12" t="s">
        <v>3870</v>
      </c>
      <c r="I3409" s="9" t="s">
        <v>9301</v>
      </c>
      <c r="J3409" s="167" t="e">
        <f>CONCATENATE(cst_shinsei_strtower26_STR_TOWER_NO," ／ ",cst_shinsei_STR_SHINSEI_TOWERS)</f>
        <v>#NAME?</v>
      </c>
    </row>
    <row r="3410" spans="1:12" s="10" customFormat="1" ht="18" customHeight="1">
      <c r="A3410" s="12"/>
      <c r="B3410" s="12" t="s">
        <v>3872</v>
      </c>
      <c r="C3410" s="11"/>
      <c r="D3410" s="11"/>
      <c r="E3410" s="11"/>
      <c r="F3410" s="11"/>
      <c r="G3410" s="9" t="s">
        <v>9302</v>
      </c>
      <c r="H3410" s="13"/>
      <c r="I3410" s="9" t="s">
        <v>9303</v>
      </c>
      <c r="J3410" s="25" t="e">
        <f>IF(shinsei_strtower26_STR_TOWER_NAME="","",shinsei_strtower26_STR_TOWER_NAME)</f>
        <v>#NAME?</v>
      </c>
    </row>
    <row r="3411" spans="1:12" s="10" customFormat="1" ht="18" customHeight="1">
      <c r="A3411" s="12"/>
      <c r="B3411" s="12" t="s">
        <v>3875</v>
      </c>
      <c r="C3411" s="12"/>
      <c r="D3411" s="12"/>
      <c r="E3411" s="11"/>
      <c r="F3411" s="11"/>
      <c r="G3411" s="9" t="s">
        <v>9304</v>
      </c>
      <c r="H3411" s="20"/>
      <c r="I3411" s="20" t="s">
        <v>9305</v>
      </c>
      <c r="J3411" s="25" t="e">
        <f>IF(shinsei_strtower26_JUDGE="","",shinsei_strtower26_JUDGE)</f>
        <v>#NAME?</v>
      </c>
      <c r="K3411" s="10" t="s">
        <v>3878</v>
      </c>
      <c r="L3411" s="10" t="s">
        <v>3879</v>
      </c>
    </row>
    <row r="3412" spans="1:12" s="10" customFormat="1" ht="18" customHeight="1">
      <c r="A3412" s="12"/>
      <c r="B3412" s="12" t="s">
        <v>4441</v>
      </c>
      <c r="C3412" s="12"/>
      <c r="D3412" s="12"/>
      <c r="E3412" s="11"/>
      <c r="F3412" s="11"/>
      <c r="G3412" s="9" t="s">
        <v>9306</v>
      </c>
      <c r="H3412" s="13"/>
      <c r="I3412" s="9" t="s">
        <v>9307</v>
      </c>
      <c r="J3412" s="25" t="e">
        <f>IF(shinsei_strtower26_STR_TOWER_YOUTO_TEXT="","",shinsei_strtower26_STR_TOWER_YOUTO_TEXT)</f>
        <v>#NAME?</v>
      </c>
      <c r="K3412" s="10" t="s">
        <v>3862</v>
      </c>
      <c r="L3412" s="10" t="s">
        <v>3879</v>
      </c>
    </row>
    <row r="3413" spans="1:12" s="10" customFormat="1" ht="18" customHeight="1">
      <c r="A3413" s="12"/>
      <c r="B3413" s="12" t="s">
        <v>3790</v>
      </c>
      <c r="C3413" s="12"/>
      <c r="D3413" s="12"/>
      <c r="E3413" s="11"/>
      <c r="F3413" s="11"/>
      <c r="G3413" s="9" t="s">
        <v>9308</v>
      </c>
      <c r="H3413" s="13"/>
      <c r="I3413" s="9" t="s">
        <v>9309</v>
      </c>
      <c r="J3413" s="25" t="e">
        <f>IF(shinsei_strtower26_KOUJI_TEXT="","",shinsei_strtower26_KOUJI_TEXT)</f>
        <v>#NAME?</v>
      </c>
      <c r="K3413" s="10" t="s">
        <v>3862</v>
      </c>
      <c r="L3413" s="10" t="s">
        <v>3879</v>
      </c>
    </row>
    <row r="3414" spans="1:12" s="10" customFormat="1" ht="18" customHeight="1">
      <c r="A3414" s="12"/>
      <c r="B3414" s="12" t="s">
        <v>3888</v>
      </c>
      <c r="C3414" s="11"/>
      <c r="D3414" s="11"/>
      <c r="E3414" s="11"/>
      <c r="F3414" s="11"/>
      <c r="G3414" s="9" t="s">
        <v>9310</v>
      </c>
      <c r="H3414" s="13"/>
      <c r="I3414" s="9" t="s">
        <v>9311</v>
      </c>
      <c r="J3414" s="25" t="e">
        <f>IF(shinsei_strtower26_KOUZOU_TEXT="","",shinsei_strtower26_KOUZOU_TEXT)</f>
        <v>#NAME?</v>
      </c>
    </row>
    <row r="3415" spans="1:12" s="10" customFormat="1" ht="18" customHeight="1">
      <c r="A3415" s="12"/>
      <c r="B3415" s="12" t="s">
        <v>3888</v>
      </c>
      <c r="C3415" s="12"/>
      <c r="D3415" s="12"/>
      <c r="E3415" s="11"/>
      <c r="F3415" s="11"/>
      <c r="G3415" s="9" t="s">
        <v>9312</v>
      </c>
      <c r="H3415" s="13"/>
      <c r="I3415" s="9" t="s">
        <v>9313</v>
      </c>
      <c r="J3415" s="25" t="e">
        <f>IF(shinsei_strtower26_KOUZOU_TEXT="","",shinsei_strtower26_KOUZOU_TEXT)</f>
        <v>#NAME?</v>
      </c>
    </row>
    <row r="3416" spans="1:12" s="10" customFormat="1" ht="18" customHeight="1">
      <c r="A3416" s="12"/>
      <c r="B3416" s="12" t="s">
        <v>3893</v>
      </c>
      <c r="C3416" s="11"/>
      <c r="D3416" s="11"/>
      <c r="E3416" s="11"/>
      <c r="F3416" s="11"/>
      <c r="G3416" s="9" t="s">
        <v>9314</v>
      </c>
      <c r="H3416" s="13"/>
      <c r="I3416" s="9" t="s">
        <v>9315</v>
      </c>
      <c r="J3416" s="25" t="e">
        <f>IF(shinsei_strtower26_KOUZOU_KEISAN="","",shinsei_strtower26_KOUZOU_KEISAN)</f>
        <v>#NAME?</v>
      </c>
    </row>
    <row r="3417" spans="1:12" s="10" customFormat="1" ht="18" customHeight="1">
      <c r="A3417" s="12"/>
      <c r="B3417" s="12" t="s">
        <v>3893</v>
      </c>
      <c r="C3417" s="12"/>
      <c r="D3417" s="12"/>
      <c r="E3417" s="11"/>
      <c r="F3417" s="11"/>
      <c r="G3417" s="9" t="s">
        <v>9316</v>
      </c>
      <c r="H3417" s="13"/>
      <c r="I3417" s="10" t="s">
        <v>9317</v>
      </c>
      <c r="J3417" s="25" t="e">
        <f>IF(shinsei_strtower26_KOUZOU_KEISAN_TEXT="","",shinsei_strtower26_KOUZOU_KEISAN_TEXT)</f>
        <v>#NAME?</v>
      </c>
    </row>
    <row r="3418" spans="1:12" s="10" customFormat="1" ht="18" customHeight="1">
      <c r="A3418" s="12"/>
      <c r="B3418" s="12" t="s">
        <v>3902</v>
      </c>
      <c r="C3418" s="12"/>
      <c r="D3418" s="12"/>
      <c r="E3418" s="11"/>
      <c r="F3418" s="11"/>
      <c r="G3418" s="9" t="s">
        <v>9318</v>
      </c>
      <c r="H3418" s="65"/>
      <c r="I3418" s="19" t="s">
        <v>9319</v>
      </c>
      <c r="J3418" s="168" t="e">
        <f>IF(shinsei_strtower26_MENSEKI="","",shinsei_strtower26_MENSEKI)</f>
        <v>#NAME?</v>
      </c>
      <c r="K3418" s="10" t="s">
        <v>3906</v>
      </c>
      <c r="L3418" s="10" t="s">
        <v>3906</v>
      </c>
    </row>
    <row r="3419" spans="1:12" ht="18" customHeight="1">
      <c r="A3419" s="12"/>
      <c r="B3419" s="12"/>
      <c r="C3419" s="12"/>
      <c r="D3419" s="12"/>
      <c r="E3419" s="12" t="s">
        <v>3907</v>
      </c>
      <c r="F3419" s="12"/>
      <c r="G3419" s="9"/>
      <c r="H3419" s="9"/>
      <c r="I3419" s="9" t="s">
        <v>9320</v>
      </c>
      <c r="J3419" s="168" t="e">
        <f>IF(shinsei_strtower26_MENSEKI="","",TEXT(shinsei_strtower26_MENSEKI,"#,##0.00_ ")&amp;"㎡")</f>
        <v>#NAME?</v>
      </c>
    </row>
    <row r="3420" spans="1:12" s="10" customFormat="1" ht="18" customHeight="1">
      <c r="A3420" s="12"/>
      <c r="B3420" s="12" t="s">
        <v>4390</v>
      </c>
      <c r="C3420" s="12"/>
      <c r="D3420" s="12"/>
      <c r="E3420" s="11"/>
      <c r="F3420" s="11"/>
      <c r="G3420" s="9" t="s">
        <v>9321</v>
      </c>
      <c r="H3420" s="93"/>
      <c r="I3420" s="9" t="s">
        <v>9322</v>
      </c>
      <c r="J3420" s="170" t="e">
        <f>IF(shinsei_strtower26_MAX_TAKASA="","",shinsei_strtower26_MAX_TAKASA)</f>
        <v>#NAME?</v>
      </c>
      <c r="K3420" s="10" t="s">
        <v>3911</v>
      </c>
      <c r="L3420" s="10" t="s">
        <v>3911</v>
      </c>
    </row>
    <row r="3421" spans="1:12" s="10" customFormat="1" ht="18" customHeight="1">
      <c r="A3421" s="12"/>
      <c r="B3421" s="12" t="s">
        <v>4388</v>
      </c>
      <c r="C3421" s="11"/>
      <c r="D3421" s="11"/>
      <c r="E3421" s="11"/>
      <c r="F3421" s="11"/>
      <c r="G3421" s="9" t="s">
        <v>9323</v>
      </c>
      <c r="H3421" s="93"/>
      <c r="I3421" s="9" t="s">
        <v>9324</v>
      </c>
      <c r="J3421" s="170" t="e">
        <f>IF(shinsei_strtower26_MAX_NOKI_TAKASA="","",shinsei_strtower26_MAX_NOKI_TAKASA)</f>
        <v>#NAME?</v>
      </c>
    </row>
    <row r="3422" spans="1:12" s="10" customFormat="1" ht="18" customHeight="1">
      <c r="A3422" s="12"/>
      <c r="B3422" s="12" t="s">
        <v>3782</v>
      </c>
      <c r="C3422" s="12"/>
      <c r="D3422" s="12"/>
      <c r="E3422" s="11"/>
      <c r="F3422" s="11"/>
      <c r="G3422" s="9"/>
      <c r="H3422" s="9"/>
      <c r="I3422" s="9"/>
    </row>
    <row r="3423" spans="1:12" s="10" customFormat="1" ht="18" customHeight="1">
      <c r="A3423" s="12"/>
      <c r="B3423" s="12"/>
      <c r="C3423" s="11" t="s">
        <v>3783</v>
      </c>
      <c r="D3423" s="12"/>
      <c r="G3423" s="9" t="s">
        <v>9325</v>
      </c>
      <c r="H3423" s="136"/>
      <c r="I3423" s="9" t="s">
        <v>9326</v>
      </c>
      <c r="J3423" s="171" t="e">
        <f>IF(shinsei_strtower26_KAISU_TIJYOU="","",shinsei_strtower26_KAISU_TIJYOU)</f>
        <v>#NAME?</v>
      </c>
      <c r="K3423" s="10" t="s">
        <v>3916</v>
      </c>
      <c r="L3423" s="10" t="s">
        <v>3916</v>
      </c>
    </row>
    <row r="3424" spans="1:12" s="10" customFormat="1" ht="18" customHeight="1">
      <c r="A3424" s="12"/>
      <c r="B3424" s="12"/>
      <c r="C3424" s="11" t="s">
        <v>3785</v>
      </c>
      <c r="D3424" s="12"/>
      <c r="G3424" s="9" t="s">
        <v>9327</v>
      </c>
      <c r="H3424" s="136"/>
      <c r="I3424" s="9" t="s">
        <v>9328</v>
      </c>
      <c r="J3424" s="171" t="e">
        <f>IF(shinsei_strtower26_KAISU_TIKA="","",shinsei_strtower26_KAISU_TIKA)</f>
        <v>#NAME?</v>
      </c>
      <c r="K3424" s="10" t="s">
        <v>3916</v>
      </c>
      <c r="L3424" s="10" t="s">
        <v>3916</v>
      </c>
    </row>
    <row r="3425" spans="1:12" s="10" customFormat="1" ht="18" customHeight="1">
      <c r="A3425" s="12"/>
      <c r="B3425" s="12"/>
      <c r="C3425" s="11" t="s">
        <v>3787</v>
      </c>
      <c r="D3425" s="12"/>
      <c r="G3425" s="9" t="s">
        <v>9329</v>
      </c>
      <c r="H3425" s="136"/>
      <c r="I3425" s="9" t="s">
        <v>9330</v>
      </c>
      <c r="J3425" s="171" t="e">
        <f>IF(shinsei_strtower26_KAISU_TOUYA="","",shinsei_strtower26_KAISU_TOUYA)</f>
        <v>#NAME?</v>
      </c>
      <c r="K3425" s="10" t="s">
        <v>3916</v>
      </c>
      <c r="L3425" s="10" t="s">
        <v>3916</v>
      </c>
    </row>
    <row r="3426" spans="1:12" s="10" customFormat="1" ht="18" customHeight="1">
      <c r="B3426" s="12" t="s">
        <v>3923</v>
      </c>
      <c r="G3426" s="9" t="s">
        <v>9331</v>
      </c>
      <c r="H3426" s="13"/>
      <c r="I3426" s="10" t="s">
        <v>9332</v>
      </c>
      <c r="J3426" s="25" t="e">
        <f>IF(shinsei_strtower26_BUILD_KUBUN="","",shinsei_strtower26_BUILD_KUBUN)</f>
        <v>#NAME?</v>
      </c>
    </row>
    <row r="3427" spans="1:12" s="10" customFormat="1" ht="18" customHeight="1">
      <c r="B3427" s="12" t="s">
        <v>3923</v>
      </c>
      <c r="C3427" s="12"/>
      <c r="D3427" s="12"/>
      <c r="G3427" s="9" t="s">
        <v>9333</v>
      </c>
      <c r="H3427" s="13"/>
      <c r="I3427" s="10" t="s">
        <v>9334</v>
      </c>
      <c r="J3427" s="25" t="e">
        <f>IF(shinsei_strtower26_BUILD_KUBUN_TEXT="","",shinsei_strtower26_BUILD_KUBUN_TEXT)</f>
        <v>#NAME?</v>
      </c>
      <c r="K3427" s="10" t="s">
        <v>3862</v>
      </c>
    </row>
    <row r="3428" spans="1:12" s="10" customFormat="1" ht="18" customHeight="1">
      <c r="A3428" s="149"/>
      <c r="B3428" s="149"/>
      <c r="C3428" s="149" t="s">
        <v>3801</v>
      </c>
      <c r="D3428" s="149"/>
      <c r="E3428" s="149"/>
      <c r="F3428" s="149"/>
      <c r="G3428" s="149"/>
      <c r="H3428" s="12"/>
      <c r="I3428" s="149" t="s">
        <v>9335</v>
      </c>
      <c r="J3428" s="20" t="e">
        <f>IF(shinsei_strtower26_BUILD_KUBUN_TEXT="建築基準法第20条第２号に掲げる建築物","■","□")</f>
        <v>#NAME?</v>
      </c>
    </row>
    <row r="3429" spans="1:12" s="10" customFormat="1" ht="18" customHeight="1">
      <c r="A3429" s="149"/>
      <c r="B3429" s="149"/>
      <c r="C3429" s="149" t="s">
        <v>3801</v>
      </c>
      <c r="D3429" s="149"/>
      <c r="E3429" s="149"/>
      <c r="F3429" s="149"/>
      <c r="G3429" s="149"/>
      <c r="H3429" s="12"/>
      <c r="I3429" s="149" t="s">
        <v>9336</v>
      </c>
      <c r="J3429" s="20" t="e">
        <f>IF(shinsei_strtower26_BUILD_KUBUN_TEXT="建築基準法第20条第３号に掲げる建築物","■","□")</f>
        <v>#NAME?</v>
      </c>
    </row>
    <row r="3430" spans="1:12" s="10" customFormat="1" ht="18" customHeight="1">
      <c r="A3430" s="12"/>
      <c r="B3430" s="12" t="s">
        <v>3932</v>
      </c>
      <c r="C3430" s="12"/>
      <c r="D3430" s="12"/>
      <c r="E3430" s="11"/>
      <c r="F3430" s="11"/>
      <c r="G3430" s="9" t="s">
        <v>9337</v>
      </c>
      <c r="H3430" s="13"/>
      <c r="I3430" s="9" t="s">
        <v>9338</v>
      </c>
      <c r="J3430" s="25" t="e">
        <f>IF(shinsei_strtower26_MENJYO_TEXT="","",shinsei_strtower26_MENJYO_TEXT)</f>
        <v>#NAME?</v>
      </c>
      <c r="K3430" s="10" t="s">
        <v>3862</v>
      </c>
    </row>
    <row r="3431" spans="1:12" s="10" customFormat="1" ht="18" customHeight="1">
      <c r="A3431" s="12"/>
      <c r="B3431" s="12" t="s">
        <v>3935</v>
      </c>
      <c r="C3431" s="12"/>
      <c r="D3431" s="12"/>
      <c r="E3431" s="11"/>
      <c r="F3431" s="11"/>
      <c r="G3431" s="9" t="s">
        <v>9339</v>
      </c>
      <c r="H3431" s="20"/>
      <c r="I3431" s="9" t="s">
        <v>9340</v>
      </c>
      <c r="J3431" s="25" t="e">
        <f>IF(shinsei_strtower26_PROGRAM_KIND="","",shinsei_strtower26_PROGRAM_KIND)</f>
        <v>#NAME?</v>
      </c>
      <c r="K3431" s="10" t="s">
        <v>5704</v>
      </c>
    </row>
    <row r="3432" spans="1:12" s="10" customFormat="1" ht="18" customHeight="1">
      <c r="B3432" s="12" t="s">
        <v>3939</v>
      </c>
      <c r="C3432" s="12"/>
      <c r="D3432" s="12"/>
      <c r="G3432" s="9" t="s">
        <v>9341</v>
      </c>
      <c r="H3432" s="13"/>
      <c r="I3432" s="10" t="s">
        <v>9342</v>
      </c>
      <c r="J3432" s="25" t="e">
        <f>IF(shinsei_strtower26_REI80_2_KOKUJI_TEXT="","",shinsei_strtower26_REI80_2_KOKUJI_TEXT)</f>
        <v>#NAME?</v>
      </c>
    </row>
    <row r="3433" spans="1:12" s="10" customFormat="1" ht="18" customHeight="1">
      <c r="B3433" s="12" t="s">
        <v>3943</v>
      </c>
      <c r="C3433" s="12"/>
      <c r="D3433" s="12"/>
      <c r="G3433" s="9" t="s">
        <v>9343</v>
      </c>
      <c r="H3433" s="13"/>
      <c r="I3433" s="10" t="s">
        <v>9344</v>
      </c>
      <c r="J3433" s="25" t="e">
        <f>IF(shinsei_strtower26_PROGRAM_KIND__nintei__box="■",2,IF(OR(shinsei_strtower26_PROGRAM_KIND__hyouka__box="■",shinsei_strtower26_PROGRAM_KIND__sonota__box="■"),1,0))</f>
        <v>#NAME?</v>
      </c>
      <c r="K3433" s="10" t="s">
        <v>3946</v>
      </c>
    </row>
    <row r="3434" spans="1:12" s="10" customFormat="1" ht="18" customHeight="1">
      <c r="B3434" s="12" t="s">
        <v>3947</v>
      </c>
      <c r="C3434" s="12"/>
      <c r="D3434" s="12"/>
      <c r="G3434" s="9" t="s">
        <v>9345</v>
      </c>
      <c r="H3434" s="13"/>
    </row>
    <row r="3435" spans="1:12" s="10" customFormat="1" ht="18" customHeight="1">
      <c r="B3435" s="12" t="s">
        <v>4305</v>
      </c>
      <c r="C3435" s="12"/>
      <c r="D3435" s="12"/>
      <c r="G3435" s="9" t="s">
        <v>9346</v>
      </c>
      <c r="H3435" s="13"/>
    </row>
    <row r="3436" spans="1:12" s="10" customFormat="1" ht="18" customHeight="1">
      <c r="B3436" s="105" t="s">
        <v>3950</v>
      </c>
      <c r="C3436" s="105"/>
      <c r="D3436" s="105"/>
      <c r="E3436" s="24"/>
      <c r="F3436" s="24"/>
      <c r="G3436" s="9"/>
      <c r="H3436" s="12"/>
    </row>
    <row r="3437" spans="1:12" s="10" customFormat="1" ht="18" customHeight="1">
      <c r="C3437" s="10" t="s">
        <v>3951</v>
      </c>
      <c r="D3437" s="12"/>
      <c r="G3437" s="9" t="s">
        <v>9347</v>
      </c>
      <c r="H3437" s="13"/>
      <c r="K3437" s="10" t="s">
        <v>3862</v>
      </c>
      <c r="L3437" s="10" t="s">
        <v>3879</v>
      </c>
    </row>
    <row r="3438" spans="1:12" s="10" customFormat="1" ht="18" customHeight="1">
      <c r="C3438" s="12" t="s">
        <v>3954</v>
      </c>
      <c r="D3438" s="12"/>
      <c r="E3438" s="12"/>
      <c r="F3438" s="12"/>
      <c r="G3438" s="9" t="s">
        <v>9348</v>
      </c>
      <c r="H3438" s="13"/>
    </row>
    <row r="3439" spans="1:12" s="10" customFormat="1" ht="18" customHeight="1">
      <c r="C3439" s="12" t="s">
        <v>3957</v>
      </c>
      <c r="D3439" s="12"/>
      <c r="G3439" s="9"/>
      <c r="H3439" s="9"/>
      <c r="I3439" s="10" t="s">
        <v>9349</v>
      </c>
      <c r="J3439" s="25" t="e">
        <f>IF(shinsei_strtower26_prgo01_NAME="","",IF(shinsei_strtower26_prgo01_NINTEI_NO="","無","有"))</f>
        <v>#NAME?</v>
      </c>
      <c r="K3439" s="10" t="s">
        <v>3959</v>
      </c>
      <c r="L3439" s="10" t="s">
        <v>3879</v>
      </c>
    </row>
    <row r="3440" spans="1:12" s="10" customFormat="1" ht="18" customHeight="1">
      <c r="C3440" s="12" t="s">
        <v>3960</v>
      </c>
      <c r="D3440" s="12"/>
      <c r="G3440" s="9" t="s">
        <v>9350</v>
      </c>
      <c r="H3440" s="13"/>
      <c r="I3440" s="10" t="s">
        <v>9351</v>
      </c>
      <c r="J3440" s="25" t="e">
        <f>IF(shinsei_strtower26_prgo01_NINTEI_NO="","",shinsei_strtower26_prgo01_NINTEI_NO)</f>
        <v>#NAME?</v>
      </c>
      <c r="K3440" s="10" t="s">
        <v>3862</v>
      </c>
      <c r="L3440" s="10" t="s">
        <v>3879</v>
      </c>
    </row>
    <row r="3441" spans="2:12" s="10" customFormat="1" ht="18" customHeight="1">
      <c r="C3441" s="12" t="s">
        <v>3964</v>
      </c>
      <c r="D3441" s="12"/>
      <c r="G3441" s="9" t="s">
        <v>9352</v>
      </c>
      <c r="H3441" s="74"/>
      <c r="I3441" s="10" t="s">
        <v>9353</v>
      </c>
      <c r="J3441" s="25" t="e">
        <f>IF(shinsei_strtower26_prgo01_NINTEI_DATE="","",TEXT(shinsei_strtower26_prgo01_NINTEI_DATE,"ggge年m月d日")&amp;"  ")</f>
        <v>#NAME?</v>
      </c>
    </row>
    <row r="3442" spans="2:12" s="10" customFormat="1" ht="18" customHeight="1">
      <c r="C3442" s="12" t="s">
        <v>3967</v>
      </c>
      <c r="D3442" s="12"/>
      <c r="G3442" s="9" t="s">
        <v>9354</v>
      </c>
      <c r="H3442" s="13"/>
    </row>
    <row r="3443" spans="2:12" s="10" customFormat="1" ht="18" customHeight="1">
      <c r="C3443" s="12" t="s">
        <v>3970</v>
      </c>
      <c r="D3443" s="12"/>
      <c r="G3443" s="9"/>
      <c r="H3443" s="12"/>
      <c r="I3443" s="9" t="s">
        <v>9355</v>
      </c>
      <c r="J3443" s="25" t="e">
        <f>IF(shinsei_strtower26_prgo01_NAME="","",shinsei_strtower26_prgo01_NAME)&amp;CHAR(10)&amp;IF(shinsei_strtower26_prgo01_VER="","","Ver."&amp;shinsei_strtower26_prgo01_VER&amp;CHAR(10))</f>
        <v>#NAME?</v>
      </c>
    </row>
    <row r="3444" spans="2:12" s="10" customFormat="1" ht="18" customHeight="1">
      <c r="C3444" s="12" t="s">
        <v>3972</v>
      </c>
      <c r="D3444" s="12"/>
      <c r="G3444" s="9"/>
      <c r="H3444" s="12"/>
      <c r="I3444" s="9" t="s">
        <v>9356</v>
      </c>
      <c r="J3444" s="25" t="e">
        <f>IF(shinsei_strtower26_prgo01_NAME="","",shinsei_strtower26_prgo01_NAME&amp;" ")&amp;IF(shinsei_strtower26_prgo01_VER="","","Ver."&amp;shinsei_strtower26_prgo01_VER&amp;"  ")</f>
        <v>#NAME?</v>
      </c>
    </row>
    <row r="3445" spans="2:12" s="10" customFormat="1" ht="18" customHeight="1">
      <c r="C3445" s="12" t="s">
        <v>3974</v>
      </c>
      <c r="D3445" s="12"/>
      <c r="G3445" s="9"/>
      <c r="H3445" s="12"/>
    </row>
    <row r="3446" spans="2:12" s="10" customFormat="1" ht="18" customHeight="1">
      <c r="D3446" s="12" t="s">
        <v>3975</v>
      </c>
      <c r="G3446" s="9"/>
      <c r="H3446" s="12"/>
      <c r="I3446" s="9" t="s">
        <v>9357</v>
      </c>
      <c r="J3446" s="173" t="e">
        <f>IF(cst_shinsei_strtower26_prgo01_NINTEI__umu="有",IF(shinsei_strtower26_prgo01_MAKER_NAME="","",shinsei_strtower26_prgo01_MAKER_NAME&amp;"  "),"")</f>
        <v>#NAME?</v>
      </c>
    </row>
    <row r="3447" spans="2:12" s="10" customFormat="1" ht="18" customHeight="1">
      <c r="B3447" s="12"/>
      <c r="D3447" s="12" t="s">
        <v>3972</v>
      </c>
      <c r="G3447" s="9"/>
      <c r="H3447" s="12"/>
      <c r="I3447" s="9" t="s">
        <v>9358</v>
      </c>
      <c r="J3447" s="25" t="e">
        <f>IF(cst_shinsei_strtower26_prgo01_NINTEI__umu="有",IF(shinsei_strtower26_prgo01_NAME="","",shinsei_strtower26_prgo01_NAME&amp;" ")&amp;IF(shinsei_strtower26_prgo01_VER="","","Ver."&amp;shinsei_strtower26_prgo01_VER&amp;"  "),"")</f>
        <v>#NAME?</v>
      </c>
    </row>
    <row r="3448" spans="2:12" s="10" customFormat="1" ht="18" customHeight="1">
      <c r="C3448" s="12" t="s">
        <v>3981</v>
      </c>
      <c r="D3448" s="12"/>
      <c r="G3448" s="9"/>
      <c r="H3448" s="12"/>
    </row>
    <row r="3449" spans="2:12" s="10" customFormat="1" ht="18" customHeight="1">
      <c r="B3449" s="12"/>
      <c r="D3449" s="12" t="s">
        <v>3975</v>
      </c>
      <c r="G3449" s="9"/>
      <c r="H3449" s="12"/>
      <c r="I3449" s="9" t="s">
        <v>9359</v>
      </c>
      <c r="J3449" s="173" t="e">
        <f>IF(cst_shinsei_strtower26_prgo01_NINTEI__umu="無",IF(shinsei_strtower26_prgo01_MAKER_NAME="","",shinsei_strtower26_prgo01_MAKER_NAME&amp;"  "),"")</f>
        <v>#NAME?</v>
      </c>
    </row>
    <row r="3450" spans="2:12" s="10" customFormat="1" ht="18" customHeight="1">
      <c r="B3450" s="12"/>
      <c r="D3450" s="12" t="s">
        <v>3972</v>
      </c>
      <c r="G3450" s="9"/>
      <c r="H3450" s="12"/>
      <c r="I3450" s="9" t="s">
        <v>9360</v>
      </c>
      <c r="J3450" s="25" t="e">
        <f>IF(cst_shinsei_strtower26_prgo01_NINTEI__umu="無",IF(shinsei_strtower26_prgo01_NAME="","",shinsei_strtower26_prgo01_NAME&amp;" ")&amp;IF(shinsei_strtower26_prgo01_VER="","","Ver."&amp;shinsei_strtower26_prgo01_VER&amp;"  "),"")</f>
        <v>#NAME?</v>
      </c>
    </row>
    <row r="3451" spans="2:12" s="10" customFormat="1" ht="18" customHeight="1">
      <c r="B3451" s="105" t="s">
        <v>4000</v>
      </c>
      <c r="C3451" s="105"/>
      <c r="D3451" s="105"/>
      <c r="E3451" s="24"/>
      <c r="F3451" s="24"/>
      <c r="G3451" s="9"/>
      <c r="H3451" s="12"/>
    </row>
    <row r="3452" spans="2:12" s="10" customFormat="1" ht="18" customHeight="1">
      <c r="C3452" s="10" t="s">
        <v>3951</v>
      </c>
      <c r="D3452" s="12"/>
      <c r="G3452" s="9" t="s">
        <v>9361</v>
      </c>
      <c r="H3452" s="13"/>
      <c r="K3452" s="10" t="s">
        <v>3862</v>
      </c>
      <c r="L3452" s="10" t="s">
        <v>3879</v>
      </c>
    </row>
    <row r="3453" spans="2:12" s="10" customFormat="1" ht="18" customHeight="1">
      <c r="C3453" s="12" t="s">
        <v>3954</v>
      </c>
      <c r="D3453" s="12"/>
      <c r="G3453" s="9" t="s">
        <v>9362</v>
      </c>
      <c r="H3453" s="13"/>
    </row>
    <row r="3454" spans="2:12" s="10" customFormat="1" ht="18" customHeight="1">
      <c r="C3454" s="12" t="s">
        <v>3957</v>
      </c>
      <c r="D3454" s="12"/>
      <c r="G3454" s="9"/>
      <c r="H3454" s="9"/>
      <c r="I3454" s="10" t="s">
        <v>9363</v>
      </c>
      <c r="J3454" s="25" t="e">
        <f>IF(shinsei_strtower26_prgo02_NAME="","",IF(shinsei_strtower26_prgo02_NINTEI_NO="","無","有"))</f>
        <v>#NAME?</v>
      </c>
      <c r="L3454" s="10" t="s">
        <v>3879</v>
      </c>
    </row>
    <row r="3455" spans="2:12" s="10" customFormat="1" ht="18" customHeight="1">
      <c r="C3455" s="12" t="s">
        <v>3960</v>
      </c>
      <c r="D3455" s="12"/>
      <c r="G3455" s="9" t="s">
        <v>9364</v>
      </c>
      <c r="H3455" s="13"/>
      <c r="I3455" s="10" t="s">
        <v>9365</v>
      </c>
      <c r="J3455" s="25" t="e">
        <f>IF(shinsei_strtower26_prgo02_NINTEI_NO="","",shinsei_strtower26_prgo02_NINTEI_NO)</f>
        <v>#NAME?</v>
      </c>
      <c r="K3455" s="10" t="s">
        <v>3862</v>
      </c>
      <c r="L3455" s="10" t="s">
        <v>3879</v>
      </c>
    </row>
    <row r="3456" spans="2:12" s="10" customFormat="1" ht="18" customHeight="1">
      <c r="C3456" s="12" t="s">
        <v>3964</v>
      </c>
      <c r="D3456" s="12"/>
      <c r="G3456" s="9" t="s">
        <v>9366</v>
      </c>
      <c r="H3456" s="74"/>
      <c r="I3456" s="10" t="s">
        <v>9367</v>
      </c>
      <c r="J3456" s="25" t="e">
        <f>IF(shinsei_strtower26_prgo02_NINTEI_DATE="","",shinsei_strtower26_prgo02_NINTEI_DATE)</f>
        <v>#NAME?</v>
      </c>
    </row>
    <row r="3457" spans="2:12" s="10" customFormat="1" ht="18" customHeight="1">
      <c r="C3457" s="12" t="s">
        <v>3967</v>
      </c>
      <c r="D3457" s="12"/>
      <c r="G3457" s="9" t="s">
        <v>9368</v>
      </c>
      <c r="H3457" s="13"/>
    </row>
    <row r="3458" spans="2:12" s="10" customFormat="1" ht="18" customHeight="1">
      <c r="C3458" s="12" t="s">
        <v>3970</v>
      </c>
      <c r="D3458" s="12"/>
      <c r="G3458" s="9"/>
      <c r="H3458" s="12"/>
      <c r="I3458" s="9" t="s">
        <v>9369</v>
      </c>
      <c r="J3458" s="25" t="e">
        <f>IF(shinsei_strtower26_prgo02_NAME="","",shinsei_strtower26_prgo02_NAME)&amp;CHAR(10)&amp;IF(shinsei_strtower26_prgo02_VER="","","Ver."&amp;shinsei_strtower26_prgo02_VER&amp;CHAR(10))</f>
        <v>#NAME?</v>
      </c>
    </row>
    <row r="3459" spans="2:12" s="10" customFormat="1" ht="18" customHeight="1">
      <c r="C3459" s="12" t="s">
        <v>3972</v>
      </c>
      <c r="D3459" s="12"/>
      <c r="G3459" s="9"/>
      <c r="H3459" s="12"/>
      <c r="I3459" s="9" t="s">
        <v>8012</v>
      </c>
      <c r="J3459" s="25" t="e">
        <f>IF(shinsei_strtower26_prgo02_NAME="","",shinsei_strtower26_prgo02_NAME&amp;" ")&amp;IF(shinsei_strtower26_prgo02_VER="","","Ver."&amp;shinsei_strtower26_prgo02_VER&amp;"  ")</f>
        <v>#NAME?</v>
      </c>
    </row>
    <row r="3460" spans="2:12" s="10" customFormat="1" ht="18" customHeight="1">
      <c r="C3460" s="12" t="s">
        <v>3974</v>
      </c>
      <c r="D3460" s="12"/>
      <c r="G3460" s="9"/>
      <c r="H3460" s="12"/>
    </row>
    <row r="3461" spans="2:12" s="10" customFormat="1" ht="18" customHeight="1">
      <c r="D3461" s="12" t="s">
        <v>3975</v>
      </c>
      <c r="G3461" s="9"/>
      <c r="H3461" s="12"/>
      <c r="I3461" s="9" t="s">
        <v>8013</v>
      </c>
      <c r="J3461" s="173" t="e">
        <f>IF(cst_shinsei_strtower26_prgo02_NINTEI__umu="有",IF(shinsei_strtower26_prgo02_MAKER_NAME="","",shinsei_strtower26_prgo02_MAKER_NAME&amp;"  "),"")</f>
        <v>#NAME?</v>
      </c>
    </row>
    <row r="3462" spans="2:12" s="10" customFormat="1" ht="18" customHeight="1">
      <c r="D3462" s="12" t="s">
        <v>3972</v>
      </c>
      <c r="G3462" s="9"/>
      <c r="H3462" s="12"/>
      <c r="I3462" s="9" t="s">
        <v>8014</v>
      </c>
      <c r="J3462" s="25" t="e">
        <f>IF(cst_shinsei_strtower26_prgo02_NINTEI__umu="有",IF(shinsei_strtower26_prgo02_NAME="","",shinsei_strtower26_prgo02_NAME&amp;" ")&amp;IF(shinsei_strtower26_prgo02_VER="","","Ver."&amp;shinsei_strtower26_prgo02_VER&amp;"  "),"")</f>
        <v>#NAME?</v>
      </c>
    </row>
    <row r="3463" spans="2:12" s="10" customFormat="1" ht="18" customHeight="1">
      <c r="C3463" s="12" t="s">
        <v>3981</v>
      </c>
      <c r="D3463" s="12"/>
      <c r="G3463" s="9"/>
      <c r="H3463" s="12"/>
    </row>
    <row r="3464" spans="2:12" s="10" customFormat="1" ht="18" customHeight="1">
      <c r="D3464" s="12" t="s">
        <v>3975</v>
      </c>
      <c r="G3464" s="9"/>
      <c r="H3464" s="12"/>
      <c r="I3464" s="9" t="s">
        <v>8015</v>
      </c>
      <c r="J3464" s="173" t="e">
        <f>IF(cst_shinsei_strtower26_prgo02_NINTEI__umu="無",IF(shinsei_strtower26_prgo02_MAKER_NAME="","",shinsei_strtower26_prgo02_MAKER_NAME&amp;"  "),"")</f>
        <v>#NAME?</v>
      </c>
    </row>
    <row r="3465" spans="2:12" s="10" customFormat="1" ht="18" customHeight="1">
      <c r="D3465" s="12" t="s">
        <v>3972</v>
      </c>
      <c r="G3465" s="9"/>
      <c r="H3465" s="12"/>
      <c r="I3465" s="9" t="s">
        <v>8016</v>
      </c>
      <c r="J3465" s="25" t="e">
        <f>IF(cst_shinsei_strtower26_prgo02_NINTEI__umu="無",IF(shinsei_strtower26_prgo02_NAME="","",shinsei_strtower26_prgo02_NAME&amp;" ")&amp;IF(shinsei_strtower26_prgo02_VER="","","Ver."&amp;shinsei_strtower26_prgo02_VER&amp;"  "),"")</f>
        <v>#NAME?</v>
      </c>
    </row>
    <row r="3466" spans="2:12" s="10" customFormat="1" ht="18" customHeight="1">
      <c r="B3466" s="105" t="s">
        <v>4016</v>
      </c>
      <c r="C3466" s="105"/>
      <c r="D3466" s="105"/>
      <c r="E3466" s="24"/>
      <c r="F3466" s="24"/>
      <c r="G3466" s="9"/>
      <c r="H3466" s="12"/>
    </row>
    <row r="3467" spans="2:12" s="10" customFormat="1" ht="18" customHeight="1">
      <c r="C3467" s="10" t="s">
        <v>3951</v>
      </c>
      <c r="D3467" s="12"/>
      <c r="G3467" s="9" t="s">
        <v>8017</v>
      </c>
      <c r="H3467" s="13"/>
    </row>
    <row r="3468" spans="2:12" s="10" customFormat="1" ht="18" customHeight="1">
      <c r="C3468" s="12" t="s">
        <v>3954</v>
      </c>
      <c r="D3468" s="12"/>
      <c r="G3468" s="9" t="s">
        <v>8018</v>
      </c>
      <c r="H3468" s="13"/>
    </row>
    <row r="3469" spans="2:12" s="10" customFormat="1" ht="18" customHeight="1">
      <c r="C3469" s="12" t="s">
        <v>3957</v>
      </c>
      <c r="D3469" s="12"/>
      <c r="G3469" s="9"/>
      <c r="H3469" s="9"/>
      <c r="I3469" s="10" t="s">
        <v>8019</v>
      </c>
      <c r="J3469" s="25" t="e">
        <f>IF(shinsei_strtower26_prgo03_NAME="","",IF(shinsei_strtower26_prgo03_NINTEI_NO="","無","有"))</f>
        <v>#NAME?</v>
      </c>
      <c r="K3469" s="10" t="s">
        <v>2941</v>
      </c>
      <c r="L3469" s="10" t="s">
        <v>3879</v>
      </c>
    </row>
    <row r="3470" spans="2:12" s="10" customFormat="1" ht="18" customHeight="1">
      <c r="C3470" s="12" t="s">
        <v>3960</v>
      </c>
      <c r="D3470" s="12"/>
      <c r="G3470" s="9" t="s">
        <v>8020</v>
      </c>
      <c r="H3470" s="13"/>
      <c r="K3470" s="10" t="s">
        <v>3862</v>
      </c>
      <c r="L3470" s="10" t="s">
        <v>3879</v>
      </c>
    </row>
    <row r="3471" spans="2:12" s="10" customFormat="1" ht="18" customHeight="1">
      <c r="C3471" s="12" t="s">
        <v>3964</v>
      </c>
      <c r="D3471" s="12"/>
      <c r="G3471" s="9" t="s">
        <v>8021</v>
      </c>
      <c r="H3471" s="74"/>
      <c r="I3471" s="10" t="s">
        <v>8022</v>
      </c>
      <c r="J3471" s="25" t="e">
        <f>IF(shinsei_strtower26_prgo03_NINTEI_DATE="","",TEXT(shinsei_strtower26_prgo03_NINTEI_DATE,"ggge年m月d日")&amp;"  ")</f>
        <v>#NAME?</v>
      </c>
    </row>
    <row r="3472" spans="2:12" s="10" customFormat="1" ht="18" customHeight="1">
      <c r="C3472" s="12" t="s">
        <v>3967</v>
      </c>
      <c r="D3472" s="12"/>
      <c r="G3472" s="9" t="s">
        <v>6675</v>
      </c>
      <c r="H3472" s="13"/>
      <c r="I3472" s="9"/>
      <c r="J3472" s="9"/>
    </row>
    <row r="3473" spans="2:12" s="10" customFormat="1" ht="18" customHeight="1">
      <c r="C3473" s="12" t="s">
        <v>3970</v>
      </c>
      <c r="D3473" s="12"/>
      <c r="G3473" s="9"/>
      <c r="H3473" s="12"/>
      <c r="I3473" s="9" t="s">
        <v>6676</v>
      </c>
      <c r="J3473" s="25" t="e">
        <f>IF(shinsei_strtower26_prgo03_NAME="","",shinsei_strtower26_prgo03_NAME)&amp;CHAR(10)&amp;IF(shinsei_strtower26_prgo03_VER="","","Ver."&amp;shinsei_strtower26_prgo03_VER&amp;CHAR(10))</f>
        <v>#NAME?</v>
      </c>
    </row>
    <row r="3474" spans="2:12" s="10" customFormat="1" ht="18" customHeight="1">
      <c r="C3474" s="12" t="s">
        <v>3972</v>
      </c>
      <c r="D3474" s="12"/>
      <c r="G3474" s="9"/>
      <c r="H3474" s="12"/>
      <c r="I3474" s="9" t="s">
        <v>6677</v>
      </c>
      <c r="J3474" s="25" t="e">
        <f>IF(shinsei_strtower26_prgo03_NAME="","",shinsei_strtower26_prgo03_NAME&amp;" ")&amp;IF(shinsei_strtower26_prgo03_VER="","","Ver."&amp;shinsei_strtower26_prgo03_VER&amp;"  ")</f>
        <v>#NAME?</v>
      </c>
    </row>
    <row r="3475" spans="2:12" s="10" customFormat="1" ht="18" customHeight="1">
      <c r="C3475" s="12" t="s">
        <v>3974</v>
      </c>
      <c r="D3475" s="12"/>
      <c r="G3475" s="9"/>
      <c r="H3475" s="12"/>
    </row>
    <row r="3476" spans="2:12" s="10" customFormat="1" ht="18" customHeight="1">
      <c r="D3476" s="12" t="s">
        <v>3975</v>
      </c>
      <c r="G3476" s="9"/>
      <c r="H3476" s="12"/>
      <c r="I3476" s="9" t="s">
        <v>6678</v>
      </c>
      <c r="J3476" s="173" t="e">
        <f>IF(cst_shinsei_strtower26_prgo03_NINTEI__umu="有",IF(shinsei_strtower26_prgo03_MAKER_NAME="","",shinsei_strtower26_prgo03_MAKER_NAME&amp;"  "),"")</f>
        <v>#NAME?</v>
      </c>
    </row>
    <row r="3477" spans="2:12" s="10" customFormat="1" ht="18" customHeight="1">
      <c r="D3477" s="12" t="s">
        <v>3972</v>
      </c>
      <c r="G3477" s="9"/>
      <c r="H3477" s="12"/>
      <c r="I3477" s="9" t="s">
        <v>6679</v>
      </c>
      <c r="J3477" s="25" t="e">
        <f>IF(cst_shinsei_strtower26_prgo03_NINTEI__umu="有",IF(shinsei_strtower26_prgo03_NAME="","",shinsei_strtower26_prgo03_NAME&amp;" ")&amp;IF(shinsei_strtower26_prgo03_VER="","","Ver."&amp;shinsei_strtower26_prgo03_VER&amp;"  "),"")</f>
        <v>#NAME?</v>
      </c>
    </row>
    <row r="3478" spans="2:12" s="10" customFormat="1" ht="18" customHeight="1">
      <c r="C3478" s="12" t="s">
        <v>3981</v>
      </c>
      <c r="D3478" s="12"/>
      <c r="G3478" s="9"/>
      <c r="H3478" s="12"/>
    </row>
    <row r="3479" spans="2:12" s="10" customFormat="1" ht="18" customHeight="1">
      <c r="D3479" s="12" t="s">
        <v>3975</v>
      </c>
      <c r="G3479" s="9"/>
      <c r="H3479" s="12"/>
      <c r="I3479" s="9" t="s">
        <v>6680</v>
      </c>
      <c r="J3479" s="173" t="e">
        <f>IF(cst_shinsei_strtower26_prgo03_NINTEI__umu="無",IF(shinsei_strtower26_prgo03_MAKER_NAME="","",shinsei_strtower26_prgo03_MAKER_NAME&amp;"  "),"")</f>
        <v>#NAME?</v>
      </c>
    </row>
    <row r="3480" spans="2:12" s="10" customFormat="1" ht="18" customHeight="1">
      <c r="D3480" s="12" t="s">
        <v>3972</v>
      </c>
      <c r="G3480" s="9"/>
      <c r="H3480" s="12"/>
      <c r="I3480" s="9" t="s">
        <v>6681</v>
      </c>
      <c r="J3480" s="25" t="e">
        <f>IF(cst_shinsei_strtower26_prgo03_NINTEI__umu="無",IF(shinsei_strtower26_prgo03_NAME="","",shinsei_strtower26_prgo03_NAME&amp;" ")&amp;IF(shinsei_strtower26_prgo03_VER="","","Ver."&amp;shinsei_strtower26_prgo03_VER&amp;"  "),"")</f>
        <v>#NAME?</v>
      </c>
    </row>
    <row r="3481" spans="2:12" s="10" customFormat="1" ht="18" customHeight="1">
      <c r="B3481" s="105" t="s">
        <v>4031</v>
      </c>
      <c r="C3481" s="105"/>
      <c r="D3481" s="105"/>
      <c r="E3481" s="24"/>
      <c r="F3481" s="24"/>
      <c r="G3481" s="9"/>
      <c r="H3481" s="12"/>
    </row>
    <row r="3482" spans="2:12" s="10" customFormat="1" ht="18" customHeight="1">
      <c r="C3482" s="10" t="s">
        <v>3951</v>
      </c>
      <c r="D3482" s="12"/>
      <c r="G3482" s="9" t="s">
        <v>6682</v>
      </c>
      <c r="H3482" s="13"/>
    </row>
    <row r="3483" spans="2:12" s="10" customFormat="1" ht="18" customHeight="1">
      <c r="C3483" s="12" t="s">
        <v>3954</v>
      </c>
      <c r="D3483" s="12"/>
      <c r="G3483" s="9" t="s">
        <v>6683</v>
      </c>
      <c r="H3483" s="13"/>
    </row>
    <row r="3484" spans="2:12" s="10" customFormat="1" ht="18" customHeight="1">
      <c r="C3484" s="12" t="s">
        <v>3957</v>
      </c>
      <c r="D3484" s="12"/>
      <c r="G3484" s="9"/>
      <c r="H3484" s="9"/>
      <c r="I3484" s="10" t="s">
        <v>6684</v>
      </c>
      <c r="J3484" s="25" t="e">
        <f>IF(shinsei_strtower26_prgo04_NAME="","",IF(shinsei_strtower26_prgo04_NINTEI_NO="","無","有"))</f>
        <v>#NAME?</v>
      </c>
      <c r="K3484" s="10" t="s">
        <v>2941</v>
      </c>
      <c r="L3484" s="10" t="s">
        <v>3879</v>
      </c>
    </row>
    <row r="3485" spans="2:12" s="10" customFormat="1" ht="18" customHeight="1">
      <c r="C3485" s="12" t="s">
        <v>3960</v>
      </c>
      <c r="D3485" s="12"/>
      <c r="G3485" s="9" t="s">
        <v>6685</v>
      </c>
      <c r="H3485" s="13"/>
      <c r="K3485" s="10" t="s">
        <v>3862</v>
      </c>
      <c r="L3485" s="10" t="s">
        <v>3879</v>
      </c>
    </row>
    <row r="3486" spans="2:12" s="10" customFormat="1" ht="18" customHeight="1">
      <c r="C3486" s="12" t="s">
        <v>3964</v>
      </c>
      <c r="D3486" s="12"/>
      <c r="G3486" s="9" t="s">
        <v>6686</v>
      </c>
      <c r="H3486" s="74"/>
      <c r="I3486" s="10" t="s">
        <v>6687</v>
      </c>
      <c r="J3486" s="25" t="e">
        <f>IF(shinsei_strtower26_prgo04_NINTEI_DATE="","",TEXT(shinsei_strtower26_prgo04_NINTEI_DATE,"ggge年m月d日")&amp;"  ")</f>
        <v>#NAME?</v>
      </c>
    </row>
    <row r="3487" spans="2:12" s="10" customFormat="1" ht="18" customHeight="1">
      <c r="C3487" s="12" t="s">
        <v>3967</v>
      </c>
      <c r="D3487" s="12"/>
      <c r="G3487" s="9" t="s">
        <v>6688</v>
      </c>
      <c r="H3487" s="13"/>
      <c r="I3487" s="9"/>
      <c r="J3487" s="9"/>
    </row>
    <row r="3488" spans="2:12" s="10" customFormat="1" ht="18" customHeight="1">
      <c r="C3488" s="12" t="s">
        <v>3970</v>
      </c>
      <c r="D3488" s="12"/>
      <c r="G3488" s="9"/>
      <c r="H3488" s="12"/>
      <c r="I3488" s="9" t="s">
        <v>6689</v>
      </c>
      <c r="J3488" s="25" t="e">
        <f>IF(shinsei_strtower26_prgo04_NAME="","",shinsei_strtower26_prgo04_NAME)&amp;CHAR(10)&amp;IF(shinsei_strtower26_prgo04_VER="","","Ver."&amp;shinsei_strtower26_prgo04_VER&amp;CHAR(10))</f>
        <v>#NAME?</v>
      </c>
    </row>
    <row r="3489" spans="2:12" s="10" customFormat="1" ht="18" customHeight="1">
      <c r="C3489" s="12" t="s">
        <v>3972</v>
      </c>
      <c r="D3489" s="12"/>
      <c r="G3489" s="9"/>
      <c r="H3489" s="12"/>
      <c r="I3489" s="9" t="s">
        <v>6690</v>
      </c>
      <c r="J3489" s="25" t="e">
        <f>IF(shinsei_strtower26_prgo04_NAME="","",shinsei_strtower26_prgo04_NAME&amp;" ")&amp;IF(shinsei_strtower26_prgo04_VER="","","Ver."&amp;shinsei_strtower26_prgo04_VER&amp;"  ")</f>
        <v>#NAME?</v>
      </c>
    </row>
    <row r="3490" spans="2:12" s="10" customFormat="1" ht="18" customHeight="1">
      <c r="C3490" s="12" t="s">
        <v>3974</v>
      </c>
      <c r="D3490" s="12"/>
      <c r="G3490" s="9"/>
      <c r="H3490" s="12"/>
    </row>
    <row r="3491" spans="2:12" s="10" customFormat="1" ht="18" customHeight="1">
      <c r="D3491" s="12" t="s">
        <v>3975</v>
      </c>
      <c r="G3491" s="9"/>
      <c r="H3491" s="12"/>
      <c r="I3491" s="9" t="s">
        <v>6691</v>
      </c>
      <c r="J3491" s="173" t="e">
        <f>IF(cst_shinsei_strtower26_prgo04_NINTEI__umu="有",IF(shinsei_strtower26_prgo04_MAKER_NAME="","",shinsei_strtower26_prgo04_MAKER_NAME&amp;"  "),"")</f>
        <v>#NAME?</v>
      </c>
    </row>
    <row r="3492" spans="2:12" s="10" customFormat="1" ht="18" customHeight="1">
      <c r="D3492" s="12" t="s">
        <v>3972</v>
      </c>
      <c r="G3492" s="9"/>
      <c r="H3492" s="12"/>
      <c r="I3492" s="9" t="s">
        <v>6692</v>
      </c>
      <c r="J3492" s="25" t="e">
        <f>IF(cst_shinsei_strtower26_prgo04_NINTEI__umu="有",IF(shinsei_strtower26_prgo04_NAME="","",shinsei_strtower26_prgo04_NAME&amp;" ")&amp;IF(shinsei_strtower26_prgo04_VER="","","Ver."&amp;shinsei_strtower26_prgo04_VER&amp;"  "),"")</f>
        <v>#NAME?</v>
      </c>
    </row>
    <row r="3493" spans="2:12" s="10" customFormat="1" ht="18" customHeight="1">
      <c r="C3493" s="12" t="s">
        <v>3981</v>
      </c>
      <c r="D3493" s="12"/>
      <c r="G3493" s="9"/>
      <c r="H3493" s="12"/>
    </row>
    <row r="3494" spans="2:12" s="10" customFormat="1" ht="18" customHeight="1">
      <c r="D3494" s="12" t="s">
        <v>3975</v>
      </c>
      <c r="G3494" s="9"/>
      <c r="H3494" s="12"/>
      <c r="I3494" s="9" t="s">
        <v>8047</v>
      </c>
      <c r="J3494" s="173" t="e">
        <f>IF(cst_shinsei_strtower26_prgo04_NINTEI__umu="無",IF(shinsei_strtower26_prgo04_MAKER_NAME="","",shinsei_strtower26_prgo04_MAKER_NAME&amp;"  "),"")</f>
        <v>#NAME?</v>
      </c>
    </row>
    <row r="3495" spans="2:12" s="10" customFormat="1" ht="18" customHeight="1">
      <c r="D3495" s="12" t="s">
        <v>3972</v>
      </c>
      <c r="G3495" s="9"/>
      <c r="H3495" s="12"/>
      <c r="I3495" s="9" t="s">
        <v>8048</v>
      </c>
      <c r="J3495" s="25" t="e">
        <f>IF(cst_shinsei_strtower26_prgo04_NINTEI__umu="無",IF(shinsei_strtower26_prgo04_NAME="","",shinsei_strtower26_prgo04_NAME&amp;" ")&amp;IF(shinsei_strtower26_prgo04_VER="","","Ver."&amp;shinsei_strtower26_prgo04_VER&amp;"  "),"")</f>
        <v>#NAME?</v>
      </c>
    </row>
    <row r="3496" spans="2:12" s="10" customFormat="1" ht="18" customHeight="1">
      <c r="B3496" s="105" t="s">
        <v>4049</v>
      </c>
      <c r="C3496" s="105"/>
      <c r="D3496" s="105"/>
      <c r="E3496" s="24"/>
      <c r="F3496" s="24"/>
      <c r="G3496" s="9"/>
      <c r="H3496" s="12"/>
    </row>
    <row r="3497" spans="2:12" s="10" customFormat="1" ht="18" customHeight="1">
      <c r="C3497" s="10" t="s">
        <v>3951</v>
      </c>
      <c r="D3497" s="12"/>
      <c r="G3497" s="9" t="s">
        <v>8049</v>
      </c>
      <c r="H3497" s="13"/>
    </row>
    <row r="3498" spans="2:12" s="10" customFormat="1" ht="18" customHeight="1">
      <c r="C3498" s="12" t="s">
        <v>3954</v>
      </c>
      <c r="D3498" s="12"/>
      <c r="G3498" s="9" t="s">
        <v>8050</v>
      </c>
      <c r="H3498" s="13"/>
    </row>
    <row r="3499" spans="2:12" s="10" customFormat="1" ht="18" customHeight="1">
      <c r="C3499" s="12" t="s">
        <v>3957</v>
      </c>
      <c r="D3499" s="12"/>
      <c r="G3499" s="9"/>
      <c r="H3499" s="9"/>
      <c r="I3499" s="10" t="s">
        <v>8051</v>
      </c>
      <c r="J3499" s="25" t="e">
        <f>IF(shinsei_strtower26_prgo05_NAME="","",IF(shinsei_strtower26_prgo05_NINTEI_NO="","無","有"))</f>
        <v>#NAME?</v>
      </c>
      <c r="K3499" s="10" t="s">
        <v>2941</v>
      </c>
      <c r="L3499" s="10" t="s">
        <v>3879</v>
      </c>
    </row>
    <row r="3500" spans="2:12" s="10" customFormat="1" ht="18" customHeight="1">
      <c r="C3500" s="12" t="s">
        <v>3960</v>
      </c>
      <c r="D3500" s="12"/>
      <c r="G3500" s="9" t="s">
        <v>8052</v>
      </c>
      <c r="H3500" s="13"/>
      <c r="K3500" s="10" t="s">
        <v>3862</v>
      </c>
      <c r="L3500" s="10" t="s">
        <v>3879</v>
      </c>
    </row>
    <row r="3501" spans="2:12" s="10" customFormat="1" ht="18" customHeight="1">
      <c r="C3501" s="12" t="s">
        <v>3964</v>
      </c>
      <c r="D3501" s="12"/>
      <c r="G3501" s="9" t="s">
        <v>8053</v>
      </c>
      <c r="H3501" s="74"/>
      <c r="I3501" s="10" t="s">
        <v>8054</v>
      </c>
      <c r="J3501" s="25" t="e">
        <f>IF(shinsei_strtower26_prgo05_NINTEI_DATE="","",TEXT(shinsei_strtower26_prgo05_NINTEI_DATE,"ggge年m月d日")&amp;"  ")</f>
        <v>#NAME?</v>
      </c>
    </row>
    <row r="3502" spans="2:12" s="10" customFormat="1" ht="18" customHeight="1">
      <c r="C3502" s="12" t="s">
        <v>3967</v>
      </c>
      <c r="D3502" s="12"/>
      <c r="G3502" s="9" t="s">
        <v>8055</v>
      </c>
      <c r="H3502" s="13"/>
    </row>
    <row r="3503" spans="2:12" s="10" customFormat="1" ht="18" customHeight="1">
      <c r="C3503" s="12" t="s">
        <v>3970</v>
      </c>
      <c r="D3503" s="12"/>
      <c r="G3503" s="9"/>
      <c r="H3503" s="12"/>
      <c r="I3503" s="9" t="s">
        <v>8056</v>
      </c>
      <c r="J3503" s="25" t="e">
        <f>IF(shinsei_strtower26_prgo05_NAME="","",shinsei_strtower26_prgo05_NAME)&amp;CHAR(10)&amp;IF(shinsei_strtower26_prgo05_VER="","","Ver."&amp;shinsei_strtower26_prgo05_VER&amp;CHAR(10))</f>
        <v>#NAME?</v>
      </c>
    </row>
    <row r="3504" spans="2:12" s="10" customFormat="1" ht="18" customHeight="1">
      <c r="C3504" s="12" t="s">
        <v>3972</v>
      </c>
      <c r="D3504" s="12"/>
      <c r="G3504" s="9"/>
      <c r="H3504" s="12"/>
      <c r="I3504" s="9" t="s">
        <v>8057</v>
      </c>
      <c r="J3504" s="25" t="e">
        <f>IF(shinsei_strtower26_prgo05_NAME="","",shinsei_strtower26_prgo05_NAME&amp;" ")&amp;IF(shinsei_strtower26_prgo05_VER="","","Ver."&amp;shinsei_strtower26_prgo05_VER&amp;"  ")</f>
        <v>#NAME?</v>
      </c>
    </row>
    <row r="3505" spans="2:10" s="10" customFormat="1" ht="18" customHeight="1">
      <c r="C3505" s="12" t="s">
        <v>3974</v>
      </c>
      <c r="D3505" s="12"/>
      <c r="G3505" s="9"/>
      <c r="H3505" s="12"/>
    </row>
    <row r="3506" spans="2:10" s="10" customFormat="1" ht="18" customHeight="1">
      <c r="D3506" s="12" t="s">
        <v>3975</v>
      </c>
      <c r="G3506" s="9"/>
      <c r="H3506" s="12"/>
      <c r="I3506" s="9" t="s">
        <v>8058</v>
      </c>
      <c r="J3506" s="173" t="e">
        <f>IF(cst_shinsei_strtower26_prgo05_NINTEI__umu="有",IF(shinsei_strtower26_prgo05_MAKER_NAME="","",shinsei_strtower26_prgo05_MAKER_NAME&amp;"  "),"")</f>
        <v>#NAME?</v>
      </c>
    </row>
    <row r="3507" spans="2:10" s="10" customFormat="1" ht="18" customHeight="1">
      <c r="D3507" s="12" t="s">
        <v>3972</v>
      </c>
      <c r="G3507" s="9"/>
      <c r="H3507" s="12"/>
      <c r="I3507" s="9" t="s">
        <v>8059</v>
      </c>
      <c r="J3507" s="25" t="e">
        <f>IF(cst_shinsei_strtower26_prgo05_NINTEI__umu="有",IF(shinsei_strtower26_prgo05_NAME="","",shinsei_strtower26_prgo05_NAME&amp;" ")&amp;IF(shinsei_strtower26_prgo05_VER="","","Ver."&amp;shinsei_strtower26_prgo05_VER&amp;"  "),"")</f>
        <v>#NAME?</v>
      </c>
    </row>
    <row r="3508" spans="2:10" s="10" customFormat="1" ht="18" customHeight="1">
      <c r="C3508" s="12" t="s">
        <v>3981</v>
      </c>
      <c r="D3508" s="12"/>
      <c r="G3508" s="9"/>
      <c r="H3508" s="12"/>
    </row>
    <row r="3509" spans="2:10" s="10" customFormat="1" ht="18" customHeight="1">
      <c r="D3509" s="12" t="s">
        <v>3975</v>
      </c>
      <c r="G3509" s="9"/>
      <c r="H3509" s="12"/>
      <c r="I3509" s="9" t="s">
        <v>8060</v>
      </c>
      <c r="J3509" s="173" t="e">
        <f>IF(cst_shinsei_strtower26_prgo05_NINTEI__umu="無",IF(shinsei_strtower26_prgo05_MAKER_NAME="","",shinsei_strtower26_prgo05_MAKER_NAME&amp;"  "),"")</f>
        <v>#NAME?</v>
      </c>
    </row>
    <row r="3510" spans="2:10" s="10" customFormat="1" ht="18" customHeight="1">
      <c r="D3510" s="12" t="s">
        <v>3972</v>
      </c>
      <c r="G3510" s="9"/>
      <c r="H3510" s="12"/>
      <c r="I3510" s="9" t="s">
        <v>8061</v>
      </c>
      <c r="J3510" s="25" t="e">
        <f>IF(cst_shinsei_strtower26_prgo05_NINTEI__umu="無",IF(shinsei_strtower26_prgo05_NAME="","",shinsei_strtower26_prgo05_NAME&amp;" ")&amp;IF(shinsei_strtower26_prgo05_VER="","","Ver."&amp;shinsei_strtower26_prgo05_VER&amp;"  "),"")</f>
        <v>#NAME?</v>
      </c>
    </row>
    <row r="3511" spans="2:10" s="10" customFormat="1" ht="18" customHeight="1">
      <c r="B3511" s="13" t="s">
        <v>3827</v>
      </c>
      <c r="C3511" s="13"/>
      <c r="D3511" s="13"/>
      <c r="E3511" s="25"/>
      <c r="F3511" s="25"/>
      <c r="G3511" s="9"/>
      <c r="H3511" s="80"/>
      <c r="I3511" s="9"/>
      <c r="J3511" s="80"/>
    </row>
    <row r="3512" spans="2:10" s="10" customFormat="1" ht="18" customHeight="1">
      <c r="C3512" s="12" t="s">
        <v>3970</v>
      </c>
      <c r="D3512" s="12"/>
      <c r="G3512" s="9"/>
      <c r="H3512" s="80"/>
      <c r="I3512" s="166" t="s">
        <v>8062</v>
      </c>
      <c r="J3512" s="74" t="e">
        <f>cst_shinsei_strtower26_prgo01_NAME_VER&amp;cst_shinsei_strtower26_prgo02_NAME_VER&amp;cst_shinsei_strtower26_prgo03_NAME_VER&amp;cst_shinsei_strtower26_prgo04_NAME_VER&amp;cst_shinsei_strtower26_prgo05_NAME_VER</f>
        <v>#NAME?</v>
      </c>
    </row>
    <row r="3513" spans="2:10" s="10" customFormat="1" ht="18" customHeight="1">
      <c r="C3513" s="12" t="s">
        <v>3972</v>
      </c>
      <c r="D3513" s="12"/>
      <c r="G3513" s="9"/>
      <c r="H3513" s="80"/>
      <c r="I3513" s="166" t="s">
        <v>8063</v>
      </c>
      <c r="J3513" s="74" t="e">
        <f>cst_shinsei_strtower26_prgo01_NAME_VER__SP&amp;cst_shinsei_strtower26_prgo02_NAME_VER__SP&amp;cst_shinsei_strtower26_prgo03_NAME_VER__SP&amp;cst_shinsei_strtower26_prgo04_NAME_VER__SP&amp;cst_shinsei_strtower26_prgo05_NAME_VER__SP</f>
        <v>#NAME?</v>
      </c>
    </row>
    <row r="3514" spans="2:10" s="10" customFormat="1" ht="18" customHeight="1">
      <c r="B3514" s="13" t="s">
        <v>4068</v>
      </c>
      <c r="C3514" s="13"/>
      <c r="D3514" s="13"/>
      <c r="E3514" s="25"/>
      <c r="F3514" s="25"/>
      <c r="G3514" s="9"/>
      <c r="H3514" s="80"/>
      <c r="I3514" s="9"/>
      <c r="J3514" s="80"/>
    </row>
    <row r="3515" spans="2:10" s="10" customFormat="1" ht="18" customHeight="1">
      <c r="C3515" s="12" t="s">
        <v>3975</v>
      </c>
      <c r="D3515" s="12"/>
      <c r="G3515" s="9"/>
      <c r="H3515" s="80"/>
      <c r="I3515" s="166" t="s">
        <v>8064</v>
      </c>
      <c r="J3515" s="74" t="e">
        <f>cst_shinsei_strtower26_prgo01_MAKER__NINTEI_ari&amp;cst_shinsei_strtower26_prgo02_MAKER__NINTEI_ari&amp;cst_shinsei_strtower26_prgo03_MAKER__NINTEI_ari&amp;cst_shinsei_strtower26_prgo04_MAKER__NINTEI_ari&amp;cst_shinsei_strtower26_prgo05_MAKER__NINTEI_ari</f>
        <v>#NAME?</v>
      </c>
    </row>
    <row r="3516" spans="2:10" s="10" customFormat="1" ht="18" customHeight="1">
      <c r="C3516" s="12" t="s">
        <v>3972</v>
      </c>
      <c r="D3516" s="12"/>
      <c r="G3516" s="9"/>
      <c r="H3516" s="80"/>
      <c r="I3516" s="166" t="s">
        <v>8065</v>
      </c>
      <c r="J3516" s="173" t="e">
        <f>cst_shinsei_strtower26_prgo01_NAME_VER__NINTEI_ari&amp;cst_shinsei_strtower26_prgo02_NAME_VER__NINTEI_ari&amp;cst_shinsei_strtower26_prgo03_NAME_VER__NINTEI_ari&amp;cst_shinsei_strtower26_prgo04_NAME_VER__NINTEI_ari&amp;cst_shinsei_strtower26_prgo05_NAME_VER__NINTEI_ari</f>
        <v>#NAME?</v>
      </c>
    </row>
    <row r="3517" spans="2:10" s="10" customFormat="1" ht="18" customHeight="1">
      <c r="C3517" s="12" t="s">
        <v>3964</v>
      </c>
      <c r="D3517" s="12"/>
      <c r="G3517" s="9"/>
      <c r="H3517" s="80"/>
      <c r="I3517" s="166" t="s">
        <v>8066</v>
      </c>
      <c r="J3517" s="74" t="e">
        <f>cst_shinsei_strtower26_prgo01_NINTEI_DATE_dsp&amp;cst_shinsei_strtower26_prgo02_NINTEI_DATE_dsp&amp;cst_shinsei_strtower26_prgo03_NINTEI_DATE_dsp&amp;cst_shinsei_strtower26_prgo04_NINTEI_DATE_dsp&amp;cst_shinsei_strtower26_prgo05_NINTEI_DATE_dsp</f>
        <v>#NAME?</v>
      </c>
    </row>
    <row r="3518" spans="2:10" s="10" customFormat="1" ht="18" customHeight="1">
      <c r="B3518" s="13" t="s">
        <v>4072</v>
      </c>
      <c r="C3518" s="13"/>
      <c r="D3518" s="13"/>
      <c r="E3518" s="25"/>
      <c r="F3518" s="25"/>
      <c r="G3518" s="9"/>
      <c r="H3518" s="80"/>
      <c r="I3518" s="9"/>
      <c r="J3518" s="80"/>
    </row>
    <row r="3519" spans="2:10" s="10" customFormat="1" ht="18" customHeight="1">
      <c r="C3519" s="12" t="s">
        <v>3975</v>
      </c>
      <c r="D3519" s="12"/>
      <c r="G3519" s="9"/>
      <c r="H3519" s="80"/>
      <c r="I3519" s="166" t="s">
        <v>8067</v>
      </c>
      <c r="J3519" s="74" t="e">
        <f>cst_shinsei_strtower26_prgo01_MAKER__NINTEI_non&amp;cst_shinsei_strtower26_prgo02_MAKER__NINTEI_non&amp;cst_shinsei_strtower26_prgo03_MAKER__NINTEI_non&amp;cst_shinsei_strtower26_prgo04_MAKER__NINTEI_non&amp;cst_shinsei_strtower26_prgo05_MAKER__NINTEI_non</f>
        <v>#NAME?</v>
      </c>
    </row>
    <row r="3520" spans="2:10" s="10" customFormat="1" ht="18" customHeight="1">
      <c r="C3520" s="12" t="s">
        <v>3972</v>
      </c>
      <c r="D3520" s="12"/>
      <c r="G3520" s="9"/>
      <c r="H3520" s="80"/>
      <c r="I3520" s="166" t="s">
        <v>8068</v>
      </c>
      <c r="J3520" s="173" t="e">
        <f>cst_shinsei_strtower26_prgo01_NAME_VER__NINTEI_non&amp;cst_shinsei_strtower26_prgo02_NAME_VER__NINTEI_non&amp;cst_shinsei_strtower26_prgo03_NAME_VER__NINTEI_non&amp;cst_shinsei_strtower26_prgo04_NAME_VER__NINTEI_non&amp;cst_shinsei_strtower26_prgo05_NAME_VER__NINTEI_non</f>
        <v>#NAME?</v>
      </c>
    </row>
    <row r="3521" spans="1:12" s="10" customFormat="1" ht="18" customHeight="1">
      <c r="B3521" s="12" t="s">
        <v>4075</v>
      </c>
      <c r="G3521" s="9" t="s">
        <v>8069</v>
      </c>
      <c r="H3521" s="20"/>
      <c r="I3521" s="9" t="s">
        <v>8070</v>
      </c>
      <c r="J3521" s="20" t="e">
        <f>IF(shinsei_strtower26_DISK_FLAG="","",IF(shinsei_strtower26_DISK_FLAG=1,"有","無"))</f>
        <v>#NAME?</v>
      </c>
    </row>
    <row r="3522" spans="1:12" s="10" customFormat="1" ht="18" customHeight="1">
      <c r="A3522" s="9"/>
      <c r="B3522" s="9" t="s">
        <v>2955</v>
      </c>
      <c r="C3522" s="9"/>
      <c r="D3522" s="9"/>
      <c r="E3522" s="9"/>
      <c r="F3522" s="9"/>
      <c r="G3522" s="9" t="s">
        <v>8071</v>
      </c>
      <c r="H3522" s="136"/>
      <c r="I3522" s="19" t="s">
        <v>8072</v>
      </c>
      <c r="J3522" s="171" t="e">
        <f>IF(shinsei_strtower26_CHARGE="","",shinsei_strtower26_CHARGE)</f>
        <v>#NAME?</v>
      </c>
      <c r="K3522" s="9" t="s">
        <v>2528</v>
      </c>
      <c r="L3522" s="9" t="s">
        <v>2528</v>
      </c>
    </row>
    <row r="3523" spans="1:12" ht="18" customHeight="1">
      <c r="A3523" s="149"/>
      <c r="B3523" s="149"/>
      <c r="C3523" s="149"/>
      <c r="D3523" s="149"/>
      <c r="E3523" s="12" t="s">
        <v>3907</v>
      </c>
      <c r="F3523" s="12"/>
      <c r="G3523" s="149"/>
      <c r="I3523" s="100" t="s">
        <v>8073</v>
      </c>
      <c r="J3523" s="171" t="e">
        <f>IF(shinsei_strtower26_CHARGE="","",TEXT(shinsei_strtower26_CHARGE,"#,##0_ ")&amp;"円")</f>
        <v>#NAME?</v>
      </c>
      <c r="K3523" s="9"/>
      <c r="L3523" s="9"/>
    </row>
    <row r="3524" spans="1:12" ht="18" customHeight="1">
      <c r="A3524" s="149"/>
      <c r="B3524" s="149" t="s">
        <v>3041</v>
      </c>
      <c r="C3524" s="149"/>
      <c r="D3524" s="149"/>
      <c r="E3524" s="149"/>
      <c r="F3524" s="149"/>
      <c r="G3524" s="149" t="s">
        <v>8074</v>
      </c>
      <c r="H3524" s="136"/>
      <c r="I3524" s="100" t="s">
        <v>8075</v>
      </c>
      <c r="J3524" s="136" t="e">
        <f>IF(shinsei_strtower26_CHARGE_WARIMASHI="","",shinsei_strtower26_CHARGE_WARIMASHI)</f>
        <v>#NAME?</v>
      </c>
      <c r="K3524" s="9" t="s">
        <v>2528</v>
      </c>
      <c r="L3524" s="9" t="s">
        <v>2528</v>
      </c>
    </row>
    <row r="3525" spans="1:12" ht="18" customHeight="1">
      <c r="A3525" s="149"/>
      <c r="B3525" s="149" t="s">
        <v>3043</v>
      </c>
      <c r="C3525" s="149"/>
      <c r="D3525" s="149"/>
      <c r="E3525" s="149"/>
      <c r="F3525" s="149"/>
      <c r="G3525" s="149" t="s">
        <v>8076</v>
      </c>
      <c r="H3525" s="136"/>
      <c r="I3525" s="100" t="s">
        <v>8077</v>
      </c>
      <c r="J3525" s="136" t="e">
        <f>IF(shinsei_strtower26_CHARGE_TOTAL="","",shinsei_strtower26_CHARGE_TOTAL)</f>
        <v>#NAME?</v>
      </c>
      <c r="K3525" s="9" t="s">
        <v>2528</v>
      </c>
      <c r="L3525" s="9" t="s">
        <v>2528</v>
      </c>
    </row>
    <row r="3526" spans="1:12" ht="18" customHeight="1">
      <c r="A3526" s="149"/>
      <c r="B3526" s="149" t="s">
        <v>5637</v>
      </c>
      <c r="C3526" s="149"/>
      <c r="D3526" s="149"/>
      <c r="E3526" s="149"/>
      <c r="F3526" s="149"/>
      <c r="G3526" s="149" t="s">
        <v>8078</v>
      </c>
      <c r="H3526" s="13"/>
      <c r="I3526" s="176" t="s">
        <v>8079</v>
      </c>
      <c r="J3526" s="20" t="e">
        <f>IF(shinsei_strtower26_CHARGE_KEISAN_NOTE="","",shinsei_strtower26_CHARGE_KEISAN_NOTE)</f>
        <v>#NAME?</v>
      </c>
      <c r="K3526" s="10" t="s">
        <v>3862</v>
      </c>
      <c r="L3526" s="10" t="s">
        <v>3879</v>
      </c>
    </row>
    <row r="3527" spans="1:12" ht="18" customHeight="1">
      <c r="A3527" s="149"/>
      <c r="B3527" s="149"/>
      <c r="C3527" s="149"/>
      <c r="D3527" s="149"/>
      <c r="E3527" s="149" t="s">
        <v>5640</v>
      </c>
      <c r="F3527" s="149"/>
      <c r="G3527" s="149"/>
      <c r="I3527" s="100" t="s">
        <v>8080</v>
      </c>
      <c r="J3527" s="20" t="e">
        <f>IF(shinsei_INSPECTION_TYPE="計画変更",IF(shinsei_strtower26_CHARGE="","","延べ面積×1/2により算出"),IF(shinsei_strtower26_CHARGE_KEISAN_NOTE="","",shinsei_strtower26_CHARGE_KEISAN_NOTE))</f>
        <v>#NAME?</v>
      </c>
    </row>
    <row r="3528" spans="1:12" ht="18" customHeight="1">
      <c r="A3528" s="149"/>
      <c r="B3528" s="149" t="s">
        <v>5642</v>
      </c>
      <c r="C3528" s="149"/>
      <c r="D3528" s="149"/>
      <c r="E3528" s="149"/>
      <c r="F3528" s="149"/>
      <c r="G3528" s="149" t="s">
        <v>8081</v>
      </c>
      <c r="H3528" s="13"/>
      <c r="I3528" s="149" t="s">
        <v>8082</v>
      </c>
      <c r="J3528" s="20" t="e">
        <f>IF(shinsei_strtower26_KEISAN_X_ROUTE="","",shinsei_strtower26_KEISAN_X_ROUTE)</f>
        <v>#NAME?</v>
      </c>
    </row>
    <row r="3529" spans="1:12" ht="18" customHeight="1">
      <c r="A3529" s="149"/>
      <c r="B3529" s="149" t="s">
        <v>5645</v>
      </c>
      <c r="C3529" s="149"/>
      <c r="D3529" s="149"/>
      <c r="E3529" s="149"/>
      <c r="F3529" s="149"/>
      <c r="G3529" s="149" t="s">
        <v>8083</v>
      </c>
      <c r="H3529" s="13"/>
      <c r="I3529" s="149" t="s">
        <v>8084</v>
      </c>
      <c r="J3529" s="20" t="e">
        <f>IF(shinsei_strtower26_KEISAN_Y_ROUTE="","",shinsei_strtower26_KEISAN_Y_ROUTE)</f>
        <v>#NAME?</v>
      </c>
    </row>
    <row r="3530" spans="1:12" ht="18" customHeight="1">
      <c r="A3530" s="149"/>
      <c r="B3530" s="149"/>
      <c r="C3530" s="149" t="s">
        <v>3805</v>
      </c>
      <c r="D3530" s="149"/>
      <c r="E3530" s="149"/>
      <c r="F3530" s="149"/>
      <c r="G3530" s="149"/>
      <c r="H3530" s="12"/>
      <c r="I3530" s="149" t="s">
        <v>8085</v>
      </c>
      <c r="J3530" s="20" t="e">
        <f>IF(AND(cst_shinsei_strtower26_KEISAN_X_ROUTE="3",cst_shinsei_strtower26_KEISAN_Y_ROUTE="3"),"■","□")</f>
        <v>#NAME?</v>
      </c>
    </row>
    <row r="3531" spans="1:12" ht="18" customHeight="1">
      <c r="A3531" s="149"/>
      <c r="B3531" s="149" t="s">
        <v>5650</v>
      </c>
      <c r="C3531" s="149"/>
      <c r="D3531" s="149"/>
      <c r="E3531" s="149"/>
      <c r="F3531" s="149"/>
      <c r="G3531" s="149" t="s">
        <v>8086</v>
      </c>
      <c r="H3531" s="13"/>
      <c r="I3531" s="149" t="s">
        <v>8087</v>
      </c>
      <c r="J3531" s="20" t="e">
        <f>IF(shinsei_strtower26_PROGRAM_KIND_SONOTA="","",shinsei_strtower26_PROGRAM_KIND_SONOTA)</f>
        <v>#NAME?</v>
      </c>
    </row>
    <row r="3532" spans="1:12" ht="18" customHeight="1">
      <c r="A3532" s="149"/>
      <c r="B3532" s="149"/>
      <c r="C3532" s="149"/>
      <c r="D3532" s="149"/>
      <c r="E3532" s="149"/>
      <c r="F3532" s="149"/>
      <c r="G3532" s="149"/>
    </row>
    <row r="3533" spans="1:12" s="10" customFormat="1" ht="18" customHeight="1">
      <c r="A3533" s="162" t="s">
        <v>3172</v>
      </c>
      <c r="B3533" s="162"/>
      <c r="C3533" s="162"/>
      <c r="D3533" s="162"/>
      <c r="E3533" s="163"/>
      <c r="F3533" s="163"/>
      <c r="G3533" s="164"/>
      <c r="H3533" s="165"/>
      <c r="I3533" s="9"/>
    </row>
    <row r="3534" spans="1:12" s="10" customFormat="1" ht="18" customHeight="1">
      <c r="A3534" s="12"/>
      <c r="B3534" s="12" t="s">
        <v>3859</v>
      </c>
      <c r="C3534" s="12"/>
      <c r="D3534" s="12"/>
      <c r="E3534" s="11"/>
      <c r="F3534" s="11"/>
      <c r="G3534" s="10" t="s">
        <v>8088</v>
      </c>
      <c r="H3534" s="13"/>
      <c r="I3534" s="19" t="s">
        <v>8089</v>
      </c>
      <c r="J3534" s="25" t="e">
        <f>IF(shinsei_strtower27_TOWER_NO="","",shinsei_strtower27_TOWER_NO)</f>
        <v>#NAME?</v>
      </c>
      <c r="K3534" s="10" t="s">
        <v>3862</v>
      </c>
    </row>
    <row r="3535" spans="1:12" s="10" customFormat="1" ht="18" customHeight="1">
      <c r="A3535" s="12"/>
      <c r="B3535" s="12" t="s">
        <v>3864</v>
      </c>
      <c r="C3535" s="12"/>
      <c r="D3535" s="12"/>
      <c r="E3535" s="11"/>
      <c r="F3535" s="11"/>
      <c r="G3535" s="9" t="s">
        <v>8090</v>
      </c>
      <c r="H3535" s="13"/>
      <c r="I3535" s="19" t="s">
        <v>8091</v>
      </c>
      <c r="J3535" s="25" t="e">
        <f>IF(shinsei_strtower27_STR_TOWER_NO="","",shinsei_strtower27_STR_TOWER_NO)</f>
        <v>#NAME?</v>
      </c>
      <c r="K3535" s="10" t="s">
        <v>3862</v>
      </c>
      <c r="L3535" s="10" t="s">
        <v>3879</v>
      </c>
    </row>
    <row r="3536" spans="1:12" s="166" customFormat="1" ht="18" customHeight="1">
      <c r="B3536" s="12" t="s">
        <v>3868</v>
      </c>
      <c r="I3536" s="9" t="s">
        <v>8092</v>
      </c>
      <c r="J3536" s="167" t="e">
        <f>CONCATENATE(cst_shinsei_strtower27_TOWER_NO," - ",cst_shinsei_strtower27_STR_TOWER_NO)</f>
        <v>#NAME?</v>
      </c>
    </row>
    <row r="3537" spans="1:12" s="166" customFormat="1" ht="18" customHeight="1">
      <c r="B3537" s="12" t="s">
        <v>3870</v>
      </c>
      <c r="I3537" s="9" t="s">
        <v>8093</v>
      </c>
      <c r="J3537" s="167" t="e">
        <f>CONCATENATE(cst_shinsei_strtower27_STR_TOWER_NO," ／ ",cst_shinsei_STR_SHINSEI_TOWERS)</f>
        <v>#NAME?</v>
      </c>
    </row>
    <row r="3538" spans="1:12" s="10" customFormat="1" ht="18" customHeight="1">
      <c r="A3538" s="12"/>
      <c r="B3538" s="12" t="s">
        <v>3872</v>
      </c>
      <c r="C3538" s="11"/>
      <c r="D3538" s="11"/>
      <c r="E3538" s="11"/>
      <c r="F3538" s="11"/>
      <c r="G3538" s="9" t="s">
        <v>8094</v>
      </c>
      <c r="H3538" s="13"/>
      <c r="I3538" s="9" t="s">
        <v>8095</v>
      </c>
      <c r="J3538" s="25" t="e">
        <f>IF(shinsei_strtower27_STR_TOWER_NAME="","",shinsei_strtower27_STR_TOWER_NAME)</f>
        <v>#NAME?</v>
      </c>
    </row>
    <row r="3539" spans="1:12" s="10" customFormat="1" ht="18" customHeight="1">
      <c r="A3539" s="12"/>
      <c r="B3539" s="12" t="s">
        <v>3875</v>
      </c>
      <c r="C3539" s="12"/>
      <c r="D3539" s="12"/>
      <c r="E3539" s="11"/>
      <c r="F3539" s="11"/>
      <c r="G3539" s="9" t="s">
        <v>8096</v>
      </c>
      <c r="H3539" s="20"/>
      <c r="I3539" s="20" t="s">
        <v>8097</v>
      </c>
      <c r="J3539" s="25" t="e">
        <f>IF(shinsei_strtower27_JUDGE="","",shinsei_strtower27_JUDGE)</f>
        <v>#NAME?</v>
      </c>
      <c r="K3539" s="10" t="s">
        <v>3878</v>
      </c>
      <c r="L3539" s="10" t="s">
        <v>3879</v>
      </c>
    </row>
    <row r="3540" spans="1:12" s="10" customFormat="1" ht="18" customHeight="1">
      <c r="A3540" s="12"/>
      <c r="B3540" s="12" t="s">
        <v>4441</v>
      </c>
      <c r="C3540" s="12"/>
      <c r="D3540" s="12"/>
      <c r="E3540" s="11"/>
      <c r="F3540" s="11"/>
      <c r="G3540" s="9" t="s">
        <v>8098</v>
      </c>
      <c r="H3540" s="13"/>
      <c r="I3540" s="9" t="s">
        <v>8099</v>
      </c>
      <c r="J3540" s="25" t="e">
        <f>IF(shinsei_strtower27_STR_TOWER_YOUTO_TEXT="","",shinsei_strtower27_STR_TOWER_YOUTO_TEXT)</f>
        <v>#NAME?</v>
      </c>
      <c r="K3540" s="10" t="s">
        <v>3862</v>
      </c>
      <c r="L3540" s="10" t="s">
        <v>3879</v>
      </c>
    </row>
    <row r="3541" spans="1:12" s="10" customFormat="1" ht="18" customHeight="1">
      <c r="A3541" s="12"/>
      <c r="B3541" s="12" t="s">
        <v>3790</v>
      </c>
      <c r="C3541" s="12"/>
      <c r="D3541" s="12"/>
      <c r="E3541" s="11"/>
      <c r="F3541" s="11"/>
      <c r="G3541" s="9" t="s">
        <v>8100</v>
      </c>
      <c r="H3541" s="13"/>
      <c r="I3541" s="9" t="s">
        <v>8101</v>
      </c>
      <c r="J3541" s="25" t="e">
        <f>IF(shinsei_strtower27_KOUJI_TEXT="","",shinsei_strtower27_KOUJI_TEXT)</f>
        <v>#NAME?</v>
      </c>
      <c r="K3541" s="10" t="s">
        <v>3862</v>
      </c>
      <c r="L3541" s="10" t="s">
        <v>3879</v>
      </c>
    </row>
    <row r="3542" spans="1:12" s="10" customFormat="1" ht="18" customHeight="1">
      <c r="A3542" s="12"/>
      <c r="B3542" s="12" t="s">
        <v>3888</v>
      </c>
      <c r="C3542" s="11"/>
      <c r="D3542" s="11"/>
      <c r="E3542" s="11"/>
      <c r="F3542" s="11"/>
      <c r="G3542" s="9" t="s">
        <v>8102</v>
      </c>
      <c r="H3542" s="13"/>
      <c r="I3542" s="9" t="s">
        <v>8103</v>
      </c>
      <c r="J3542" s="25" t="e">
        <f>IF(shinsei_strtower27_KOUZOU_TEXT="","",shinsei_strtower27_KOUZOU_TEXT)</f>
        <v>#NAME?</v>
      </c>
    </row>
    <row r="3543" spans="1:12" s="10" customFormat="1" ht="18" customHeight="1">
      <c r="A3543" s="12"/>
      <c r="B3543" s="12" t="s">
        <v>3888</v>
      </c>
      <c r="C3543" s="12"/>
      <c r="D3543" s="12"/>
      <c r="E3543" s="11"/>
      <c r="F3543" s="11"/>
      <c r="G3543" s="9" t="s">
        <v>8104</v>
      </c>
      <c r="H3543" s="13"/>
      <c r="I3543" s="9" t="s">
        <v>8105</v>
      </c>
      <c r="J3543" s="25" t="e">
        <f>IF(shinsei_strtower27_KOUZOU_TEXT="","",shinsei_strtower27_KOUZOU_TEXT)</f>
        <v>#NAME?</v>
      </c>
    </row>
    <row r="3544" spans="1:12" s="10" customFormat="1" ht="18" customHeight="1">
      <c r="A3544" s="12"/>
      <c r="B3544" s="12" t="s">
        <v>3893</v>
      </c>
      <c r="C3544" s="11"/>
      <c r="D3544" s="11"/>
      <c r="E3544" s="11"/>
      <c r="F3544" s="11"/>
      <c r="G3544" s="9" t="s">
        <v>8106</v>
      </c>
      <c r="H3544" s="13"/>
      <c r="I3544" s="9" t="s">
        <v>8107</v>
      </c>
      <c r="J3544" s="25" t="e">
        <f>IF(shinsei_strtower27_KOUZOU_KEISAN="","",shinsei_strtower27_KOUZOU_KEISAN)</f>
        <v>#NAME?</v>
      </c>
    </row>
    <row r="3545" spans="1:12" s="10" customFormat="1" ht="18" customHeight="1">
      <c r="A3545" s="12"/>
      <c r="B3545" s="12" t="s">
        <v>3893</v>
      </c>
      <c r="C3545" s="12"/>
      <c r="D3545" s="12"/>
      <c r="E3545" s="11"/>
      <c r="F3545" s="11"/>
      <c r="G3545" s="9" t="s">
        <v>8108</v>
      </c>
      <c r="H3545" s="13"/>
      <c r="I3545" s="10" t="s">
        <v>8109</v>
      </c>
      <c r="J3545" s="25" t="e">
        <f>IF(shinsei_strtower27_KOUZOU_KEISAN_TEXT="","",shinsei_strtower27_KOUZOU_KEISAN_TEXT)</f>
        <v>#NAME?</v>
      </c>
    </row>
    <row r="3546" spans="1:12" s="10" customFormat="1" ht="18" customHeight="1">
      <c r="A3546" s="12"/>
      <c r="B3546" s="12" t="s">
        <v>3902</v>
      </c>
      <c r="C3546" s="12"/>
      <c r="D3546" s="12"/>
      <c r="E3546" s="11"/>
      <c r="F3546" s="11"/>
      <c r="G3546" s="9" t="s">
        <v>8110</v>
      </c>
      <c r="H3546" s="65"/>
      <c r="I3546" s="19" t="s">
        <v>8111</v>
      </c>
      <c r="J3546" s="168" t="e">
        <f>IF(shinsei_strtower27_MENSEKI="","",shinsei_strtower27_MENSEKI)</f>
        <v>#NAME?</v>
      </c>
      <c r="K3546" s="10" t="s">
        <v>3906</v>
      </c>
      <c r="L3546" s="10" t="s">
        <v>3906</v>
      </c>
    </row>
    <row r="3547" spans="1:12" ht="18" customHeight="1">
      <c r="A3547" s="12"/>
      <c r="B3547" s="12"/>
      <c r="C3547" s="12"/>
      <c r="D3547" s="12"/>
      <c r="E3547" s="12" t="s">
        <v>3907</v>
      </c>
      <c r="F3547" s="12"/>
      <c r="G3547" s="9"/>
      <c r="H3547" s="9"/>
      <c r="I3547" s="9" t="s">
        <v>8112</v>
      </c>
      <c r="J3547" s="168" t="e">
        <f>IF(shinsei_strtower27_MENSEKI="","",TEXT(shinsei_strtower27_MENSEKI,"#,##0.00_ ")&amp;"㎡")</f>
        <v>#NAME?</v>
      </c>
    </row>
    <row r="3548" spans="1:12" s="10" customFormat="1" ht="18" customHeight="1">
      <c r="A3548" s="12"/>
      <c r="B3548" s="12" t="s">
        <v>4390</v>
      </c>
      <c r="C3548" s="12"/>
      <c r="D3548" s="12"/>
      <c r="E3548" s="11"/>
      <c r="F3548" s="11"/>
      <c r="G3548" s="9" t="s">
        <v>8113</v>
      </c>
      <c r="H3548" s="93"/>
      <c r="I3548" s="9" t="s">
        <v>8114</v>
      </c>
      <c r="J3548" s="170" t="e">
        <f>IF(shinsei_strtower27_MAX_TAKASA="","",shinsei_strtower27_MAX_TAKASA)</f>
        <v>#NAME?</v>
      </c>
      <c r="K3548" s="10" t="s">
        <v>3911</v>
      </c>
      <c r="L3548" s="10" t="s">
        <v>3911</v>
      </c>
    </row>
    <row r="3549" spans="1:12" s="10" customFormat="1" ht="18" customHeight="1">
      <c r="A3549" s="12"/>
      <c r="B3549" s="12" t="s">
        <v>4388</v>
      </c>
      <c r="C3549" s="11"/>
      <c r="D3549" s="11"/>
      <c r="E3549" s="11"/>
      <c r="F3549" s="11"/>
      <c r="G3549" s="9" t="s">
        <v>8115</v>
      </c>
      <c r="H3549" s="93"/>
      <c r="I3549" s="9" t="s">
        <v>8116</v>
      </c>
      <c r="J3549" s="170" t="e">
        <f>IF(shinsei_strtower27_MAX_NOKI_TAKASA="","",shinsei_strtower27_MAX_NOKI_TAKASA)</f>
        <v>#NAME?</v>
      </c>
    </row>
    <row r="3550" spans="1:12" s="10" customFormat="1" ht="18" customHeight="1">
      <c r="A3550" s="12"/>
      <c r="B3550" s="12" t="s">
        <v>3782</v>
      </c>
      <c r="C3550" s="12"/>
      <c r="D3550" s="12"/>
      <c r="E3550" s="11"/>
      <c r="F3550" s="11"/>
      <c r="G3550" s="9"/>
      <c r="H3550" s="9"/>
      <c r="I3550" s="9"/>
    </row>
    <row r="3551" spans="1:12" s="10" customFormat="1" ht="18" customHeight="1">
      <c r="A3551" s="12"/>
      <c r="B3551" s="12"/>
      <c r="C3551" s="11" t="s">
        <v>3783</v>
      </c>
      <c r="D3551" s="12"/>
      <c r="G3551" s="9" t="s">
        <v>8117</v>
      </c>
      <c r="H3551" s="136"/>
      <c r="I3551" s="9" t="s">
        <v>8118</v>
      </c>
      <c r="J3551" s="171" t="e">
        <f>IF(shinsei_strtower27_KAISU_TIJYOU="","",shinsei_strtower27_KAISU_TIJYOU)</f>
        <v>#NAME?</v>
      </c>
      <c r="K3551" s="10" t="s">
        <v>3916</v>
      </c>
      <c r="L3551" s="10" t="s">
        <v>3916</v>
      </c>
    </row>
    <row r="3552" spans="1:12" s="10" customFormat="1" ht="18" customHeight="1">
      <c r="A3552" s="12"/>
      <c r="B3552" s="12"/>
      <c r="C3552" s="11" t="s">
        <v>3785</v>
      </c>
      <c r="D3552" s="12"/>
      <c r="G3552" s="9" t="s">
        <v>8119</v>
      </c>
      <c r="H3552" s="136"/>
      <c r="I3552" s="9" t="s">
        <v>8120</v>
      </c>
      <c r="J3552" s="171" t="e">
        <f>IF(shinsei_strtower27_KAISU_TIKA="","",shinsei_strtower27_KAISU_TIKA)</f>
        <v>#NAME?</v>
      </c>
      <c r="K3552" s="10" t="s">
        <v>3916</v>
      </c>
      <c r="L3552" s="10" t="s">
        <v>3916</v>
      </c>
    </row>
    <row r="3553" spans="1:12" s="10" customFormat="1" ht="18" customHeight="1">
      <c r="A3553" s="12"/>
      <c r="B3553" s="12"/>
      <c r="C3553" s="11" t="s">
        <v>3787</v>
      </c>
      <c r="D3553" s="12"/>
      <c r="G3553" s="9" t="s">
        <v>8121</v>
      </c>
      <c r="H3553" s="136"/>
      <c r="I3553" s="9" t="s">
        <v>8122</v>
      </c>
      <c r="J3553" s="171" t="e">
        <f>IF(shinsei_strtower27_KAISU_TOUYA="","",shinsei_strtower27_KAISU_TOUYA)</f>
        <v>#NAME?</v>
      </c>
      <c r="K3553" s="10" t="s">
        <v>3916</v>
      </c>
      <c r="L3553" s="10" t="s">
        <v>3916</v>
      </c>
    </row>
    <row r="3554" spans="1:12" s="10" customFormat="1" ht="18" customHeight="1">
      <c r="B3554" s="12" t="s">
        <v>3923</v>
      </c>
      <c r="G3554" s="9" t="s">
        <v>8123</v>
      </c>
      <c r="H3554" s="13"/>
      <c r="I3554" s="10" t="s">
        <v>8124</v>
      </c>
      <c r="J3554" s="25" t="e">
        <f>IF(shinsei_strtower27_BUILD_KUBUN="","",shinsei_strtower27_BUILD_KUBUN)</f>
        <v>#NAME?</v>
      </c>
    </row>
    <row r="3555" spans="1:12" s="10" customFormat="1" ht="18" customHeight="1">
      <c r="B3555" s="12" t="s">
        <v>3923</v>
      </c>
      <c r="C3555" s="12"/>
      <c r="D3555" s="12"/>
      <c r="G3555" s="9" t="s">
        <v>8125</v>
      </c>
      <c r="H3555" s="13"/>
      <c r="I3555" s="10" t="s">
        <v>8126</v>
      </c>
      <c r="J3555" s="25" t="e">
        <f>IF(shinsei_strtower27_BUILD_KUBUN_TEXT="","",shinsei_strtower27_BUILD_KUBUN_TEXT)</f>
        <v>#NAME?</v>
      </c>
      <c r="K3555" s="10" t="s">
        <v>3862</v>
      </c>
    </row>
    <row r="3556" spans="1:12" s="10" customFormat="1" ht="18" customHeight="1">
      <c r="A3556" s="149"/>
      <c r="B3556" s="149"/>
      <c r="C3556" s="149" t="s">
        <v>3801</v>
      </c>
      <c r="D3556" s="149"/>
      <c r="E3556" s="149"/>
      <c r="F3556" s="149"/>
      <c r="G3556" s="149"/>
      <c r="H3556" s="12"/>
      <c r="I3556" s="149" t="s">
        <v>8127</v>
      </c>
      <c r="J3556" s="20" t="e">
        <f>IF(shinsei_strtower27_BUILD_KUBUN_TEXT="建築基準法第20条第２号に掲げる建築物","■","□")</f>
        <v>#NAME?</v>
      </c>
    </row>
    <row r="3557" spans="1:12" s="10" customFormat="1" ht="18" customHeight="1">
      <c r="A3557" s="149"/>
      <c r="B3557" s="149"/>
      <c r="C3557" s="149" t="s">
        <v>3801</v>
      </c>
      <c r="D3557" s="149"/>
      <c r="E3557" s="149"/>
      <c r="F3557" s="149"/>
      <c r="G3557" s="149"/>
      <c r="H3557" s="12"/>
      <c r="I3557" s="149" t="s">
        <v>8128</v>
      </c>
      <c r="J3557" s="20" t="e">
        <f>IF(shinsei_strtower27_BUILD_KUBUN_TEXT="建築基準法第20条第３号に掲げる建築物","■","□")</f>
        <v>#NAME?</v>
      </c>
    </row>
    <row r="3558" spans="1:12" s="10" customFormat="1" ht="18" customHeight="1">
      <c r="A3558" s="12"/>
      <c r="B3558" s="12" t="s">
        <v>3932</v>
      </c>
      <c r="C3558" s="12"/>
      <c r="D3558" s="12"/>
      <c r="E3558" s="11"/>
      <c r="F3558" s="11"/>
      <c r="G3558" s="9" t="s">
        <v>8129</v>
      </c>
      <c r="H3558" s="13"/>
      <c r="I3558" s="9" t="s">
        <v>8130</v>
      </c>
      <c r="J3558" s="25" t="e">
        <f>IF(shinsei_strtower27_MENJYO_TEXT="","",shinsei_strtower27_MENJYO_TEXT)</f>
        <v>#NAME?</v>
      </c>
      <c r="K3558" s="10" t="s">
        <v>3862</v>
      </c>
    </row>
    <row r="3559" spans="1:12" s="10" customFormat="1" ht="18" customHeight="1">
      <c r="A3559" s="12"/>
      <c r="B3559" s="12" t="s">
        <v>3935</v>
      </c>
      <c r="C3559" s="12"/>
      <c r="D3559" s="12"/>
      <c r="E3559" s="11"/>
      <c r="F3559" s="11"/>
      <c r="G3559" s="9" t="s">
        <v>8131</v>
      </c>
      <c r="H3559" s="20"/>
      <c r="I3559" s="9" t="s">
        <v>8132</v>
      </c>
      <c r="J3559" s="25" t="e">
        <f>IF(shinsei_strtower27_PROGRAM_KIND="","",shinsei_strtower27_PROGRAM_KIND)</f>
        <v>#NAME?</v>
      </c>
      <c r="K3559" s="10" t="s">
        <v>5704</v>
      </c>
    </row>
    <row r="3560" spans="1:12" s="10" customFormat="1" ht="18" customHeight="1">
      <c r="B3560" s="12" t="s">
        <v>3939</v>
      </c>
      <c r="C3560" s="12"/>
      <c r="D3560" s="12"/>
      <c r="G3560" s="9" t="s">
        <v>8133</v>
      </c>
      <c r="H3560" s="13"/>
      <c r="I3560" s="10" t="s">
        <v>8134</v>
      </c>
      <c r="J3560" s="25" t="e">
        <f>IF(shinsei_strtower27_REI80_2_KOKUJI_TEXT="","",shinsei_strtower27_REI80_2_KOKUJI_TEXT)</f>
        <v>#NAME?</v>
      </c>
    </row>
    <row r="3561" spans="1:12" s="10" customFormat="1" ht="18" customHeight="1">
      <c r="B3561" s="12" t="s">
        <v>3943</v>
      </c>
      <c r="C3561" s="12"/>
      <c r="D3561" s="12"/>
      <c r="G3561" s="9" t="s">
        <v>8135</v>
      </c>
      <c r="H3561" s="13"/>
      <c r="I3561" s="10" t="s">
        <v>8136</v>
      </c>
      <c r="J3561" s="25" t="e">
        <f>IF(shinsei_strtower27_PROGRAM_KIND__nintei__box="■",2,IF(OR(shinsei_strtower27_PROGRAM_KIND__hyouka__box="■",shinsei_strtower27_PROGRAM_KIND__sonota__box="■"),1,0))</f>
        <v>#NAME?</v>
      </c>
      <c r="K3561" s="10" t="s">
        <v>3946</v>
      </c>
    </row>
    <row r="3562" spans="1:12" s="10" customFormat="1" ht="18" customHeight="1">
      <c r="B3562" s="12" t="s">
        <v>3947</v>
      </c>
      <c r="C3562" s="12"/>
      <c r="D3562" s="12"/>
      <c r="G3562" s="9" t="s">
        <v>8137</v>
      </c>
      <c r="H3562" s="13"/>
    </row>
    <row r="3563" spans="1:12" s="10" customFormat="1" ht="18" customHeight="1">
      <c r="B3563" s="12" t="s">
        <v>4305</v>
      </c>
      <c r="C3563" s="12"/>
      <c r="D3563" s="12"/>
      <c r="G3563" s="9" t="s">
        <v>8138</v>
      </c>
      <c r="H3563" s="13"/>
    </row>
    <row r="3564" spans="1:12" s="10" customFormat="1" ht="18" customHeight="1">
      <c r="B3564" s="105" t="s">
        <v>3950</v>
      </c>
      <c r="C3564" s="105"/>
      <c r="D3564" s="105"/>
      <c r="E3564" s="24"/>
      <c r="F3564" s="24"/>
      <c r="G3564" s="9"/>
      <c r="H3564" s="12"/>
    </row>
    <row r="3565" spans="1:12" s="10" customFormat="1" ht="18" customHeight="1">
      <c r="C3565" s="10" t="s">
        <v>3951</v>
      </c>
      <c r="D3565" s="12"/>
      <c r="G3565" s="9" t="s">
        <v>8139</v>
      </c>
      <c r="H3565" s="13"/>
      <c r="K3565" s="10" t="s">
        <v>3862</v>
      </c>
      <c r="L3565" s="10" t="s">
        <v>3879</v>
      </c>
    </row>
    <row r="3566" spans="1:12" s="10" customFormat="1" ht="18" customHeight="1">
      <c r="C3566" s="12" t="s">
        <v>3954</v>
      </c>
      <c r="D3566" s="12"/>
      <c r="E3566" s="12"/>
      <c r="F3566" s="12"/>
      <c r="G3566" s="9" t="s">
        <v>8140</v>
      </c>
      <c r="H3566" s="13"/>
    </row>
    <row r="3567" spans="1:12" s="10" customFormat="1" ht="18" customHeight="1">
      <c r="C3567" s="12" t="s">
        <v>3957</v>
      </c>
      <c r="D3567" s="12"/>
      <c r="G3567" s="9"/>
      <c r="H3567" s="9"/>
      <c r="I3567" s="10" t="s">
        <v>8141</v>
      </c>
      <c r="J3567" s="25" t="e">
        <f>IF(shinsei_strtower27_prgo01_NAME="","",IF(shinsei_strtower27_prgo01_NINTEI_NO="","無","有"))</f>
        <v>#NAME?</v>
      </c>
      <c r="K3567" s="10" t="s">
        <v>3959</v>
      </c>
      <c r="L3567" s="10" t="s">
        <v>3879</v>
      </c>
    </row>
    <row r="3568" spans="1:12" s="10" customFormat="1" ht="18" customHeight="1">
      <c r="C3568" s="12" t="s">
        <v>3960</v>
      </c>
      <c r="D3568" s="12"/>
      <c r="G3568" s="9" t="s">
        <v>8142</v>
      </c>
      <c r="H3568" s="13"/>
      <c r="I3568" s="10" t="s">
        <v>8143</v>
      </c>
      <c r="J3568" s="25" t="e">
        <f>IF(shinsei_strtower27_prgo01_NINTEI_NO="","",shinsei_strtower27_prgo01_NINTEI_NO)</f>
        <v>#NAME?</v>
      </c>
      <c r="K3568" s="10" t="s">
        <v>3862</v>
      </c>
      <c r="L3568" s="10" t="s">
        <v>3879</v>
      </c>
    </row>
    <row r="3569" spans="2:12" s="10" customFormat="1" ht="18" customHeight="1">
      <c r="C3569" s="12" t="s">
        <v>3964</v>
      </c>
      <c r="D3569" s="12"/>
      <c r="G3569" s="9" t="s">
        <v>8144</v>
      </c>
      <c r="H3569" s="74"/>
      <c r="I3569" s="10" t="s">
        <v>8145</v>
      </c>
      <c r="J3569" s="25" t="e">
        <f>IF(shinsei_strtower27_prgo01_NINTEI_DATE="","",TEXT(shinsei_strtower27_prgo01_NINTEI_DATE,"ggge年m月d日")&amp;"  ")</f>
        <v>#NAME?</v>
      </c>
    </row>
    <row r="3570" spans="2:12" s="10" customFormat="1" ht="18" customHeight="1">
      <c r="C3570" s="12" t="s">
        <v>3967</v>
      </c>
      <c r="D3570" s="12"/>
      <c r="G3570" s="9" t="s">
        <v>8146</v>
      </c>
      <c r="H3570" s="13"/>
    </row>
    <row r="3571" spans="2:12" s="10" customFormat="1" ht="18" customHeight="1">
      <c r="C3571" s="12" t="s">
        <v>3970</v>
      </c>
      <c r="D3571" s="12"/>
      <c r="G3571" s="9"/>
      <c r="H3571" s="12"/>
      <c r="I3571" s="9" t="s">
        <v>8147</v>
      </c>
      <c r="J3571" s="25" t="e">
        <f>IF(shinsei_strtower27_prgo01_NAME="","",shinsei_strtower27_prgo01_NAME)&amp;CHAR(10)&amp;IF(shinsei_strtower27_prgo01_VER="","","Ver."&amp;shinsei_strtower27_prgo01_VER&amp;CHAR(10))</f>
        <v>#NAME?</v>
      </c>
    </row>
    <row r="3572" spans="2:12" s="10" customFormat="1" ht="18" customHeight="1">
      <c r="C3572" s="12" t="s">
        <v>3972</v>
      </c>
      <c r="D3572" s="12"/>
      <c r="G3572" s="9"/>
      <c r="H3572" s="12"/>
      <c r="I3572" s="9" t="s">
        <v>8148</v>
      </c>
      <c r="J3572" s="25" t="e">
        <f>IF(shinsei_strtower27_prgo01_NAME="","",shinsei_strtower27_prgo01_NAME&amp;" ")&amp;IF(shinsei_strtower27_prgo01_VER="","","Ver."&amp;shinsei_strtower27_prgo01_VER&amp;"  ")</f>
        <v>#NAME?</v>
      </c>
    </row>
    <row r="3573" spans="2:12" s="10" customFormat="1" ht="18" customHeight="1">
      <c r="C3573" s="12" t="s">
        <v>3974</v>
      </c>
      <c r="D3573" s="12"/>
      <c r="G3573" s="9"/>
      <c r="H3573" s="12"/>
    </row>
    <row r="3574" spans="2:12" s="10" customFormat="1" ht="18" customHeight="1">
      <c r="D3574" s="12" t="s">
        <v>3975</v>
      </c>
      <c r="G3574" s="9"/>
      <c r="H3574" s="12"/>
      <c r="I3574" s="9" t="s">
        <v>8149</v>
      </c>
      <c r="J3574" s="173" t="e">
        <f>IF(cst_shinsei_strtower27_prgo01_NINTEI__umu="有",IF(shinsei_strtower27_prgo01_MAKER_NAME="","",shinsei_strtower27_prgo01_MAKER_NAME&amp;"  "),"")</f>
        <v>#NAME?</v>
      </c>
    </row>
    <row r="3575" spans="2:12" s="10" customFormat="1" ht="18" customHeight="1">
      <c r="B3575" s="12"/>
      <c r="D3575" s="12" t="s">
        <v>3972</v>
      </c>
      <c r="G3575" s="9"/>
      <c r="H3575" s="12"/>
      <c r="I3575" s="9" t="s">
        <v>8150</v>
      </c>
      <c r="J3575" s="25" t="e">
        <f>IF(cst_shinsei_strtower27_prgo01_NINTEI__umu="有",IF(shinsei_strtower27_prgo01_NAME="","",shinsei_strtower27_prgo01_NAME&amp;" ")&amp;IF(shinsei_strtower27_prgo01_VER="","","Ver."&amp;shinsei_strtower27_prgo01_VER&amp;"  "),"")</f>
        <v>#NAME?</v>
      </c>
    </row>
    <row r="3576" spans="2:12" s="10" customFormat="1" ht="18" customHeight="1">
      <c r="C3576" s="12" t="s">
        <v>3981</v>
      </c>
      <c r="D3576" s="12"/>
      <c r="G3576" s="9"/>
      <c r="H3576" s="12"/>
    </row>
    <row r="3577" spans="2:12" s="10" customFormat="1" ht="18" customHeight="1">
      <c r="B3577" s="12"/>
      <c r="D3577" s="12" t="s">
        <v>3975</v>
      </c>
      <c r="G3577" s="9"/>
      <c r="H3577" s="12"/>
      <c r="I3577" s="9" t="s">
        <v>8151</v>
      </c>
      <c r="J3577" s="173" t="e">
        <f>IF(cst_shinsei_strtower27_prgo01_NINTEI__umu="無",IF(shinsei_strtower27_prgo01_MAKER_NAME="","",shinsei_strtower27_prgo01_MAKER_NAME&amp;"  "),"")</f>
        <v>#NAME?</v>
      </c>
    </row>
    <row r="3578" spans="2:12" s="10" customFormat="1" ht="18" customHeight="1">
      <c r="B3578" s="12"/>
      <c r="D3578" s="12" t="s">
        <v>3972</v>
      </c>
      <c r="G3578" s="9"/>
      <c r="H3578" s="12"/>
      <c r="I3578" s="9" t="s">
        <v>8152</v>
      </c>
      <c r="J3578" s="25" t="e">
        <f>IF(cst_shinsei_strtower27_prgo01_NINTEI__umu="無",IF(shinsei_strtower27_prgo01_NAME="","",shinsei_strtower27_prgo01_NAME&amp;" ")&amp;IF(shinsei_strtower27_prgo01_VER="","","Ver."&amp;shinsei_strtower27_prgo01_VER&amp;"  "),"")</f>
        <v>#NAME?</v>
      </c>
    </row>
    <row r="3579" spans="2:12" s="10" customFormat="1" ht="18" customHeight="1">
      <c r="B3579" s="105" t="s">
        <v>4000</v>
      </c>
      <c r="C3579" s="105"/>
      <c r="D3579" s="105"/>
      <c r="E3579" s="24"/>
      <c r="F3579" s="24"/>
      <c r="G3579" s="9"/>
      <c r="H3579" s="12"/>
    </row>
    <row r="3580" spans="2:12" s="10" customFormat="1" ht="18" customHeight="1">
      <c r="C3580" s="10" t="s">
        <v>3951</v>
      </c>
      <c r="D3580" s="12"/>
      <c r="G3580" s="9" t="s">
        <v>8153</v>
      </c>
      <c r="H3580" s="13"/>
      <c r="K3580" s="10" t="s">
        <v>3862</v>
      </c>
      <c r="L3580" s="10" t="s">
        <v>3879</v>
      </c>
    </row>
    <row r="3581" spans="2:12" s="10" customFormat="1" ht="18" customHeight="1">
      <c r="C3581" s="12" t="s">
        <v>3954</v>
      </c>
      <c r="D3581" s="12"/>
      <c r="G3581" s="9" t="s">
        <v>8154</v>
      </c>
      <c r="H3581" s="13"/>
    </row>
    <row r="3582" spans="2:12" s="10" customFormat="1" ht="18" customHeight="1">
      <c r="C3582" s="12" t="s">
        <v>3957</v>
      </c>
      <c r="D3582" s="12"/>
      <c r="G3582" s="9"/>
      <c r="H3582" s="9"/>
      <c r="I3582" s="10" t="s">
        <v>8155</v>
      </c>
      <c r="J3582" s="25" t="e">
        <f>IF(shinsei_strtower27_prgo02_NAME="","",IF(shinsei_strtower27_prgo02_NINTEI_NO="","無","有"))</f>
        <v>#NAME?</v>
      </c>
      <c r="L3582" s="10" t="s">
        <v>3879</v>
      </c>
    </row>
    <row r="3583" spans="2:12" s="10" customFormat="1" ht="18" customHeight="1">
      <c r="C3583" s="12" t="s">
        <v>3960</v>
      </c>
      <c r="D3583" s="12"/>
      <c r="G3583" s="9" t="s">
        <v>8156</v>
      </c>
      <c r="H3583" s="13"/>
      <c r="I3583" s="10" t="s">
        <v>8157</v>
      </c>
      <c r="J3583" s="25" t="e">
        <f>IF(shinsei_strtower27_prgo02_NINTEI_NO="","",shinsei_strtower27_prgo02_NINTEI_NO)</f>
        <v>#NAME?</v>
      </c>
      <c r="K3583" s="10" t="s">
        <v>3862</v>
      </c>
      <c r="L3583" s="10" t="s">
        <v>3879</v>
      </c>
    </row>
    <row r="3584" spans="2:12" s="10" customFormat="1" ht="18" customHeight="1">
      <c r="C3584" s="12" t="s">
        <v>3964</v>
      </c>
      <c r="D3584" s="12"/>
      <c r="G3584" s="9" t="s">
        <v>8158</v>
      </c>
      <c r="H3584" s="74"/>
      <c r="I3584" s="10" t="s">
        <v>8159</v>
      </c>
      <c r="J3584" s="25" t="e">
        <f>IF(shinsei_strtower27_prgo02_NINTEI_DATE="","",shinsei_strtower27_prgo02_NINTEI_DATE)</f>
        <v>#NAME?</v>
      </c>
    </row>
    <row r="3585" spans="2:12" s="10" customFormat="1" ht="18" customHeight="1">
      <c r="C3585" s="12" t="s">
        <v>3967</v>
      </c>
      <c r="D3585" s="12"/>
      <c r="G3585" s="9" t="s">
        <v>8160</v>
      </c>
      <c r="H3585" s="13"/>
    </row>
    <row r="3586" spans="2:12" s="10" customFormat="1" ht="18" customHeight="1">
      <c r="C3586" s="12" t="s">
        <v>3970</v>
      </c>
      <c r="D3586" s="12"/>
      <c r="G3586" s="9"/>
      <c r="H3586" s="12"/>
      <c r="I3586" s="9" t="s">
        <v>8161</v>
      </c>
      <c r="J3586" s="25" t="e">
        <f>IF(shinsei_strtower27_prgo02_NAME="","",shinsei_strtower27_prgo02_NAME)&amp;CHAR(10)&amp;IF(shinsei_strtower27_prgo02_VER="","","Ver."&amp;shinsei_strtower27_prgo02_VER&amp;CHAR(10))</f>
        <v>#NAME?</v>
      </c>
    </row>
    <row r="3587" spans="2:12" s="10" customFormat="1" ht="18" customHeight="1">
      <c r="C3587" s="12" t="s">
        <v>3972</v>
      </c>
      <c r="D3587" s="12"/>
      <c r="G3587" s="9"/>
      <c r="H3587" s="12"/>
      <c r="I3587" s="9" t="s">
        <v>8162</v>
      </c>
      <c r="J3587" s="25" t="e">
        <f>IF(shinsei_strtower27_prgo02_NAME="","",shinsei_strtower27_prgo02_NAME&amp;" ")&amp;IF(shinsei_strtower27_prgo02_VER="","","Ver."&amp;shinsei_strtower27_prgo02_VER&amp;"  ")</f>
        <v>#NAME?</v>
      </c>
    </row>
    <row r="3588" spans="2:12" s="10" customFormat="1" ht="18" customHeight="1">
      <c r="C3588" s="12" t="s">
        <v>3974</v>
      </c>
      <c r="D3588" s="12"/>
      <c r="G3588" s="9"/>
      <c r="H3588" s="12"/>
    </row>
    <row r="3589" spans="2:12" s="10" customFormat="1" ht="18" customHeight="1">
      <c r="D3589" s="12" t="s">
        <v>3975</v>
      </c>
      <c r="G3589" s="9"/>
      <c r="H3589" s="12"/>
      <c r="I3589" s="9" t="s">
        <v>8163</v>
      </c>
      <c r="J3589" s="173" t="e">
        <f>IF(cst_shinsei_strtower27_prgo02_NINTEI__umu="有",IF(shinsei_strtower27_prgo02_MAKER_NAME="","",shinsei_strtower27_prgo02_MAKER_NAME&amp;"  "),"")</f>
        <v>#NAME?</v>
      </c>
    </row>
    <row r="3590" spans="2:12" s="10" customFormat="1" ht="18" customHeight="1">
      <c r="D3590" s="12" t="s">
        <v>3972</v>
      </c>
      <c r="G3590" s="9"/>
      <c r="H3590" s="12"/>
      <c r="I3590" s="9" t="s">
        <v>8164</v>
      </c>
      <c r="J3590" s="25" t="e">
        <f>IF(cst_shinsei_strtower27_prgo02_NINTEI__umu="有",IF(shinsei_strtower27_prgo02_NAME="","",shinsei_strtower27_prgo02_NAME&amp;" ")&amp;IF(shinsei_strtower27_prgo02_VER="","","Ver."&amp;shinsei_strtower27_prgo02_VER&amp;"  "),"")</f>
        <v>#NAME?</v>
      </c>
    </row>
    <row r="3591" spans="2:12" s="10" customFormat="1" ht="18" customHeight="1">
      <c r="C3591" s="12" t="s">
        <v>3981</v>
      </c>
      <c r="D3591" s="12"/>
      <c r="G3591" s="9"/>
      <c r="H3591" s="12"/>
    </row>
    <row r="3592" spans="2:12" s="10" customFormat="1" ht="18" customHeight="1">
      <c r="D3592" s="12" t="s">
        <v>3975</v>
      </c>
      <c r="G3592" s="9"/>
      <c r="H3592" s="12"/>
      <c r="I3592" s="9" t="s">
        <v>8165</v>
      </c>
      <c r="J3592" s="173" t="e">
        <f>IF(cst_shinsei_strtower27_prgo02_NINTEI__umu="無",IF(shinsei_strtower27_prgo02_MAKER_NAME="","",shinsei_strtower27_prgo02_MAKER_NAME&amp;"  "),"")</f>
        <v>#NAME?</v>
      </c>
    </row>
    <row r="3593" spans="2:12" s="10" customFormat="1" ht="18" customHeight="1">
      <c r="D3593" s="12" t="s">
        <v>3972</v>
      </c>
      <c r="G3593" s="9"/>
      <c r="H3593" s="12"/>
      <c r="I3593" s="9" t="s">
        <v>8166</v>
      </c>
      <c r="J3593" s="25" t="e">
        <f>IF(cst_shinsei_strtower27_prgo02_NINTEI__umu="無",IF(shinsei_strtower27_prgo02_NAME="","",shinsei_strtower27_prgo02_NAME&amp;" ")&amp;IF(shinsei_strtower27_prgo02_VER="","","Ver."&amp;shinsei_strtower27_prgo02_VER&amp;"  "),"")</f>
        <v>#NAME?</v>
      </c>
    </row>
    <row r="3594" spans="2:12" s="10" customFormat="1" ht="18" customHeight="1">
      <c r="B3594" s="105" t="s">
        <v>4016</v>
      </c>
      <c r="C3594" s="105"/>
      <c r="D3594" s="105"/>
      <c r="E3594" s="24"/>
      <c r="F3594" s="24"/>
      <c r="G3594" s="9"/>
      <c r="H3594" s="12"/>
    </row>
    <row r="3595" spans="2:12" s="10" customFormat="1" ht="18" customHeight="1">
      <c r="C3595" s="10" t="s">
        <v>3951</v>
      </c>
      <c r="D3595" s="12"/>
      <c r="G3595" s="9" t="s">
        <v>8167</v>
      </c>
      <c r="H3595" s="13"/>
    </row>
    <row r="3596" spans="2:12" s="10" customFormat="1" ht="18" customHeight="1">
      <c r="C3596" s="12" t="s">
        <v>3954</v>
      </c>
      <c r="D3596" s="12"/>
      <c r="G3596" s="9" t="s">
        <v>8168</v>
      </c>
      <c r="H3596" s="13"/>
    </row>
    <row r="3597" spans="2:12" s="10" customFormat="1" ht="18" customHeight="1">
      <c r="C3597" s="12" t="s">
        <v>3957</v>
      </c>
      <c r="D3597" s="12"/>
      <c r="G3597" s="9"/>
      <c r="H3597" s="9"/>
      <c r="I3597" s="10" t="s">
        <v>8169</v>
      </c>
      <c r="J3597" s="25" t="e">
        <f>IF(shinsei_strtower27_prgo03_NAME="","",IF(shinsei_strtower27_prgo03_NINTEI_NO="","無","有"))</f>
        <v>#NAME?</v>
      </c>
      <c r="K3597" s="10" t="s">
        <v>2941</v>
      </c>
      <c r="L3597" s="10" t="s">
        <v>3879</v>
      </c>
    </row>
    <row r="3598" spans="2:12" s="10" customFormat="1" ht="18" customHeight="1">
      <c r="C3598" s="12" t="s">
        <v>3960</v>
      </c>
      <c r="D3598" s="12"/>
      <c r="G3598" s="9" t="s">
        <v>8170</v>
      </c>
      <c r="H3598" s="13"/>
      <c r="K3598" s="10" t="s">
        <v>3862</v>
      </c>
      <c r="L3598" s="10" t="s">
        <v>3879</v>
      </c>
    </row>
    <row r="3599" spans="2:12" s="10" customFormat="1" ht="18" customHeight="1">
      <c r="C3599" s="12" t="s">
        <v>3964</v>
      </c>
      <c r="D3599" s="12"/>
      <c r="G3599" s="9" t="s">
        <v>8171</v>
      </c>
      <c r="H3599" s="74"/>
      <c r="I3599" s="10" t="s">
        <v>8172</v>
      </c>
      <c r="J3599" s="25" t="e">
        <f>IF(shinsei_strtower27_prgo03_NINTEI_DATE="","",TEXT(shinsei_strtower27_prgo03_NINTEI_DATE,"ggge年m月d日")&amp;"  ")</f>
        <v>#NAME?</v>
      </c>
    </row>
    <row r="3600" spans="2:12" s="10" customFormat="1" ht="18" customHeight="1">
      <c r="C3600" s="12" t="s">
        <v>3967</v>
      </c>
      <c r="D3600" s="12"/>
      <c r="G3600" s="9" t="s">
        <v>8173</v>
      </c>
      <c r="H3600" s="13"/>
      <c r="I3600" s="9"/>
      <c r="J3600" s="9"/>
    </row>
    <row r="3601" spans="2:12" s="10" customFormat="1" ht="18" customHeight="1">
      <c r="C3601" s="12" t="s">
        <v>3970</v>
      </c>
      <c r="D3601" s="12"/>
      <c r="G3601" s="9"/>
      <c r="H3601" s="12"/>
      <c r="I3601" s="9" t="s">
        <v>8174</v>
      </c>
      <c r="J3601" s="25" t="e">
        <f>IF(shinsei_strtower27_prgo03_NAME="","",shinsei_strtower27_prgo03_NAME)&amp;CHAR(10)&amp;IF(shinsei_strtower27_prgo03_VER="","","Ver."&amp;shinsei_strtower27_prgo03_VER&amp;CHAR(10))</f>
        <v>#NAME?</v>
      </c>
    </row>
    <row r="3602" spans="2:12" s="10" customFormat="1" ht="18" customHeight="1">
      <c r="C3602" s="12" t="s">
        <v>3972</v>
      </c>
      <c r="D3602" s="12"/>
      <c r="G3602" s="9"/>
      <c r="H3602" s="12"/>
      <c r="I3602" s="9" t="s">
        <v>8175</v>
      </c>
      <c r="J3602" s="25" t="e">
        <f>IF(shinsei_strtower27_prgo03_NAME="","",shinsei_strtower27_prgo03_NAME&amp;" ")&amp;IF(shinsei_strtower27_prgo03_VER="","","Ver."&amp;shinsei_strtower27_prgo03_VER&amp;"  ")</f>
        <v>#NAME?</v>
      </c>
    </row>
    <row r="3603" spans="2:12" s="10" customFormat="1" ht="18" customHeight="1">
      <c r="C3603" s="12" t="s">
        <v>3974</v>
      </c>
      <c r="D3603" s="12"/>
      <c r="G3603" s="9"/>
      <c r="H3603" s="12"/>
    </row>
    <row r="3604" spans="2:12" s="10" customFormat="1" ht="18" customHeight="1">
      <c r="D3604" s="12" t="s">
        <v>3975</v>
      </c>
      <c r="G3604" s="9"/>
      <c r="H3604" s="12"/>
      <c r="I3604" s="9" t="s">
        <v>8176</v>
      </c>
      <c r="J3604" s="173" t="e">
        <f>IF(cst_shinsei_strtower27_prgo03_NINTEI__umu="有",IF(shinsei_strtower27_prgo03_MAKER_NAME="","",shinsei_strtower27_prgo03_MAKER_NAME&amp;"  "),"")</f>
        <v>#NAME?</v>
      </c>
    </row>
    <row r="3605" spans="2:12" s="10" customFormat="1" ht="18" customHeight="1">
      <c r="D3605" s="12" t="s">
        <v>3972</v>
      </c>
      <c r="G3605" s="9"/>
      <c r="H3605" s="12"/>
      <c r="I3605" s="9" t="s">
        <v>8177</v>
      </c>
      <c r="J3605" s="25" t="e">
        <f>IF(cst_shinsei_strtower27_prgo03_NINTEI__umu="有",IF(shinsei_strtower27_prgo03_NAME="","",shinsei_strtower27_prgo03_NAME&amp;" ")&amp;IF(shinsei_strtower27_prgo03_VER="","","Ver."&amp;shinsei_strtower27_prgo03_VER&amp;"  "),"")</f>
        <v>#NAME?</v>
      </c>
    </row>
    <row r="3606" spans="2:12" s="10" customFormat="1" ht="18" customHeight="1">
      <c r="C3606" s="12" t="s">
        <v>3981</v>
      </c>
      <c r="D3606" s="12"/>
      <c r="G3606" s="9"/>
      <c r="H3606" s="12"/>
    </row>
    <row r="3607" spans="2:12" s="10" customFormat="1" ht="18" customHeight="1">
      <c r="D3607" s="12" t="s">
        <v>3975</v>
      </c>
      <c r="G3607" s="9"/>
      <c r="H3607" s="12"/>
      <c r="I3607" s="9" t="s">
        <v>8178</v>
      </c>
      <c r="J3607" s="173" t="e">
        <f>IF(cst_shinsei_strtower27_prgo03_NINTEI__umu="無",IF(shinsei_strtower27_prgo03_MAKER_NAME="","",shinsei_strtower27_prgo03_MAKER_NAME&amp;"  "),"")</f>
        <v>#NAME?</v>
      </c>
    </row>
    <row r="3608" spans="2:12" s="10" customFormat="1" ht="18" customHeight="1">
      <c r="D3608" s="12" t="s">
        <v>3972</v>
      </c>
      <c r="G3608" s="9"/>
      <c r="H3608" s="12"/>
      <c r="I3608" s="9" t="s">
        <v>8179</v>
      </c>
      <c r="J3608" s="25" t="e">
        <f>IF(cst_shinsei_strtower27_prgo03_NINTEI__umu="無",IF(shinsei_strtower27_prgo03_NAME="","",shinsei_strtower27_prgo03_NAME&amp;" ")&amp;IF(shinsei_strtower27_prgo03_VER="","","Ver."&amp;shinsei_strtower27_prgo03_VER&amp;"  "),"")</f>
        <v>#NAME?</v>
      </c>
    </row>
    <row r="3609" spans="2:12" s="10" customFormat="1" ht="18" customHeight="1">
      <c r="B3609" s="105" t="s">
        <v>4031</v>
      </c>
      <c r="C3609" s="105"/>
      <c r="D3609" s="105"/>
      <c r="E3609" s="24"/>
      <c r="F3609" s="24"/>
      <c r="G3609" s="9"/>
      <c r="H3609" s="12"/>
    </row>
    <row r="3610" spans="2:12" s="10" customFormat="1" ht="18" customHeight="1">
      <c r="C3610" s="10" t="s">
        <v>3951</v>
      </c>
      <c r="D3610" s="12"/>
      <c r="G3610" s="9" t="s">
        <v>8180</v>
      </c>
      <c r="H3610" s="13"/>
    </row>
    <row r="3611" spans="2:12" s="10" customFormat="1" ht="18" customHeight="1">
      <c r="C3611" s="12" t="s">
        <v>3954</v>
      </c>
      <c r="D3611" s="12"/>
      <c r="G3611" s="9" t="s">
        <v>8181</v>
      </c>
      <c r="H3611" s="13"/>
    </row>
    <row r="3612" spans="2:12" s="10" customFormat="1" ht="18" customHeight="1">
      <c r="C3612" s="12" t="s">
        <v>3957</v>
      </c>
      <c r="D3612" s="12"/>
      <c r="G3612" s="9"/>
      <c r="H3612" s="9"/>
      <c r="I3612" s="10" t="s">
        <v>8182</v>
      </c>
      <c r="J3612" s="25" t="e">
        <f>IF(shinsei_strtower27_prgo04_NAME="","",IF(shinsei_strtower27_prgo04_NINTEI_NO="","無","有"))</f>
        <v>#NAME?</v>
      </c>
      <c r="K3612" s="10" t="s">
        <v>2941</v>
      </c>
      <c r="L3612" s="10" t="s">
        <v>3879</v>
      </c>
    </row>
    <row r="3613" spans="2:12" s="10" customFormat="1" ht="18" customHeight="1">
      <c r="C3613" s="12" t="s">
        <v>3960</v>
      </c>
      <c r="D3613" s="12"/>
      <c r="G3613" s="9" t="s">
        <v>8183</v>
      </c>
      <c r="H3613" s="13"/>
      <c r="K3613" s="10" t="s">
        <v>3862</v>
      </c>
      <c r="L3613" s="10" t="s">
        <v>3879</v>
      </c>
    </row>
    <row r="3614" spans="2:12" s="10" customFormat="1" ht="18" customHeight="1">
      <c r="C3614" s="12" t="s">
        <v>3964</v>
      </c>
      <c r="D3614" s="12"/>
      <c r="G3614" s="9" t="s">
        <v>8184</v>
      </c>
      <c r="H3614" s="74"/>
      <c r="I3614" s="10" t="s">
        <v>8185</v>
      </c>
      <c r="J3614" s="25" t="e">
        <f>IF(shinsei_strtower27_prgo04_NINTEI_DATE="","",TEXT(shinsei_strtower27_prgo04_NINTEI_DATE,"ggge年m月d日")&amp;"  ")</f>
        <v>#NAME?</v>
      </c>
    </row>
    <row r="3615" spans="2:12" s="10" customFormat="1" ht="18" customHeight="1">
      <c r="C3615" s="12" t="s">
        <v>3967</v>
      </c>
      <c r="D3615" s="12"/>
      <c r="G3615" s="9" t="s">
        <v>8186</v>
      </c>
      <c r="H3615" s="13"/>
      <c r="I3615" s="9"/>
      <c r="J3615" s="9"/>
    </row>
    <row r="3616" spans="2:12" s="10" customFormat="1" ht="18" customHeight="1">
      <c r="C3616" s="12" t="s">
        <v>3970</v>
      </c>
      <c r="D3616" s="12"/>
      <c r="G3616" s="9"/>
      <c r="H3616" s="12"/>
      <c r="I3616" s="9" t="s">
        <v>8187</v>
      </c>
      <c r="J3616" s="25" t="e">
        <f>IF(shinsei_strtower27_prgo04_NAME="","",shinsei_strtower27_prgo04_NAME)&amp;CHAR(10)&amp;IF(shinsei_strtower27_prgo04_VER="","","Ver."&amp;shinsei_strtower27_prgo04_VER&amp;CHAR(10))</f>
        <v>#NAME?</v>
      </c>
    </row>
    <row r="3617" spans="2:12" s="10" customFormat="1" ht="18" customHeight="1">
      <c r="C3617" s="12" t="s">
        <v>3972</v>
      </c>
      <c r="D3617" s="12"/>
      <c r="G3617" s="9"/>
      <c r="H3617" s="12"/>
      <c r="I3617" s="9" t="s">
        <v>8188</v>
      </c>
      <c r="J3617" s="25" t="e">
        <f>IF(shinsei_strtower27_prgo04_NAME="","",shinsei_strtower27_prgo04_NAME&amp;" ")&amp;IF(shinsei_strtower27_prgo04_VER="","","Ver."&amp;shinsei_strtower27_prgo04_VER&amp;"  ")</f>
        <v>#NAME?</v>
      </c>
    </row>
    <row r="3618" spans="2:12" s="10" customFormat="1" ht="18" customHeight="1">
      <c r="C3618" s="12" t="s">
        <v>3974</v>
      </c>
      <c r="D3618" s="12"/>
      <c r="G3618" s="9"/>
      <c r="H3618" s="12"/>
    </row>
    <row r="3619" spans="2:12" s="10" customFormat="1" ht="18" customHeight="1">
      <c r="D3619" s="12" t="s">
        <v>3975</v>
      </c>
      <c r="G3619" s="9"/>
      <c r="H3619" s="12"/>
      <c r="I3619" s="9" t="s">
        <v>8189</v>
      </c>
      <c r="J3619" s="173" t="e">
        <f>IF(cst_shinsei_strtower27_prgo04_NINTEI__umu="有",IF(shinsei_strtower27_prgo04_MAKER_NAME="","",shinsei_strtower27_prgo04_MAKER_NAME&amp;"  "),"")</f>
        <v>#NAME?</v>
      </c>
    </row>
    <row r="3620" spans="2:12" s="10" customFormat="1" ht="18" customHeight="1">
      <c r="D3620" s="12" t="s">
        <v>3972</v>
      </c>
      <c r="G3620" s="9"/>
      <c r="H3620" s="12"/>
      <c r="I3620" s="9" t="s">
        <v>8190</v>
      </c>
      <c r="J3620" s="25" t="e">
        <f>IF(cst_shinsei_strtower27_prgo04_NINTEI__umu="有",IF(shinsei_strtower27_prgo04_NAME="","",shinsei_strtower27_prgo04_NAME&amp;" ")&amp;IF(shinsei_strtower27_prgo04_VER="","","Ver."&amp;shinsei_strtower27_prgo04_VER&amp;"  "),"")</f>
        <v>#NAME?</v>
      </c>
    </row>
    <row r="3621" spans="2:12" s="10" customFormat="1" ht="18" customHeight="1">
      <c r="C3621" s="12" t="s">
        <v>3981</v>
      </c>
      <c r="D3621" s="12"/>
      <c r="G3621" s="9"/>
      <c r="H3621" s="12"/>
    </row>
    <row r="3622" spans="2:12" s="10" customFormat="1" ht="18" customHeight="1">
      <c r="D3622" s="12" t="s">
        <v>3975</v>
      </c>
      <c r="G3622" s="9"/>
      <c r="H3622" s="12"/>
      <c r="I3622" s="9" t="s">
        <v>8191</v>
      </c>
      <c r="J3622" s="173" t="e">
        <f>IF(cst_shinsei_strtower27_prgo04_NINTEI__umu="無",IF(shinsei_strtower27_prgo04_MAKER_NAME="","",shinsei_strtower27_prgo04_MAKER_NAME&amp;"  "),"")</f>
        <v>#NAME?</v>
      </c>
    </row>
    <row r="3623" spans="2:12" s="10" customFormat="1" ht="18" customHeight="1">
      <c r="D3623" s="12" t="s">
        <v>3972</v>
      </c>
      <c r="G3623" s="9"/>
      <c r="H3623" s="12"/>
      <c r="I3623" s="9" t="s">
        <v>8192</v>
      </c>
      <c r="J3623" s="25" t="e">
        <f>IF(cst_shinsei_strtower27_prgo04_NINTEI__umu="無",IF(shinsei_strtower27_prgo04_NAME="","",shinsei_strtower27_prgo04_NAME&amp;" ")&amp;IF(shinsei_strtower27_prgo04_VER="","","Ver."&amp;shinsei_strtower27_prgo04_VER&amp;"  "),"")</f>
        <v>#NAME?</v>
      </c>
    </row>
    <row r="3624" spans="2:12" s="10" customFormat="1" ht="18" customHeight="1">
      <c r="B3624" s="105" t="s">
        <v>4049</v>
      </c>
      <c r="C3624" s="105"/>
      <c r="D3624" s="105"/>
      <c r="E3624" s="24"/>
      <c r="F3624" s="24"/>
      <c r="G3624" s="9"/>
      <c r="H3624" s="12"/>
    </row>
    <row r="3625" spans="2:12" s="10" customFormat="1" ht="18" customHeight="1">
      <c r="C3625" s="10" t="s">
        <v>3951</v>
      </c>
      <c r="D3625" s="12"/>
      <c r="G3625" s="9" t="s">
        <v>8193</v>
      </c>
      <c r="H3625" s="13"/>
    </row>
    <row r="3626" spans="2:12" s="10" customFormat="1" ht="18" customHeight="1">
      <c r="C3626" s="12" t="s">
        <v>3954</v>
      </c>
      <c r="D3626" s="12"/>
      <c r="G3626" s="9" t="s">
        <v>8194</v>
      </c>
      <c r="H3626" s="13"/>
    </row>
    <row r="3627" spans="2:12" s="10" customFormat="1" ht="18" customHeight="1">
      <c r="C3627" s="12" t="s">
        <v>3957</v>
      </c>
      <c r="D3627" s="12"/>
      <c r="G3627" s="9"/>
      <c r="H3627" s="9"/>
      <c r="I3627" s="10" t="s">
        <v>8195</v>
      </c>
      <c r="J3627" s="25" t="e">
        <f>IF(shinsei_strtower27_prgo05_NAME="","",IF(shinsei_strtower27_prgo05_NINTEI_NO="","無","有"))</f>
        <v>#NAME?</v>
      </c>
      <c r="K3627" s="10" t="s">
        <v>2941</v>
      </c>
      <c r="L3627" s="10" t="s">
        <v>3879</v>
      </c>
    </row>
    <row r="3628" spans="2:12" s="10" customFormat="1" ht="18" customHeight="1">
      <c r="C3628" s="12" t="s">
        <v>3960</v>
      </c>
      <c r="D3628" s="12"/>
      <c r="G3628" s="9" t="s">
        <v>8196</v>
      </c>
      <c r="H3628" s="13"/>
      <c r="K3628" s="10" t="s">
        <v>3862</v>
      </c>
      <c r="L3628" s="10" t="s">
        <v>3879</v>
      </c>
    </row>
    <row r="3629" spans="2:12" s="10" customFormat="1" ht="18" customHeight="1">
      <c r="C3629" s="12" t="s">
        <v>3964</v>
      </c>
      <c r="D3629" s="12"/>
      <c r="G3629" s="9" t="s">
        <v>8197</v>
      </c>
      <c r="H3629" s="74"/>
      <c r="I3629" s="10" t="s">
        <v>8198</v>
      </c>
      <c r="J3629" s="25" t="e">
        <f>IF(shinsei_strtower27_prgo05_NINTEI_DATE="","",TEXT(shinsei_strtower27_prgo05_NINTEI_DATE,"ggge年m月d日")&amp;"  ")</f>
        <v>#NAME?</v>
      </c>
    </row>
    <row r="3630" spans="2:12" s="10" customFormat="1" ht="18" customHeight="1">
      <c r="C3630" s="12" t="s">
        <v>3967</v>
      </c>
      <c r="D3630" s="12"/>
      <c r="G3630" s="9" t="s">
        <v>8199</v>
      </c>
      <c r="H3630" s="13"/>
    </row>
    <row r="3631" spans="2:12" s="10" customFormat="1" ht="18" customHeight="1">
      <c r="C3631" s="12" t="s">
        <v>3970</v>
      </c>
      <c r="D3631" s="12"/>
      <c r="G3631" s="9"/>
      <c r="H3631" s="12"/>
      <c r="I3631" s="9" t="s">
        <v>8200</v>
      </c>
      <c r="J3631" s="25" t="e">
        <f>IF(shinsei_strtower27_prgo05_NAME="","",shinsei_strtower27_prgo05_NAME)&amp;CHAR(10)&amp;IF(shinsei_strtower27_prgo05_VER="","","Ver."&amp;shinsei_strtower27_prgo05_VER&amp;CHAR(10))</f>
        <v>#NAME?</v>
      </c>
    </row>
    <row r="3632" spans="2:12" s="10" customFormat="1" ht="18" customHeight="1">
      <c r="C3632" s="12" t="s">
        <v>3972</v>
      </c>
      <c r="D3632" s="12"/>
      <c r="G3632" s="9"/>
      <c r="H3632" s="12"/>
      <c r="I3632" s="9" t="s">
        <v>8201</v>
      </c>
      <c r="J3632" s="25" t="e">
        <f>IF(shinsei_strtower27_prgo05_NAME="","",shinsei_strtower27_prgo05_NAME&amp;" ")&amp;IF(shinsei_strtower27_prgo05_VER="","","Ver."&amp;shinsei_strtower27_prgo05_VER&amp;"  ")</f>
        <v>#NAME?</v>
      </c>
    </row>
    <row r="3633" spans="2:10" s="10" customFormat="1" ht="18" customHeight="1">
      <c r="C3633" s="12" t="s">
        <v>3974</v>
      </c>
      <c r="D3633" s="12"/>
      <c r="G3633" s="9"/>
      <c r="H3633" s="12"/>
    </row>
    <row r="3634" spans="2:10" s="10" customFormat="1" ht="18" customHeight="1">
      <c r="D3634" s="12" t="s">
        <v>3975</v>
      </c>
      <c r="G3634" s="9"/>
      <c r="H3634" s="12"/>
      <c r="I3634" s="9" t="s">
        <v>8202</v>
      </c>
      <c r="J3634" s="173" t="e">
        <f>IF(cst_shinsei_strtower27_prgo05_NINTEI__umu="有",IF(shinsei_strtower27_prgo05_MAKER_NAME="","",shinsei_strtower27_prgo05_MAKER_NAME&amp;"  "),"")</f>
        <v>#NAME?</v>
      </c>
    </row>
    <row r="3635" spans="2:10" s="10" customFormat="1" ht="18" customHeight="1">
      <c r="D3635" s="12" t="s">
        <v>3972</v>
      </c>
      <c r="G3635" s="9"/>
      <c r="H3635" s="12"/>
      <c r="I3635" s="9" t="s">
        <v>8203</v>
      </c>
      <c r="J3635" s="25" t="e">
        <f>IF(cst_shinsei_strtower27_prgo05_NINTEI__umu="有",IF(shinsei_strtower27_prgo05_NAME="","",shinsei_strtower27_prgo05_NAME&amp;" ")&amp;IF(shinsei_strtower27_prgo05_VER="","","Ver."&amp;shinsei_strtower27_prgo05_VER&amp;"  "),"")</f>
        <v>#NAME?</v>
      </c>
    </row>
    <row r="3636" spans="2:10" s="10" customFormat="1" ht="18" customHeight="1">
      <c r="C3636" s="12" t="s">
        <v>3981</v>
      </c>
      <c r="D3636" s="12"/>
      <c r="G3636" s="9"/>
      <c r="H3636" s="12"/>
    </row>
    <row r="3637" spans="2:10" s="10" customFormat="1" ht="18" customHeight="1">
      <c r="D3637" s="12" t="s">
        <v>3975</v>
      </c>
      <c r="G3637" s="9"/>
      <c r="H3637" s="12"/>
      <c r="I3637" s="9" t="s">
        <v>8204</v>
      </c>
      <c r="J3637" s="173" t="e">
        <f>IF(cst_shinsei_strtower27_prgo05_NINTEI__umu="無",IF(shinsei_strtower27_prgo05_MAKER_NAME="","",shinsei_strtower27_prgo05_MAKER_NAME&amp;"  "),"")</f>
        <v>#NAME?</v>
      </c>
    </row>
    <row r="3638" spans="2:10" s="10" customFormat="1" ht="18" customHeight="1">
      <c r="D3638" s="12" t="s">
        <v>3972</v>
      </c>
      <c r="G3638" s="9"/>
      <c r="H3638" s="12"/>
      <c r="I3638" s="9" t="s">
        <v>8205</v>
      </c>
      <c r="J3638" s="25" t="e">
        <f>IF(cst_shinsei_strtower27_prgo05_NINTEI__umu="無",IF(shinsei_strtower27_prgo05_NAME="","",shinsei_strtower27_prgo05_NAME&amp;" ")&amp;IF(shinsei_strtower27_prgo05_VER="","","Ver."&amp;shinsei_strtower27_prgo05_VER&amp;"  "),"")</f>
        <v>#NAME?</v>
      </c>
    </row>
    <row r="3639" spans="2:10" s="10" customFormat="1" ht="18" customHeight="1">
      <c r="B3639" s="13" t="s">
        <v>3827</v>
      </c>
      <c r="C3639" s="13"/>
      <c r="D3639" s="13"/>
      <c r="E3639" s="25"/>
      <c r="F3639" s="25"/>
      <c r="G3639" s="9"/>
      <c r="H3639" s="80"/>
      <c r="I3639" s="9"/>
      <c r="J3639" s="80"/>
    </row>
    <row r="3640" spans="2:10" s="10" customFormat="1" ht="18" customHeight="1">
      <c r="C3640" s="12" t="s">
        <v>3970</v>
      </c>
      <c r="D3640" s="12"/>
      <c r="G3640" s="9"/>
      <c r="H3640" s="80"/>
      <c r="I3640" s="166" t="s">
        <v>8206</v>
      </c>
      <c r="J3640" s="74" t="e">
        <f>cst_shinsei_strtower27_prgo01_NAME_VER&amp;cst_shinsei_strtower27_prgo02_NAME_VER&amp;cst_shinsei_strtower27_prgo03_NAME_VER&amp;cst_shinsei_strtower27_prgo04_NAME_VER&amp;cst_shinsei_strtower27_prgo05_NAME_VER</f>
        <v>#NAME?</v>
      </c>
    </row>
    <row r="3641" spans="2:10" s="10" customFormat="1" ht="18" customHeight="1">
      <c r="C3641" s="12" t="s">
        <v>3972</v>
      </c>
      <c r="D3641" s="12"/>
      <c r="G3641" s="9"/>
      <c r="H3641" s="80"/>
      <c r="I3641" s="166" t="s">
        <v>8207</v>
      </c>
      <c r="J3641" s="74" t="e">
        <f>cst_shinsei_strtower27_prgo01_NAME_VER__SP&amp;cst_shinsei_strtower27_prgo02_NAME_VER__SP&amp;cst_shinsei_strtower27_prgo03_NAME_VER__SP&amp;cst_shinsei_strtower27_prgo04_NAME_VER__SP&amp;cst_shinsei_strtower27_prgo05_NAME_VER__SP</f>
        <v>#NAME?</v>
      </c>
    </row>
    <row r="3642" spans="2:10" s="10" customFormat="1" ht="18" customHeight="1">
      <c r="B3642" s="13" t="s">
        <v>4068</v>
      </c>
      <c r="C3642" s="13"/>
      <c r="D3642" s="13"/>
      <c r="E3642" s="25"/>
      <c r="F3642" s="25"/>
      <c r="G3642" s="9"/>
      <c r="H3642" s="80"/>
      <c r="I3642" s="9"/>
      <c r="J3642" s="80"/>
    </row>
    <row r="3643" spans="2:10" s="10" customFormat="1" ht="18" customHeight="1">
      <c r="C3643" s="12" t="s">
        <v>8208</v>
      </c>
      <c r="D3643" s="12"/>
      <c r="G3643" s="9"/>
      <c r="H3643" s="80"/>
      <c r="I3643" s="166" t="s">
        <v>8209</v>
      </c>
      <c r="J3643" s="74" t="e">
        <f>cst_shinsei_strtower27_prgo01_MAKER__NINTEI_ari&amp;cst_shinsei_strtower27_prgo02_MAKER__NINTEI_ari&amp;cst_shinsei_strtower27_prgo03_MAKER__NINTEI_ari&amp;cst_shinsei_strtower27_prgo04_MAKER__NINTEI_ari&amp;cst_shinsei_strtower27_prgo05_MAKER__NINTEI_ari</f>
        <v>#NAME?</v>
      </c>
    </row>
    <row r="3644" spans="2:10" s="10" customFormat="1" ht="18" customHeight="1">
      <c r="C3644" s="12" t="s">
        <v>3972</v>
      </c>
      <c r="D3644" s="12"/>
      <c r="G3644" s="9"/>
      <c r="H3644" s="80"/>
      <c r="I3644" s="166" t="s">
        <v>8210</v>
      </c>
      <c r="J3644" s="173" t="e">
        <f>cst_shinsei_strtower27_prgo01_NAME_VER__NINTEI_ari&amp;cst_shinsei_strtower27_prgo02_NAME_VER__NINTEI_ari&amp;cst_shinsei_strtower27_prgo03_NAME_VER__NINTEI_ari&amp;cst_shinsei_strtower27_prgo04_NAME_VER__NINTEI_ari&amp;cst_shinsei_strtower27_prgo05_NAME_VER__NINTEI_ari</f>
        <v>#NAME?</v>
      </c>
    </row>
    <row r="3645" spans="2:10" s="10" customFormat="1" ht="18" customHeight="1">
      <c r="C3645" s="12" t="s">
        <v>3964</v>
      </c>
      <c r="D3645" s="12"/>
      <c r="G3645" s="9"/>
      <c r="H3645" s="80"/>
      <c r="I3645" s="166" t="s">
        <v>8211</v>
      </c>
      <c r="J3645" s="74" t="e">
        <f>cst_shinsei_strtower27_prgo01_NINTEI_DATE_dsp&amp;cst_shinsei_strtower27_prgo02_NINTEI_DATE_dsp&amp;cst_shinsei_strtower27_prgo03_NINTEI_DATE_dsp&amp;cst_shinsei_strtower27_prgo04_NINTEI_DATE_dsp&amp;cst_shinsei_strtower27_prgo05_NINTEI_DATE_dsp</f>
        <v>#NAME?</v>
      </c>
    </row>
    <row r="3646" spans="2:10" s="10" customFormat="1" ht="18" customHeight="1">
      <c r="B3646" s="13" t="s">
        <v>4072</v>
      </c>
      <c r="C3646" s="13"/>
      <c r="D3646" s="13"/>
      <c r="E3646" s="25"/>
      <c r="F3646" s="25"/>
      <c r="G3646" s="9"/>
      <c r="H3646" s="80"/>
      <c r="I3646" s="9"/>
      <c r="J3646" s="80"/>
    </row>
    <row r="3647" spans="2:10" s="10" customFormat="1" ht="18" customHeight="1">
      <c r="C3647" s="12" t="s">
        <v>8212</v>
      </c>
      <c r="D3647" s="12"/>
      <c r="G3647" s="9"/>
      <c r="H3647" s="80"/>
      <c r="I3647" s="166" t="s">
        <v>8213</v>
      </c>
      <c r="J3647" s="74" t="e">
        <f>cst_shinsei_strtower27_prgo01_MAKER__NINTEI_non&amp;cst_shinsei_strtower27_prgo02_MAKER__NINTEI_non&amp;cst_shinsei_strtower27_prgo03_MAKER__NINTEI_non&amp;cst_shinsei_strtower27_prgo04_MAKER__NINTEI_non&amp;cst_shinsei_strtower27_prgo05_MAKER__NINTEI_non</f>
        <v>#NAME?</v>
      </c>
    </row>
    <row r="3648" spans="2:10" s="10" customFormat="1" ht="18" customHeight="1">
      <c r="C3648" s="12" t="s">
        <v>3972</v>
      </c>
      <c r="D3648" s="12"/>
      <c r="G3648" s="9"/>
      <c r="H3648" s="80"/>
      <c r="I3648" s="166" t="s">
        <v>8214</v>
      </c>
      <c r="J3648" s="173" t="e">
        <f>cst_shinsei_strtower27_prgo01_NAME_VER__NINTEI_non&amp;cst_shinsei_strtower27_prgo02_NAME_VER__NINTEI_non&amp;cst_shinsei_strtower27_prgo03_NAME_VER__NINTEI_non&amp;cst_shinsei_strtower27_prgo04_NAME_VER__NINTEI_non&amp;cst_shinsei_strtower27_prgo05_NAME_VER__NINTEI_non</f>
        <v>#NAME?</v>
      </c>
    </row>
    <row r="3649" spans="1:12" s="10" customFormat="1" ht="18" customHeight="1">
      <c r="B3649" s="12" t="s">
        <v>4075</v>
      </c>
      <c r="G3649" s="9" t="s">
        <v>8215</v>
      </c>
      <c r="H3649" s="20"/>
      <c r="I3649" s="9" t="s">
        <v>8216</v>
      </c>
      <c r="J3649" s="20" t="e">
        <f>IF(shinsei_strtower27_DISK_FLAG="","",IF(shinsei_strtower27_DISK_FLAG=1,"有","無"))</f>
        <v>#NAME?</v>
      </c>
    </row>
    <row r="3650" spans="1:12" s="10" customFormat="1" ht="18" customHeight="1">
      <c r="A3650" s="9"/>
      <c r="B3650" s="9" t="s">
        <v>2955</v>
      </c>
      <c r="C3650" s="9"/>
      <c r="D3650" s="9"/>
      <c r="E3650" s="9"/>
      <c r="F3650" s="9"/>
      <c r="G3650" s="9" t="s">
        <v>8217</v>
      </c>
      <c r="H3650" s="136"/>
      <c r="I3650" s="19" t="s">
        <v>8218</v>
      </c>
      <c r="J3650" s="171" t="e">
        <f>IF(shinsei_strtower27_CHARGE="","",shinsei_strtower27_CHARGE)</f>
        <v>#NAME?</v>
      </c>
      <c r="K3650" s="9" t="s">
        <v>2528</v>
      </c>
      <c r="L3650" s="9" t="s">
        <v>2528</v>
      </c>
    </row>
    <row r="3651" spans="1:12" ht="18" customHeight="1">
      <c r="A3651" s="149"/>
      <c r="B3651" s="149"/>
      <c r="C3651" s="149"/>
      <c r="D3651" s="149"/>
      <c r="E3651" s="12" t="s">
        <v>3907</v>
      </c>
      <c r="F3651" s="12"/>
      <c r="G3651" s="149"/>
      <c r="I3651" s="100" t="s">
        <v>8219</v>
      </c>
      <c r="J3651" s="171" t="e">
        <f>IF(shinsei_strtower27_CHARGE="","",TEXT(shinsei_strtower27_CHARGE,"#,##0_ ")&amp;"円")</f>
        <v>#NAME?</v>
      </c>
      <c r="K3651" s="9"/>
      <c r="L3651" s="9"/>
    </row>
    <row r="3652" spans="1:12" ht="18" customHeight="1">
      <c r="A3652" s="149"/>
      <c r="B3652" s="149" t="s">
        <v>3041</v>
      </c>
      <c r="C3652" s="149"/>
      <c r="D3652" s="149"/>
      <c r="E3652" s="149"/>
      <c r="F3652" s="149"/>
      <c r="G3652" s="149" t="s">
        <v>8220</v>
      </c>
      <c r="H3652" s="136"/>
      <c r="I3652" s="100" t="s">
        <v>8221</v>
      </c>
      <c r="J3652" s="136" t="e">
        <f>IF(shinsei_strtower27_CHARGE_WARIMASHI="","",shinsei_strtower27_CHARGE_WARIMASHI)</f>
        <v>#NAME?</v>
      </c>
      <c r="K3652" s="9" t="s">
        <v>2528</v>
      </c>
      <c r="L3652" s="9" t="s">
        <v>2528</v>
      </c>
    </row>
    <row r="3653" spans="1:12" ht="18" customHeight="1">
      <c r="A3653" s="149"/>
      <c r="B3653" s="149" t="s">
        <v>3043</v>
      </c>
      <c r="C3653" s="149"/>
      <c r="D3653" s="149"/>
      <c r="E3653" s="149"/>
      <c r="F3653" s="149"/>
      <c r="G3653" s="149" t="s">
        <v>8222</v>
      </c>
      <c r="H3653" s="136"/>
      <c r="I3653" s="100" t="s">
        <v>8223</v>
      </c>
      <c r="J3653" s="136" t="e">
        <f>IF(shinsei_strtower27_CHARGE_TOTAL="","",shinsei_strtower27_CHARGE_TOTAL)</f>
        <v>#NAME?</v>
      </c>
      <c r="K3653" s="9" t="s">
        <v>2528</v>
      </c>
      <c r="L3653" s="9" t="s">
        <v>2528</v>
      </c>
    </row>
    <row r="3654" spans="1:12" ht="18" customHeight="1">
      <c r="A3654" s="149"/>
      <c r="B3654" s="149" t="s">
        <v>5637</v>
      </c>
      <c r="C3654" s="149"/>
      <c r="D3654" s="149"/>
      <c r="E3654" s="149"/>
      <c r="F3654" s="149"/>
      <c r="G3654" s="149" t="s">
        <v>8224</v>
      </c>
      <c r="H3654" s="13"/>
      <c r="I3654" s="176" t="s">
        <v>8225</v>
      </c>
      <c r="J3654" s="20" t="e">
        <f>IF(shinsei_strtower27_CHARGE_KEISAN_NOTE="","",shinsei_strtower27_CHARGE_KEISAN_NOTE)</f>
        <v>#NAME?</v>
      </c>
      <c r="K3654" s="10" t="s">
        <v>8226</v>
      </c>
      <c r="L3654" s="10" t="s">
        <v>3879</v>
      </c>
    </row>
    <row r="3655" spans="1:12" ht="18" customHeight="1">
      <c r="A3655" s="149"/>
      <c r="B3655" s="149"/>
      <c r="C3655" s="149"/>
      <c r="D3655" s="149"/>
      <c r="E3655" s="149" t="s">
        <v>5640</v>
      </c>
      <c r="F3655" s="149"/>
      <c r="G3655" s="149"/>
      <c r="I3655" s="100" t="s">
        <v>8227</v>
      </c>
      <c r="J3655" s="20" t="e">
        <f>IF(shinsei_INSPECTION_TYPE="計画変更",IF(shinsei_strtower27_CHARGE="","","延べ面積×1/2により算出"),IF(shinsei_strtower27_CHARGE_KEISAN_NOTE="","",shinsei_strtower27_CHARGE_KEISAN_NOTE))</f>
        <v>#NAME?</v>
      </c>
    </row>
    <row r="3656" spans="1:12" ht="18" customHeight="1">
      <c r="A3656" s="149"/>
      <c r="B3656" s="149" t="s">
        <v>5642</v>
      </c>
      <c r="C3656" s="149"/>
      <c r="D3656" s="149"/>
      <c r="E3656" s="149"/>
      <c r="F3656" s="149"/>
      <c r="G3656" s="149" t="s">
        <v>8228</v>
      </c>
      <c r="H3656" s="13"/>
      <c r="I3656" s="149" t="s">
        <v>8229</v>
      </c>
      <c r="J3656" s="20" t="e">
        <f>IF(shinsei_strtower27_KEISAN_X_ROUTE="","",shinsei_strtower27_KEISAN_X_ROUTE)</f>
        <v>#NAME?</v>
      </c>
    </row>
    <row r="3657" spans="1:12" ht="18" customHeight="1">
      <c r="A3657" s="149"/>
      <c r="B3657" s="149" t="s">
        <v>5645</v>
      </c>
      <c r="C3657" s="149"/>
      <c r="D3657" s="149"/>
      <c r="E3657" s="149"/>
      <c r="F3657" s="149"/>
      <c r="G3657" s="149" t="s">
        <v>8230</v>
      </c>
      <c r="H3657" s="13"/>
      <c r="I3657" s="149" t="s">
        <v>8231</v>
      </c>
      <c r="J3657" s="20" t="e">
        <f>IF(shinsei_strtower27_KEISAN_Y_ROUTE="","",shinsei_strtower27_KEISAN_Y_ROUTE)</f>
        <v>#NAME?</v>
      </c>
    </row>
    <row r="3658" spans="1:12" ht="18" customHeight="1">
      <c r="A3658" s="149"/>
      <c r="B3658" s="149"/>
      <c r="C3658" s="149" t="s">
        <v>3805</v>
      </c>
      <c r="D3658" s="149"/>
      <c r="E3658" s="149"/>
      <c r="F3658" s="149"/>
      <c r="G3658" s="149"/>
      <c r="H3658" s="12"/>
      <c r="I3658" s="149" t="s">
        <v>8232</v>
      </c>
      <c r="J3658" s="20" t="e">
        <f>IF(AND(cst_shinsei_strtower27_KEISAN_X_ROUTE="3",cst_shinsei_strtower27_KEISAN_Y_ROUTE="3"),"■","□")</f>
        <v>#NAME?</v>
      </c>
    </row>
    <row r="3659" spans="1:12" ht="18" customHeight="1">
      <c r="A3659" s="149"/>
      <c r="B3659" s="149" t="s">
        <v>5650</v>
      </c>
      <c r="C3659" s="149"/>
      <c r="D3659" s="149"/>
      <c r="E3659" s="149"/>
      <c r="F3659" s="149"/>
      <c r="G3659" s="149" t="s">
        <v>8233</v>
      </c>
      <c r="H3659" s="13"/>
      <c r="I3659" s="149" t="s">
        <v>8234</v>
      </c>
      <c r="J3659" s="20" t="e">
        <f>IF(shinsei_strtower27_PROGRAM_KIND_SONOTA="","",shinsei_strtower27_PROGRAM_KIND_SONOTA)</f>
        <v>#NAME?</v>
      </c>
    </row>
    <row r="3660" spans="1:12" ht="18" customHeight="1">
      <c r="A3660" s="149"/>
      <c r="B3660" s="149"/>
      <c r="C3660" s="149"/>
      <c r="D3660" s="149"/>
      <c r="E3660" s="149"/>
      <c r="F3660" s="149"/>
      <c r="G3660" s="149"/>
    </row>
    <row r="3661" spans="1:12" s="10" customFormat="1" ht="18" customHeight="1">
      <c r="A3661" s="162" t="s">
        <v>3177</v>
      </c>
      <c r="B3661" s="162"/>
      <c r="C3661" s="162"/>
      <c r="D3661" s="162"/>
      <c r="E3661" s="163"/>
      <c r="F3661" s="163"/>
      <c r="G3661" s="164"/>
      <c r="H3661" s="165"/>
      <c r="I3661" s="9"/>
    </row>
    <row r="3662" spans="1:12" s="10" customFormat="1" ht="18" customHeight="1">
      <c r="A3662" s="12"/>
      <c r="B3662" s="12" t="s">
        <v>3859</v>
      </c>
      <c r="C3662" s="12"/>
      <c r="D3662" s="12"/>
      <c r="E3662" s="11"/>
      <c r="F3662" s="11"/>
      <c r="G3662" s="10" t="s">
        <v>8235</v>
      </c>
      <c r="H3662" s="13"/>
      <c r="I3662" s="19" t="s">
        <v>8236</v>
      </c>
      <c r="J3662" s="25" t="e">
        <f>IF(shinsei_strtower28_TOWER_NO="","",shinsei_strtower28_TOWER_NO)</f>
        <v>#NAME?</v>
      </c>
      <c r="K3662" s="10" t="s">
        <v>8226</v>
      </c>
    </row>
    <row r="3663" spans="1:12" s="10" customFormat="1" ht="18" customHeight="1">
      <c r="A3663" s="12"/>
      <c r="B3663" s="12" t="s">
        <v>3864</v>
      </c>
      <c r="C3663" s="12"/>
      <c r="D3663" s="12"/>
      <c r="E3663" s="11"/>
      <c r="F3663" s="11"/>
      <c r="G3663" s="9" t="s">
        <v>8237</v>
      </c>
      <c r="H3663" s="13"/>
      <c r="I3663" s="19" t="s">
        <v>8238</v>
      </c>
      <c r="J3663" s="25" t="e">
        <f>IF(shinsei_strtower28_STR_TOWER_NO="","",shinsei_strtower28_STR_TOWER_NO)</f>
        <v>#NAME?</v>
      </c>
      <c r="K3663" s="10" t="s">
        <v>8226</v>
      </c>
      <c r="L3663" s="10" t="s">
        <v>3879</v>
      </c>
    </row>
    <row r="3664" spans="1:12" s="166" customFormat="1" ht="18" customHeight="1">
      <c r="B3664" s="12" t="s">
        <v>3868</v>
      </c>
      <c r="I3664" s="9" t="s">
        <v>8239</v>
      </c>
      <c r="J3664" s="167" t="e">
        <f>CONCATENATE(cst_shinsei_strtower28_TOWER_NO," - ",cst_shinsei_strtower28_STR_TOWER_NO)</f>
        <v>#NAME?</v>
      </c>
    </row>
    <row r="3665" spans="1:12" s="166" customFormat="1" ht="18" customHeight="1">
      <c r="B3665" s="12" t="s">
        <v>3870</v>
      </c>
      <c r="I3665" s="9" t="s">
        <v>8240</v>
      </c>
      <c r="J3665" s="167" t="e">
        <f>CONCATENATE(cst_shinsei_strtower28_STR_TOWER_NO," ／ ",cst_shinsei_STR_SHINSEI_TOWERS)</f>
        <v>#NAME?</v>
      </c>
    </row>
    <row r="3666" spans="1:12" s="10" customFormat="1" ht="18" customHeight="1">
      <c r="A3666" s="12"/>
      <c r="B3666" s="12" t="s">
        <v>8241</v>
      </c>
      <c r="C3666" s="11"/>
      <c r="D3666" s="11"/>
      <c r="E3666" s="11"/>
      <c r="F3666" s="11"/>
      <c r="G3666" s="9" t="s">
        <v>8242</v>
      </c>
      <c r="H3666" s="13"/>
      <c r="I3666" s="9" t="s">
        <v>8243</v>
      </c>
      <c r="J3666" s="25" t="e">
        <f>IF(shinsei_strtower28_STR_TOWER_NAME="","",shinsei_strtower28_STR_TOWER_NAME)</f>
        <v>#NAME?</v>
      </c>
    </row>
    <row r="3667" spans="1:12" s="10" customFormat="1" ht="18" customHeight="1">
      <c r="A3667" s="12"/>
      <c r="B3667" s="12" t="s">
        <v>8244</v>
      </c>
      <c r="C3667" s="12"/>
      <c r="D3667" s="12"/>
      <c r="E3667" s="11"/>
      <c r="F3667" s="11"/>
      <c r="G3667" s="9" t="s">
        <v>8245</v>
      </c>
      <c r="H3667" s="20"/>
      <c r="I3667" s="20" t="s">
        <v>8246</v>
      </c>
      <c r="J3667" s="25" t="e">
        <f>IF(shinsei_strtower28_JUDGE="","",shinsei_strtower28_JUDGE)</f>
        <v>#NAME?</v>
      </c>
      <c r="K3667" s="10" t="s">
        <v>8247</v>
      </c>
      <c r="L3667" s="10" t="s">
        <v>3879</v>
      </c>
    </row>
    <row r="3668" spans="1:12" s="10" customFormat="1" ht="18" customHeight="1">
      <c r="A3668" s="12"/>
      <c r="B3668" s="12" t="s">
        <v>4441</v>
      </c>
      <c r="C3668" s="12"/>
      <c r="D3668" s="12"/>
      <c r="E3668" s="11"/>
      <c r="F3668" s="11"/>
      <c r="G3668" s="9" t="s">
        <v>8248</v>
      </c>
      <c r="H3668" s="13"/>
      <c r="I3668" s="9" t="s">
        <v>8249</v>
      </c>
      <c r="J3668" s="25" t="e">
        <f>IF(shinsei_strtower28_STR_TOWER_YOUTO_TEXT="","",shinsei_strtower28_STR_TOWER_YOUTO_TEXT)</f>
        <v>#NAME?</v>
      </c>
      <c r="K3668" s="10" t="s">
        <v>8226</v>
      </c>
      <c r="L3668" s="10" t="s">
        <v>3879</v>
      </c>
    </row>
    <row r="3669" spans="1:12" s="10" customFormat="1" ht="18" customHeight="1">
      <c r="A3669" s="12"/>
      <c r="B3669" s="12" t="s">
        <v>3790</v>
      </c>
      <c r="C3669" s="12"/>
      <c r="D3669" s="12"/>
      <c r="E3669" s="11"/>
      <c r="F3669" s="11"/>
      <c r="G3669" s="9" t="s">
        <v>8250</v>
      </c>
      <c r="H3669" s="13"/>
      <c r="I3669" s="9" t="s">
        <v>8251</v>
      </c>
      <c r="J3669" s="25" t="e">
        <f>IF(shinsei_strtower28_KOUJI_TEXT="","",shinsei_strtower28_KOUJI_TEXT)</f>
        <v>#NAME?</v>
      </c>
      <c r="K3669" s="10" t="s">
        <v>8226</v>
      </c>
      <c r="L3669" s="10" t="s">
        <v>3879</v>
      </c>
    </row>
    <row r="3670" spans="1:12" s="10" customFormat="1" ht="18" customHeight="1">
      <c r="A3670" s="12"/>
      <c r="B3670" s="12" t="s">
        <v>8252</v>
      </c>
      <c r="C3670" s="11"/>
      <c r="D3670" s="11"/>
      <c r="E3670" s="11"/>
      <c r="F3670" s="11"/>
      <c r="G3670" s="9" t="s">
        <v>8253</v>
      </c>
      <c r="H3670" s="13"/>
      <c r="I3670" s="9" t="s">
        <v>8254</v>
      </c>
      <c r="J3670" s="25" t="e">
        <f>IF(shinsei_strtower28_KOUZOU_TEXT="","",shinsei_strtower28_KOUZOU_TEXT)</f>
        <v>#NAME?</v>
      </c>
    </row>
    <row r="3671" spans="1:12" s="10" customFormat="1" ht="18" customHeight="1">
      <c r="A3671" s="12"/>
      <c r="B3671" s="12" t="s">
        <v>8255</v>
      </c>
      <c r="C3671" s="12"/>
      <c r="D3671" s="12"/>
      <c r="E3671" s="11"/>
      <c r="F3671" s="11"/>
      <c r="G3671" s="9" t="s">
        <v>8256</v>
      </c>
      <c r="H3671" s="13"/>
      <c r="I3671" s="9" t="s">
        <v>8257</v>
      </c>
      <c r="J3671" s="25" t="e">
        <f>IF(shinsei_strtower28_KOUZOU_TEXT="","",shinsei_strtower28_KOUZOU_TEXT)</f>
        <v>#NAME?</v>
      </c>
    </row>
    <row r="3672" spans="1:12" s="10" customFormat="1" ht="18" customHeight="1">
      <c r="A3672" s="12"/>
      <c r="B3672" s="12" t="s">
        <v>3893</v>
      </c>
      <c r="C3672" s="11"/>
      <c r="D3672" s="11"/>
      <c r="E3672" s="11"/>
      <c r="F3672" s="11"/>
      <c r="G3672" s="9" t="s">
        <v>8258</v>
      </c>
      <c r="H3672" s="13"/>
      <c r="I3672" s="9" t="s">
        <v>8259</v>
      </c>
      <c r="J3672" s="25" t="e">
        <f>IF(shinsei_strtower28_KOUZOU_KEISAN="","",shinsei_strtower28_KOUZOU_KEISAN)</f>
        <v>#NAME?</v>
      </c>
    </row>
    <row r="3673" spans="1:12" s="10" customFormat="1" ht="18" customHeight="1">
      <c r="A3673" s="12"/>
      <c r="B3673" s="12" t="s">
        <v>3893</v>
      </c>
      <c r="C3673" s="12"/>
      <c r="D3673" s="12"/>
      <c r="E3673" s="11"/>
      <c r="F3673" s="11"/>
      <c r="G3673" s="9" t="s">
        <v>8260</v>
      </c>
      <c r="H3673" s="13"/>
      <c r="I3673" s="10" t="s">
        <v>8261</v>
      </c>
      <c r="J3673" s="25" t="e">
        <f>IF(shinsei_strtower28_KOUZOU_KEISAN_TEXT="","",shinsei_strtower28_KOUZOU_KEISAN_TEXT)</f>
        <v>#NAME?</v>
      </c>
    </row>
    <row r="3674" spans="1:12" s="10" customFormat="1" ht="18" customHeight="1">
      <c r="A3674" s="12"/>
      <c r="B3674" s="12" t="s">
        <v>8262</v>
      </c>
      <c r="C3674" s="12"/>
      <c r="D3674" s="12"/>
      <c r="E3674" s="11"/>
      <c r="F3674" s="11"/>
      <c r="G3674" s="9" t="s">
        <v>8263</v>
      </c>
      <c r="H3674" s="65"/>
      <c r="I3674" s="19" t="s">
        <v>8264</v>
      </c>
      <c r="J3674" s="168" t="e">
        <f>IF(shinsei_strtower28_MENSEKI="","",shinsei_strtower28_MENSEKI)</f>
        <v>#NAME?</v>
      </c>
      <c r="K3674" s="10" t="s">
        <v>3906</v>
      </c>
      <c r="L3674" s="10" t="s">
        <v>3906</v>
      </c>
    </row>
    <row r="3675" spans="1:12" ht="18" customHeight="1">
      <c r="A3675" s="12"/>
      <c r="B3675" s="12"/>
      <c r="C3675" s="12"/>
      <c r="D3675" s="12"/>
      <c r="E3675" s="12" t="s">
        <v>3907</v>
      </c>
      <c r="F3675" s="12"/>
      <c r="G3675" s="9"/>
      <c r="H3675" s="9"/>
      <c r="I3675" s="9" t="s">
        <v>8265</v>
      </c>
      <c r="J3675" s="168" t="e">
        <f>IF(shinsei_strtower28_MENSEKI="","",TEXT(shinsei_strtower28_MENSEKI,"#,##0.00_ ")&amp;"㎡")</f>
        <v>#NAME?</v>
      </c>
    </row>
    <row r="3676" spans="1:12" s="10" customFormat="1" ht="18" customHeight="1">
      <c r="A3676" s="12"/>
      <c r="B3676" s="12" t="s">
        <v>4390</v>
      </c>
      <c r="C3676" s="12"/>
      <c r="D3676" s="12"/>
      <c r="E3676" s="11"/>
      <c r="F3676" s="11"/>
      <c r="G3676" s="9" t="s">
        <v>8266</v>
      </c>
      <c r="H3676" s="93"/>
      <c r="I3676" s="9" t="s">
        <v>8267</v>
      </c>
      <c r="J3676" s="170" t="e">
        <f>IF(shinsei_strtower28_MAX_TAKASA="","",shinsei_strtower28_MAX_TAKASA)</f>
        <v>#NAME?</v>
      </c>
      <c r="K3676" s="10" t="s">
        <v>3911</v>
      </c>
      <c r="L3676" s="10" t="s">
        <v>3911</v>
      </c>
    </row>
    <row r="3677" spans="1:12" s="10" customFormat="1" ht="18" customHeight="1">
      <c r="A3677" s="12"/>
      <c r="B3677" s="12" t="s">
        <v>4388</v>
      </c>
      <c r="C3677" s="11"/>
      <c r="D3677" s="11"/>
      <c r="E3677" s="11"/>
      <c r="F3677" s="11"/>
      <c r="G3677" s="9" t="s">
        <v>8268</v>
      </c>
      <c r="H3677" s="93"/>
      <c r="I3677" s="9" t="s">
        <v>8269</v>
      </c>
      <c r="J3677" s="170" t="e">
        <f>IF(shinsei_strtower28_MAX_NOKI_TAKASA="","",shinsei_strtower28_MAX_NOKI_TAKASA)</f>
        <v>#NAME?</v>
      </c>
    </row>
    <row r="3678" spans="1:12" s="10" customFormat="1" ht="18" customHeight="1">
      <c r="A3678" s="12"/>
      <c r="B3678" s="12" t="s">
        <v>3782</v>
      </c>
      <c r="C3678" s="12"/>
      <c r="D3678" s="12"/>
      <c r="E3678" s="11"/>
      <c r="F3678" s="11"/>
      <c r="G3678" s="9"/>
      <c r="H3678" s="9"/>
      <c r="I3678" s="9"/>
    </row>
    <row r="3679" spans="1:12" s="10" customFormat="1" ht="18" customHeight="1">
      <c r="A3679" s="12"/>
      <c r="B3679" s="12"/>
      <c r="C3679" s="11" t="s">
        <v>3783</v>
      </c>
      <c r="D3679" s="12"/>
      <c r="G3679" s="9" t="s">
        <v>8270</v>
      </c>
      <c r="H3679" s="136"/>
      <c r="I3679" s="9" t="s">
        <v>8271</v>
      </c>
      <c r="J3679" s="171" t="e">
        <f>IF(shinsei_strtower28_KAISU_TIJYOU="","",shinsei_strtower28_KAISU_TIJYOU)</f>
        <v>#NAME?</v>
      </c>
      <c r="K3679" s="10" t="s">
        <v>8272</v>
      </c>
      <c r="L3679" s="10" t="s">
        <v>8272</v>
      </c>
    </row>
    <row r="3680" spans="1:12" s="10" customFormat="1" ht="18" customHeight="1">
      <c r="A3680" s="12"/>
      <c r="B3680" s="12"/>
      <c r="C3680" s="11" t="s">
        <v>3785</v>
      </c>
      <c r="D3680" s="12"/>
      <c r="G3680" s="9" t="s">
        <v>8273</v>
      </c>
      <c r="H3680" s="136"/>
      <c r="I3680" s="9" t="s">
        <v>8274</v>
      </c>
      <c r="J3680" s="171" t="e">
        <f>IF(shinsei_strtower28_KAISU_TIKA="","",shinsei_strtower28_KAISU_TIKA)</f>
        <v>#NAME?</v>
      </c>
      <c r="K3680" s="10" t="s">
        <v>8272</v>
      </c>
      <c r="L3680" s="10" t="s">
        <v>8272</v>
      </c>
    </row>
    <row r="3681" spans="1:12" s="10" customFormat="1" ht="18" customHeight="1">
      <c r="A3681" s="12"/>
      <c r="B3681" s="12"/>
      <c r="C3681" s="11" t="s">
        <v>3787</v>
      </c>
      <c r="D3681" s="12"/>
      <c r="G3681" s="9" t="s">
        <v>8275</v>
      </c>
      <c r="H3681" s="136"/>
      <c r="I3681" s="9" t="s">
        <v>8276</v>
      </c>
      <c r="J3681" s="171" t="e">
        <f>IF(shinsei_strtower28_KAISU_TOUYA="","",shinsei_strtower28_KAISU_TOUYA)</f>
        <v>#NAME?</v>
      </c>
      <c r="K3681" s="10" t="s">
        <v>8272</v>
      </c>
      <c r="L3681" s="10" t="s">
        <v>8272</v>
      </c>
    </row>
    <row r="3682" spans="1:12" s="10" customFormat="1" ht="18" customHeight="1">
      <c r="B3682" s="12" t="s">
        <v>3923</v>
      </c>
      <c r="G3682" s="9" t="s">
        <v>8277</v>
      </c>
      <c r="H3682" s="13"/>
      <c r="I3682" s="10" t="s">
        <v>8278</v>
      </c>
      <c r="J3682" s="25" t="e">
        <f>IF(shinsei_strtower28_BUILD_KUBUN="","",shinsei_strtower28_BUILD_KUBUN)</f>
        <v>#NAME?</v>
      </c>
    </row>
    <row r="3683" spans="1:12" s="10" customFormat="1" ht="18" customHeight="1">
      <c r="B3683" s="12" t="s">
        <v>3923</v>
      </c>
      <c r="C3683" s="12"/>
      <c r="D3683" s="12"/>
      <c r="G3683" s="9" t="s">
        <v>8279</v>
      </c>
      <c r="H3683" s="13"/>
      <c r="I3683" s="10" t="s">
        <v>8280</v>
      </c>
      <c r="J3683" s="25" t="e">
        <f>IF(shinsei_strtower28_BUILD_KUBUN_TEXT="","",shinsei_strtower28_BUILD_KUBUN_TEXT)</f>
        <v>#NAME?</v>
      </c>
      <c r="K3683" s="10" t="s">
        <v>8281</v>
      </c>
    </row>
    <row r="3684" spans="1:12" s="10" customFormat="1" ht="18" customHeight="1">
      <c r="A3684" s="149"/>
      <c r="B3684" s="149"/>
      <c r="C3684" s="149" t="s">
        <v>3801</v>
      </c>
      <c r="D3684" s="149"/>
      <c r="E3684" s="149"/>
      <c r="F3684" s="149"/>
      <c r="G3684" s="149"/>
      <c r="H3684" s="12"/>
      <c r="I3684" s="149" t="s">
        <v>8282</v>
      </c>
      <c r="J3684" s="20" t="e">
        <f>IF(shinsei_strtower28_BUILD_KUBUN_TEXT="建築基準法第20条第２号に掲げる建築物","■","□")</f>
        <v>#NAME?</v>
      </c>
    </row>
    <row r="3685" spans="1:12" s="10" customFormat="1" ht="18" customHeight="1">
      <c r="A3685" s="149"/>
      <c r="B3685" s="149"/>
      <c r="C3685" s="149" t="s">
        <v>3801</v>
      </c>
      <c r="D3685" s="149"/>
      <c r="E3685" s="149"/>
      <c r="F3685" s="149"/>
      <c r="G3685" s="149"/>
      <c r="H3685" s="12"/>
      <c r="I3685" s="149" t="s">
        <v>8283</v>
      </c>
      <c r="J3685" s="20" t="e">
        <f>IF(shinsei_strtower28_BUILD_KUBUN_TEXT="建築基準法第20条第３号に掲げる建築物","■","□")</f>
        <v>#NAME?</v>
      </c>
    </row>
    <row r="3686" spans="1:12" s="10" customFormat="1" ht="18" customHeight="1">
      <c r="A3686" s="12"/>
      <c r="B3686" s="12" t="s">
        <v>8284</v>
      </c>
      <c r="C3686" s="12"/>
      <c r="D3686" s="12"/>
      <c r="E3686" s="11"/>
      <c r="F3686" s="11"/>
      <c r="G3686" s="9" t="s">
        <v>8285</v>
      </c>
      <c r="H3686" s="13"/>
      <c r="I3686" s="9" t="s">
        <v>8286</v>
      </c>
      <c r="J3686" s="25" t="e">
        <f>IF(shinsei_strtower28_MENJYO_TEXT="","",shinsei_strtower28_MENJYO_TEXT)</f>
        <v>#NAME?</v>
      </c>
      <c r="K3686" s="10" t="s">
        <v>8281</v>
      </c>
    </row>
    <row r="3687" spans="1:12" s="10" customFormat="1" ht="18" customHeight="1">
      <c r="A3687" s="12"/>
      <c r="B3687" s="12" t="s">
        <v>3935</v>
      </c>
      <c r="C3687" s="12"/>
      <c r="D3687" s="12"/>
      <c r="E3687" s="11"/>
      <c r="F3687" s="11"/>
      <c r="G3687" s="9" t="s">
        <v>8287</v>
      </c>
      <c r="H3687" s="20"/>
      <c r="I3687" s="9" t="s">
        <v>8288</v>
      </c>
      <c r="J3687" s="25" t="e">
        <f>IF(shinsei_strtower28_PROGRAM_KIND="","",shinsei_strtower28_PROGRAM_KIND)</f>
        <v>#NAME?</v>
      </c>
      <c r="K3687" s="10" t="s">
        <v>5704</v>
      </c>
    </row>
    <row r="3688" spans="1:12" s="10" customFormat="1" ht="18" customHeight="1">
      <c r="B3688" s="12" t="s">
        <v>3939</v>
      </c>
      <c r="C3688" s="12"/>
      <c r="D3688" s="12"/>
      <c r="G3688" s="9" t="s">
        <v>8289</v>
      </c>
      <c r="H3688" s="13"/>
      <c r="I3688" s="10" t="s">
        <v>8290</v>
      </c>
      <c r="J3688" s="25" t="e">
        <f>IF(shinsei_strtower28_REI80_2_KOKUJI_TEXT="","",shinsei_strtower28_REI80_2_KOKUJI_TEXT)</f>
        <v>#NAME?</v>
      </c>
    </row>
    <row r="3689" spans="1:12" s="10" customFormat="1" ht="18" customHeight="1">
      <c r="B3689" s="12" t="s">
        <v>3943</v>
      </c>
      <c r="C3689" s="12"/>
      <c r="D3689" s="12"/>
      <c r="G3689" s="9" t="s">
        <v>8291</v>
      </c>
      <c r="H3689" s="13"/>
      <c r="I3689" s="10" t="s">
        <v>8292</v>
      </c>
      <c r="J3689" s="25" t="e">
        <f>IF(shinsei_strtower28_PROGRAM_KIND__nintei__box="■",2,IF(OR(shinsei_strtower28_PROGRAM_KIND__hyouka__box="■",shinsei_strtower28_PROGRAM_KIND__sonota__box="■"),1,0))</f>
        <v>#NAME?</v>
      </c>
      <c r="K3689" s="10" t="s">
        <v>3946</v>
      </c>
    </row>
    <row r="3690" spans="1:12" s="10" customFormat="1" ht="18" customHeight="1">
      <c r="B3690" s="12" t="s">
        <v>3947</v>
      </c>
      <c r="C3690" s="12"/>
      <c r="D3690" s="12"/>
      <c r="G3690" s="9" t="s">
        <v>8293</v>
      </c>
      <c r="H3690" s="13"/>
    </row>
    <row r="3691" spans="1:12" s="10" customFormat="1" ht="18" customHeight="1">
      <c r="B3691" s="12" t="s">
        <v>4305</v>
      </c>
      <c r="C3691" s="12"/>
      <c r="D3691" s="12"/>
      <c r="G3691" s="9" t="s">
        <v>8294</v>
      </c>
      <c r="H3691" s="13"/>
    </row>
    <row r="3692" spans="1:12" s="10" customFormat="1" ht="18" customHeight="1">
      <c r="B3692" s="105" t="s">
        <v>8295</v>
      </c>
      <c r="C3692" s="105"/>
      <c r="D3692" s="105"/>
      <c r="E3692" s="24"/>
      <c r="F3692" s="24"/>
      <c r="G3692" s="9"/>
      <c r="H3692" s="12"/>
    </row>
    <row r="3693" spans="1:12" s="10" customFormat="1" ht="18" customHeight="1">
      <c r="C3693" s="10" t="s">
        <v>3951</v>
      </c>
      <c r="D3693" s="12"/>
      <c r="G3693" s="9" t="s">
        <v>8296</v>
      </c>
      <c r="H3693" s="13"/>
      <c r="K3693" s="10" t="s">
        <v>8281</v>
      </c>
      <c r="L3693" s="10" t="s">
        <v>3879</v>
      </c>
    </row>
    <row r="3694" spans="1:12" s="10" customFormat="1" ht="18" customHeight="1">
      <c r="C3694" s="12" t="s">
        <v>8297</v>
      </c>
      <c r="D3694" s="12"/>
      <c r="E3694" s="12"/>
      <c r="F3694" s="12"/>
      <c r="G3694" s="9" t="s">
        <v>8298</v>
      </c>
      <c r="H3694" s="13"/>
    </row>
    <row r="3695" spans="1:12" s="10" customFormat="1" ht="18" customHeight="1">
      <c r="C3695" s="12" t="s">
        <v>3957</v>
      </c>
      <c r="D3695" s="12"/>
      <c r="G3695" s="9"/>
      <c r="H3695" s="9"/>
      <c r="I3695" s="10" t="s">
        <v>8299</v>
      </c>
      <c r="J3695" s="25" t="e">
        <f>IF(shinsei_strtower28_prgo01_NAME="","",IF(shinsei_strtower28_prgo01_NINTEI_NO="","無","有"))</f>
        <v>#NAME?</v>
      </c>
      <c r="K3695" s="10" t="s">
        <v>3959</v>
      </c>
      <c r="L3695" s="10" t="s">
        <v>3879</v>
      </c>
    </row>
    <row r="3696" spans="1:12" s="10" customFormat="1" ht="18" customHeight="1">
      <c r="C3696" s="12" t="s">
        <v>3960</v>
      </c>
      <c r="D3696" s="12"/>
      <c r="G3696" s="9" t="s">
        <v>8300</v>
      </c>
      <c r="H3696" s="13"/>
      <c r="I3696" s="10" t="s">
        <v>8301</v>
      </c>
      <c r="J3696" s="25" t="e">
        <f>IF(shinsei_strtower28_prgo01_NINTEI_NO="","",shinsei_strtower28_prgo01_NINTEI_NO)</f>
        <v>#NAME?</v>
      </c>
      <c r="K3696" s="10" t="s">
        <v>8281</v>
      </c>
      <c r="L3696" s="10" t="s">
        <v>3879</v>
      </c>
    </row>
    <row r="3697" spans="2:12" s="10" customFormat="1" ht="18" customHeight="1">
      <c r="C3697" s="12" t="s">
        <v>3964</v>
      </c>
      <c r="D3697" s="12"/>
      <c r="G3697" s="9" t="s">
        <v>8302</v>
      </c>
      <c r="H3697" s="74"/>
      <c r="I3697" s="10" t="s">
        <v>8303</v>
      </c>
      <c r="J3697" s="25" t="e">
        <f>IF(shinsei_strtower28_prgo01_NINTEI_DATE="","",TEXT(shinsei_strtower28_prgo01_NINTEI_DATE,"ggge年m月d日")&amp;"  ")</f>
        <v>#NAME?</v>
      </c>
    </row>
    <row r="3698" spans="2:12" s="10" customFormat="1" ht="18" customHeight="1">
      <c r="C3698" s="12" t="s">
        <v>8304</v>
      </c>
      <c r="D3698" s="12"/>
      <c r="G3698" s="9" t="s">
        <v>8305</v>
      </c>
      <c r="H3698" s="13"/>
    </row>
    <row r="3699" spans="2:12" s="10" customFormat="1" ht="18" customHeight="1">
      <c r="C3699" s="12" t="s">
        <v>3970</v>
      </c>
      <c r="D3699" s="12"/>
      <c r="G3699" s="9"/>
      <c r="H3699" s="12"/>
      <c r="I3699" s="9" t="s">
        <v>8306</v>
      </c>
      <c r="J3699" s="25" t="e">
        <f>IF(shinsei_strtower28_prgo01_NAME="","",shinsei_strtower28_prgo01_NAME)&amp;CHAR(10)&amp;IF(shinsei_strtower28_prgo01_VER="","","Ver."&amp;shinsei_strtower28_prgo01_VER&amp;CHAR(10))</f>
        <v>#NAME?</v>
      </c>
    </row>
    <row r="3700" spans="2:12" s="10" customFormat="1" ht="18" customHeight="1">
      <c r="C3700" s="12" t="s">
        <v>3972</v>
      </c>
      <c r="D3700" s="12"/>
      <c r="G3700" s="9"/>
      <c r="H3700" s="12"/>
      <c r="I3700" s="9" t="s">
        <v>8307</v>
      </c>
      <c r="J3700" s="25" t="e">
        <f>IF(shinsei_strtower28_prgo01_NAME="","",shinsei_strtower28_prgo01_NAME&amp;" ")&amp;IF(shinsei_strtower28_prgo01_VER="","","Ver."&amp;shinsei_strtower28_prgo01_VER&amp;"  ")</f>
        <v>#NAME?</v>
      </c>
    </row>
    <row r="3701" spans="2:12" s="10" customFormat="1" ht="18" customHeight="1">
      <c r="C3701" s="12" t="s">
        <v>3974</v>
      </c>
      <c r="D3701" s="12"/>
      <c r="G3701" s="9"/>
      <c r="H3701" s="12"/>
    </row>
    <row r="3702" spans="2:12" s="10" customFormat="1" ht="18" customHeight="1">
      <c r="D3702" s="12" t="s">
        <v>8308</v>
      </c>
      <c r="G3702" s="9"/>
      <c r="H3702" s="12"/>
      <c r="I3702" s="9" t="s">
        <v>8309</v>
      </c>
      <c r="J3702" s="173" t="e">
        <f>IF(cst_shinsei_strtower28_prgo01_NINTEI__umu="有",IF(shinsei_strtower28_prgo01_MAKER_NAME="","",shinsei_strtower28_prgo01_MAKER_NAME&amp;"  "),"")</f>
        <v>#NAME?</v>
      </c>
    </row>
    <row r="3703" spans="2:12" s="10" customFormat="1" ht="18" customHeight="1">
      <c r="B3703" s="12"/>
      <c r="D3703" s="12" t="s">
        <v>3972</v>
      </c>
      <c r="G3703" s="9"/>
      <c r="H3703" s="12"/>
      <c r="I3703" s="9" t="s">
        <v>8310</v>
      </c>
      <c r="J3703" s="25" t="e">
        <f>IF(cst_shinsei_strtower28_prgo01_NINTEI__umu="有",IF(shinsei_strtower28_prgo01_NAME="","",shinsei_strtower28_prgo01_NAME&amp;" ")&amp;IF(shinsei_strtower28_prgo01_VER="","","Ver."&amp;shinsei_strtower28_prgo01_VER&amp;"  "),"")</f>
        <v>#NAME?</v>
      </c>
    </row>
    <row r="3704" spans="2:12" s="10" customFormat="1" ht="18" customHeight="1">
      <c r="C3704" s="12" t="s">
        <v>3981</v>
      </c>
      <c r="D3704" s="12"/>
      <c r="G3704" s="9"/>
      <c r="H3704" s="12"/>
    </row>
    <row r="3705" spans="2:12" s="10" customFormat="1" ht="18" customHeight="1">
      <c r="B3705" s="12"/>
      <c r="D3705" s="12" t="s">
        <v>8308</v>
      </c>
      <c r="G3705" s="9"/>
      <c r="H3705" s="12"/>
      <c r="I3705" s="9" t="s">
        <v>8311</v>
      </c>
      <c r="J3705" s="173" t="e">
        <f>IF(cst_shinsei_strtower28_prgo01_NINTEI__umu="無",IF(shinsei_strtower28_prgo01_MAKER_NAME="","",shinsei_strtower28_prgo01_MAKER_NAME&amp;"  "),"")</f>
        <v>#NAME?</v>
      </c>
    </row>
    <row r="3706" spans="2:12" s="10" customFormat="1" ht="18" customHeight="1">
      <c r="B3706" s="12"/>
      <c r="D3706" s="12" t="s">
        <v>3972</v>
      </c>
      <c r="G3706" s="9"/>
      <c r="H3706" s="12"/>
      <c r="I3706" s="9" t="s">
        <v>8312</v>
      </c>
      <c r="J3706" s="25" t="e">
        <f>IF(cst_shinsei_strtower28_prgo01_NINTEI__umu="無",IF(shinsei_strtower28_prgo01_NAME="","",shinsei_strtower28_prgo01_NAME&amp;" ")&amp;IF(shinsei_strtower28_prgo01_VER="","","Ver."&amp;shinsei_strtower28_prgo01_VER&amp;"  "),"")</f>
        <v>#NAME?</v>
      </c>
    </row>
    <row r="3707" spans="2:12" s="10" customFormat="1" ht="18" customHeight="1">
      <c r="B3707" s="105" t="s">
        <v>8313</v>
      </c>
      <c r="C3707" s="105"/>
      <c r="D3707" s="105"/>
      <c r="E3707" s="24"/>
      <c r="F3707" s="24"/>
      <c r="G3707" s="9"/>
      <c r="H3707" s="12"/>
    </row>
    <row r="3708" spans="2:12" s="10" customFormat="1" ht="18" customHeight="1">
      <c r="C3708" s="10" t="s">
        <v>3951</v>
      </c>
      <c r="D3708" s="12"/>
      <c r="G3708" s="9" t="s">
        <v>8314</v>
      </c>
      <c r="H3708" s="13"/>
      <c r="K3708" s="10" t="s">
        <v>8281</v>
      </c>
      <c r="L3708" s="10" t="s">
        <v>3879</v>
      </c>
    </row>
    <row r="3709" spans="2:12" s="10" customFormat="1" ht="18" customHeight="1">
      <c r="C3709" s="12" t="s">
        <v>8297</v>
      </c>
      <c r="D3709" s="12"/>
      <c r="G3709" s="9" t="s">
        <v>8315</v>
      </c>
      <c r="H3709" s="13"/>
    </row>
    <row r="3710" spans="2:12" s="10" customFormat="1" ht="18" customHeight="1">
      <c r="C3710" s="12" t="s">
        <v>3957</v>
      </c>
      <c r="D3710" s="12"/>
      <c r="G3710" s="9"/>
      <c r="H3710" s="9"/>
      <c r="I3710" s="10" t="s">
        <v>8316</v>
      </c>
      <c r="J3710" s="25" t="e">
        <f>IF(shinsei_strtower28_prgo02_NAME="","",IF(shinsei_strtower28_prgo02_NINTEI_NO="","無","有"))</f>
        <v>#NAME?</v>
      </c>
      <c r="L3710" s="10" t="s">
        <v>3879</v>
      </c>
    </row>
    <row r="3711" spans="2:12" s="10" customFormat="1" ht="18" customHeight="1">
      <c r="C3711" s="12" t="s">
        <v>3960</v>
      </c>
      <c r="D3711" s="12"/>
      <c r="G3711" s="9" t="s">
        <v>8317</v>
      </c>
      <c r="H3711" s="13"/>
      <c r="J3711" s="10" t="s">
        <v>8281</v>
      </c>
      <c r="K3711" s="10" t="s">
        <v>3879</v>
      </c>
    </row>
    <row r="3712" spans="2:12" s="10" customFormat="1" ht="18" customHeight="1">
      <c r="C3712" s="12" t="s">
        <v>3964</v>
      </c>
      <c r="D3712" s="12"/>
      <c r="G3712" s="9" t="s">
        <v>8318</v>
      </c>
      <c r="H3712" s="74"/>
      <c r="I3712" s="10" t="s">
        <v>8319</v>
      </c>
      <c r="J3712" s="25" t="e">
        <f>IF(shinsei_strtower28_prgo02_NINTEI_DATE="","",shinsei_strtower28_prgo02_NINTEI_DATE)</f>
        <v>#NAME?</v>
      </c>
    </row>
    <row r="3713" spans="2:12" s="10" customFormat="1" ht="18" customHeight="1">
      <c r="C3713" s="12" t="s">
        <v>8304</v>
      </c>
      <c r="D3713" s="12"/>
      <c r="G3713" s="9" t="s">
        <v>8320</v>
      </c>
      <c r="H3713" s="13"/>
    </row>
    <row r="3714" spans="2:12" s="10" customFormat="1" ht="18" customHeight="1">
      <c r="C3714" s="12" t="s">
        <v>3970</v>
      </c>
      <c r="D3714" s="12"/>
      <c r="G3714" s="9"/>
      <c r="H3714" s="12"/>
      <c r="I3714" s="9" t="s">
        <v>8321</v>
      </c>
      <c r="J3714" s="25" t="e">
        <f>IF(shinsei_strtower28_prgo02_NAME="","",shinsei_strtower28_prgo02_NAME)&amp;CHAR(10)&amp;IF(shinsei_strtower28_prgo02_VER="","","Ver."&amp;shinsei_strtower28_prgo02_VER&amp;CHAR(10))</f>
        <v>#NAME?</v>
      </c>
    </row>
    <row r="3715" spans="2:12" s="10" customFormat="1" ht="18" customHeight="1">
      <c r="C3715" s="12" t="s">
        <v>3972</v>
      </c>
      <c r="D3715" s="12"/>
      <c r="G3715" s="9"/>
      <c r="H3715" s="12"/>
      <c r="I3715" s="9" t="s">
        <v>8322</v>
      </c>
      <c r="J3715" s="25" t="e">
        <f>IF(shinsei_strtower28_prgo02_NAME="","",shinsei_strtower28_prgo02_NAME&amp;" ")&amp;IF(shinsei_strtower28_prgo02_VER="","","Ver."&amp;shinsei_strtower28_prgo02_VER&amp;"  ")</f>
        <v>#NAME?</v>
      </c>
    </row>
    <row r="3716" spans="2:12" s="10" customFormat="1" ht="18" customHeight="1">
      <c r="C3716" s="12" t="s">
        <v>3974</v>
      </c>
      <c r="D3716" s="12"/>
      <c r="G3716" s="9"/>
      <c r="H3716" s="12"/>
    </row>
    <row r="3717" spans="2:12" s="10" customFormat="1" ht="18" customHeight="1">
      <c r="D3717" s="12" t="s">
        <v>8308</v>
      </c>
      <c r="G3717" s="9"/>
      <c r="H3717" s="12"/>
      <c r="I3717" s="9" t="s">
        <v>8323</v>
      </c>
      <c r="J3717" s="173" t="e">
        <f>IF(cst_shinsei_strtower28_prgo02_NINTEI__umu="有",IF(shinsei_strtower28_prgo02_MAKER_NAME="","",shinsei_strtower28_prgo02_MAKER_NAME&amp;"  "),"")</f>
        <v>#NAME?</v>
      </c>
    </row>
    <row r="3718" spans="2:12" s="10" customFormat="1" ht="18" customHeight="1">
      <c r="D3718" s="12" t="s">
        <v>3972</v>
      </c>
      <c r="G3718" s="9"/>
      <c r="H3718" s="12"/>
      <c r="I3718" s="9" t="s">
        <v>8324</v>
      </c>
      <c r="J3718" s="25" t="e">
        <f>IF(cst_shinsei_strtower28_prgo02_NINTEI__umu="有",IF(shinsei_strtower28_prgo02_NAME="","",shinsei_strtower28_prgo02_NAME&amp;" ")&amp;IF(shinsei_strtower28_prgo02_VER="","","Ver."&amp;shinsei_strtower28_prgo02_VER&amp;"  "),"")</f>
        <v>#NAME?</v>
      </c>
    </row>
    <row r="3719" spans="2:12" s="10" customFormat="1" ht="18" customHeight="1">
      <c r="C3719" s="12" t="s">
        <v>3981</v>
      </c>
      <c r="D3719" s="12"/>
      <c r="G3719" s="9"/>
      <c r="H3719" s="12"/>
    </row>
    <row r="3720" spans="2:12" s="10" customFormat="1" ht="18" customHeight="1">
      <c r="D3720" s="12" t="s">
        <v>8308</v>
      </c>
      <c r="G3720" s="9"/>
      <c r="H3720" s="12"/>
      <c r="I3720" s="9" t="s">
        <v>8325</v>
      </c>
      <c r="J3720" s="173" t="e">
        <f>IF(cst_shinsei_strtower28_prgo02_NINTEI__umu="無",IF(shinsei_strtower28_prgo02_MAKER_NAME="","",shinsei_strtower28_prgo02_MAKER_NAME&amp;"  "),"")</f>
        <v>#NAME?</v>
      </c>
    </row>
    <row r="3721" spans="2:12" s="10" customFormat="1" ht="18" customHeight="1">
      <c r="D3721" s="12" t="s">
        <v>3972</v>
      </c>
      <c r="G3721" s="9"/>
      <c r="H3721" s="12"/>
      <c r="I3721" s="9" t="s">
        <v>8326</v>
      </c>
      <c r="J3721" s="25" t="e">
        <f>IF(cst_shinsei_strtower28_prgo02_NINTEI__umu="無",IF(shinsei_strtower28_prgo02_NAME="","",shinsei_strtower28_prgo02_NAME&amp;" ")&amp;IF(shinsei_strtower28_prgo02_VER="","","Ver."&amp;shinsei_strtower28_prgo02_VER&amp;"  "),"")</f>
        <v>#NAME?</v>
      </c>
    </row>
    <row r="3722" spans="2:12" s="10" customFormat="1" ht="18" customHeight="1">
      <c r="B3722" s="105" t="s">
        <v>8327</v>
      </c>
      <c r="C3722" s="105"/>
      <c r="D3722" s="105"/>
      <c r="E3722" s="24"/>
      <c r="F3722" s="24"/>
      <c r="G3722" s="9"/>
      <c r="H3722" s="12"/>
    </row>
    <row r="3723" spans="2:12" s="10" customFormat="1" ht="18" customHeight="1">
      <c r="C3723" s="10" t="s">
        <v>3951</v>
      </c>
      <c r="D3723" s="12"/>
      <c r="G3723" s="9" t="s">
        <v>8328</v>
      </c>
      <c r="H3723" s="13"/>
    </row>
    <row r="3724" spans="2:12" s="10" customFormat="1" ht="18" customHeight="1">
      <c r="C3724" s="12" t="s">
        <v>8297</v>
      </c>
      <c r="D3724" s="12"/>
      <c r="G3724" s="9" t="s">
        <v>8329</v>
      </c>
      <c r="H3724" s="13"/>
    </row>
    <row r="3725" spans="2:12" s="10" customFormat="1" ht="18" customHeight="1">
      <c r="C3725" s="12" t="s">
        <v>3957</v>
      </c>
      <c r="D3725" s="12"/>
      <c r="G3725" s="9"/>
      <c r="H3725" s="9"/>
      <c r="I3725" s="10" t="s">
        <v>8330</v>
      </c>
      <c r="J3725" s="25" t="e">
        <f>IF(shinsei_strtower28_prgo03_NAME="","",IF(shinsei_strtower28_prgo03_NINTEI_NO="","無","有"))</f>
        <v>#NAME?</v>
      </c>
      <c r="K3725" s="10" t="s">
        <v>2941</v>
      </c>
      <c r="L3725" s="10" t="s">
        <v>3879</v>
      </c>
    </row>
    <row r="3726" spans="2:12" s="10" customFormat="1" ht="18" customHeight="1">
      <c r="C3726" s="12" t="s">
        <v>3960</v>
      </c>
      <c r="D3726" s="12"/>
      <c r="G3726" s="9" t="s">
        <v>8331</v>
      </c>
      <c r="H3726" s="13"/>
      <c r="K3726" s="10" t="s">
        <v>8332</v>
      </c>
      <c r="L3726" s="10" t="s">
        <v>3879</v>
      </c>
    </row>
    <row r="3727" spans="2:12" s="10" customFormat="1" ht="18" customHeight="1">
      <c r="C3727" s="12" t="s">
        <v>3964</v>
      </c>
      <c r="D3727" s="12"/>
      <c r="G3727" s="9" t="s">
        <v>8333</v>
      </c>
      <c r="H3727" s="74"/>
      <c r="I3727" s="10" t="s">
        <v>8334</v>
      </c>
      <c r="J3727" s="25" t="e">
        <f>IF(shinsei_strtower28_prgo03_NINTEI_DATE="","",TEXT(shinsei_strtower28_prgo03_NINTEI_DATE,"ggge年m月d日")&amp;"  ")</f>
        <v>#NAME?</v>
      </c>
    </row>
    <row r="3728" spans="2:12" s="10" customFormat="1" ht="18" customHeight="1">
      <c r="C3728" s="12" t="s">
        <v>8335</v>
      </c>
      <c r="D3728" s="12"/>
      <c r="G3728" s="9" t="s">
        <v>8336</v>
      </c>
      <c r="H3728" s="13"/>
      <c r="I3728" s="9"/>
      <c r="J3728" s="9"/>
    </row>
    <row r="3729" spans="2:12" s="10" customFormat="1" ht="18" customHeight="1">
      <c r="C3729" s="12" t="s">
        <v>3970</v>
      </c>
      <c r="D3729" s="12"/>
      <c r="G3729" s="9"/>
      <c r="H3729" s="12"/>
      <c r="I3729" s="9" t="s">
        <v>8337</v>
      </c>
      <c r="J3729" s="25" t="e">
        <f>IF(shinsei_strtower28_prgo03_NAME="","",shinsei_strtower28_prgo03_NAME)&amp;CHAR(10)&amp;IF(shinsei_strtower28_prgo03_VER="","","Ver."&amp;shinsei_strtower28_prgo03_VER&amp;CHAR(10))</f>
        <v>#NAME?</v>
      </c>
    </row>
    <row r="3730" spans="2:12" s="10" customFormat="1" ht="18" customHeight="1">
      <c r="C3730" s="12" t="s">
        <v>3972</v>
      </c>
      <c r="D3730" s="12"/>
      <c r="G3730" s="9"/>
      <c r="H3730" s="12"/>
      <c r="I3730" s="9" t="s">
        <v>8338</v>
      </c>
      <c r="J3730" s="25" t="e">
        <f>IF(shinsei_strtower28_prgo03_NAME="","",shinsei_strtower28_prgo03_NAME&amp;" ")&amp;IF(shinsei_strtower28_prgo03_VER="","","Ver."&amp;shinsei_strtower28_prgo03_VER&amp;"  ")</f>
        <v>#NAME?</v>
      </c>
    </row>
    <row r="3731" spans="2:12" s="10" customFormat="1" ht="18" customHeight="1">
      <c r="C3731" s="12" t="s">
        <v>3974</v>
      </c>
      <c r="D3731" s="12"/>
      <c r="G3731" s="9"/>
      <c r="H3731" s="12"/>
    </row>
    <row r="3732" spans="2:12" s="10" customFormat="1" ht="18" customHeight="1">
      <c r="D3732" s="12" t="s">
        <v>8339</v>
      </c>
      <c r="G3732" s="9"/>
      <c r="H3732" s="12"/>
      <c r="I3732" s="9" t="s">
        <v>8340</v>
      </c>
      <c r="J3732" s="173" t="e">
        <f>IF(cst_shinsei_strtower28_prgo03_NINTEI__umu="有",IF(shinsei_strtower28_prgo03_MAKER_NAME="","",shinsei_strtower28_prgo03_MAKER_NAME&amp;"  "),"")</f>
        <v>#NAME?</v>
      </c>
    </row>
    <row r="3733" spans="2:12" s="10" customFormat="1" ht="18" customHeight="1">
      <c r="D3733" s="12" t="s">
        <v>3972</v>
      </c>
      <c r="G3733" s="9"/>
      <c r="H3733" s="12"/>
      <c r="I3733" s="9" t="s">
        <v>8341</v>
      </c>
      <c r="J3733" s="25" t="e">
        <f>IF(cst_shinsei_strtower28_prgo03_NINTEI__umu="有",IF(shinsei_strtower28_prgo03_NAME="","",shinsei_strtower28_prgo03_NAME&amp;" ")&amp;IF(shinsei_strtower28_prgo03_VER="","","Ver."&amp;shinsei_strtower28_prgo03_VER&amp;"  "),"")</f>
        <v>#NAME?</v>
      </c>
    </row>
    <row r="3734" spans="2:12" s="10" customFormat="1" ht="18" customHeight="1">
      <c r="C3734" s="12" t="s">
        <v>3981</v>
      </c>
      <c r="D3734" s="12"/>
      <c r="G3734" s="9"/>
      <c r="H3734" s="12"/>
    </row>
    <row r="3735" spans="2:12" s="10" customFormat="1" ht="18" customHeight="1">
      <c r="D3735" s="12" t="s">
        <v>8342</v>
      </c>
      <c r="G3735" s="9"/>
      <c r="H3735" s="12"/>
      <c r="I3735" s="9" t="s">
        <v>8343</v>
      </c>
      <c r="J3735" s="173" t="e">
        <f>IF(cst_shinsei_strtower28_prgo03_NINTEI__umu="無",IF(shinsei_strtower28_prgo03_MAKER_NAME="","",shinsei_strtower28_prgo03_MAKER_NAME&amp;"  "),"")</f>
        <v>#NAME?</v>
      </c>
    </row>
    <row r="3736" spans="2:12" s="10" customFormat="1" ht="18" customHeight="1">
      <c r="D3736" s="12" t="s">
        <v>3972</v>
      </c>
      <c r="G3736" s="9"/>
      <c r="H3736" s="12"/>
      <c r="I3736" s="9" t="s">
        <v>8344</v>
      </c>
      <c r="J3736" s="25" t="e">
        <f>IF(cst_shinsei_strtower28_prgo03_NINTEI__umu="無",IF(shinsei_strtower28_prgo03_NAME="","",shinsei_strtower28_prgo03_NAME&amp;" ")&amp;IF(shinsei_strtower28_prgo03_VER="","","Ver."&amp;shinsei_strtower28_prgo03_VER&amp;"  "),"")</f>
        <v>#NAME?</v>
      </c>
    </row>
    <row r="3737" spans="2:12" s="10" customFormat="1" ht="18" customHeight="1">
      <c r="B3737" s="105" t="s">
        <v>8345</v>
      </c>
      <c r="C3737" s="105"/>
      <c r="D3737" s="105"/>
      <c r="E3737" s="24"/>
      <c r="F3737" s="24"/>
      <c r="G3737" s="9"/>
      <c r="H3737" s="12"/>
    </row>
    <row r="3738" spans="2:12" s="10" customFormat="1" ht="18" customHeight="1">
      <c r="C3738" s="10" t="s">
        <v>3951</v>
      </c>
      <c r="D3738" s="12"/>
      <c r="G3738" s="9" t="s">
        <v>8346</v>
      </c>
      <c r="H3738" s="13"/>
    </row>
    <row r="3739" spans="2:12" s="10" customFormat="1" ht="18" customHeight="1">
      <c r="C3739" s="12" t="s">
        <v>8347</v>
      </c>
      <c r="D3739" s="12"/>
      <c r="G3739" s="9" t="s">
        <v>8348</v>
      </c>
      <c r="H3739" s="13"/>
    </row>
    <row r="3740" spans="2:12" s="10" customFormat="1" ht="18" customHeight="1">
      <c r="C3740" s="12" t="s">
        <v>3957</v>
      </c>
      <c r="D3740" s="12"/>
      <c r="G3740" s="9"/>
      <c r="H3740" s="9"/>
      <c r="I3740" s="10" t="s">
        <v>8349</v>
      </c>
      <c r="J3740" s="25" t="e">
        <f>IF(shinsei_strtower28_prgo04_NAME="","",IF(shinsei_strtower28_prgo04_NINTEI_NO="","無","有"))</f>
        <v>#NAME?</v>
      </c>
      <c r="K3740" s="10" t="s">
        <v>2941</v>
      </c>
      <c r="L3740" s="10" t="s">
        <v>3879</v>
      </c>
    </row>
    <row r="3741" spans="2:12" s="10" customFormat="1" ht="18" customHeight="1">
      <c r="C3741" s="12" t="s">
        <v>3960</v>
      </c>
      <c r="D3741" s="12"/>
      <c r="G3741" s="9" t="s">
        <v>8350</v>
      </c>
      <c r="H3741" s="13"/>
      <c r="K3741" s="10" t="s">
        <v>8351</v>
      </c>
      <c r="L3741" s="10" t="s">
        <v>3879</v>
      </c>
    </row>
    <row r="3742" spans="2:12" s="10" customFormat="1" ht="18" customHeight="1">
      <c r="C3742" s="12" t="s">
        <v>3964</v>
      </c>
      <c r="D3742" s="12"/>
      <c r="G3742" s="9" t="s">
        <v>8352</v>
      </c>
      <c r="H3742" s="74"/>
      <c r="I3742" s="10" t="s">
        <v>8353</v>
      </c>
      <c r="J3742" s="25" t="e">
        <f>IF(shinsei_strtower28_prgo04_NINTEI_DATE="","",TEXT(shinsei_strtower28_prgo04_NINTEI_DATE,"ggge年m月d日")&amp;"  ")</f>
        <v>#NAME?</v>
      </c>
    </row>
    <row r="3743" spans="2:12" s="10" customFormat="1" ht="18" customHeight="1">
      <c r="C3743" s="12" t="s">
        <v>8335</v>
      </c>
      <c r="D3743" s="12"/>
      <c r="G3743" s="9" t="s">
        <v>8354</v>
      </c>
      <c r="H3743" s="13"/>
      <c r="I3743" s="9"/>
      <c r="J3743" s="9"/>
    </row>
    <row r="3744" spans="2:12" s="10" customFormat="1" ht="18" customHeight="1">
      <c r="C3744" s="12" t="s">
        <v>3970</v>
      </c>
      <c r="D3744" s="12"/>
      <c r="G3744" s="9"/>
      <c r="H3744" s="12"/>
      <c r="I3744" s="9" t="s">
        <v>8355</v>
      </c>
      <c r="J3744" s="25" t="e">
        <f>IF(shinsei_strtower28_prgo04_NAME="","",shinsei_strtower28_prgo04_NAME)&amp;CHAR(10)&amp;IF(shinsei_strtower28_prgo04_VER="","","Ver."&amp;shinsei_strtower28_prgo04_VER&amp;CHAR(10))</f>
        <v>#NAME?</v>
      </c>
    </row>
    <row r="3745" spans="2:12" s="10" customFormat="1" ht="18" customHeight="1">
      <c r="C3745" s="12" t="s">
        <v>3972</v>
      </c>
      <c r="D3745" s="12"/>
      <c r="G3745" s="9"/>
      <c r="H3745" s="12"/>
      <c r="I3745" s="9" t="s">
        <v>8356</v>
      </c>
      <c r="J3745" s="25" t="e">
        <f>IF(shinsei_strtower28_prgo04_NAME="","",shinsei_strtower28_prgo04_NAME&amp;" ")&amp;IF(shinsei_strtower28_prgo04_VER="","","Ver."&amp;shinsei_strtower28_prgo04_VER&amp;"  ")</f>
        <v>#NAME?</v>
      </c>
    </row>
    <row r="3746" spans="2:12" s="10" customFormat="1" ht="18" customHeight="1">
      <c r="C3746" s="12" t="s">
        <v>3974</v>
      </c>
      <c r="D3746" s="12"/>
      <c r="G3746" s="9"/>
      <c r="H3746" s="12"/>
    </row>
    <row r="3747" spans="2:12" s="10" customFormat="1" ht="18" customHeight="1">
      <c r="D3747" s="12" t="s">
        <v>8342</v>
      </c>
      <c r="G3747" s="9"/>
      <c r="H3747" s="12"/>
      <c r="I3747" s="9" t="s">
        <v>8357</v>
      </c>
      <c r="J3747" s="173" t="e">
        <f>IF(cst_shinsei_strtower28_prgo04_NINTEI__umu="有",IF(shinsei_strtower28_prgo04_MAKER_NAME="","",shinsei_strtower28_prgo04_MAKER_NAME&amp;"  "),"")</f>
        <v>#NAME?</v>
      </c>
    </row>
    <row r="3748" spans="2:12" s="10" customFormat="1" ht="18" customHeight="1">
      <c r="D3748" s="12" t="s">
        <v>3972</v>
      </c>
      <c r="G3748" s="9"/>
      <c r="H3748" s="12"/>
      <c r="I3748" s="9" t="s">
        <v>8358</v>
      </c>
      <c r="J3748" s="25" t="e">
        <f>IF(cst_shinsei_strtower28_prgo04_NINTEI__umu="有",IF(shinsei_strtower28_prgo04_NAME="","",shinsei_strtower28_prgo04_NAME&amp;" ")&amp;IF(shinsei_strtower28_prgo04_VER="","","Ver."&amp;shinsei_strtower28_prgo04_VER&amp;"  "),"")</f>
        <v>#NAME?</v>
      </c>
    </row>
    <row r="3749" spans="2:12" s="10" customFormat="1" ht="18" customHeight="1">
      <c r="C3749" s="12" t="s">
        <v>3981</v>
      </c>
      <c r="D3749" s="12"/>
      <c r="G3749" s="9"/>
      <c r="H3749" s="12"/>
    </row>
    <row r="3750" spans="2:12" s="10" customFormat="1" ht="18" customHeight="1">
      <c r="D3750" s="12" t="s">
        <v>8342</v>
      </c>
      <c r="G3750" s="9"/>
      <c r="H3750" s="12"/>
      <c r="I3750" s="9" t="s">
        <v>8359</v>
      </c>
      <c r="J3750" s="173" t="e">
        <f>IF(cst_shinsei_strtower28_prgo04_NINTEI__umu="無",IF(shinsei_strtower28_prgo04_MAKER_NAME="","",shinsei_strtower28_prgo04_MAKER_NAME&amp;"  "),"")</f>
        <v>#NAME?</v>
      </c>
    </row>
    <row r="3751" spans="2:12" s="10" customFormat="1" ht="18" customHeight="1">
      <c r="D3751" s="12" t="s">
        <v>3972</v>
      </c>
      <c r="G3751" s="9"/>
      <c r="H3751" s="12"/>
      <c r="I3751" s="9" t="s">
        <v>8360</v>
      </c>
      <c r="J3751" s="25" t="e">
        <f>IF(cst_shinsei_strtower28_prgo04_NINTEI__umu="無",IF(shinsei_strtower28_prgo04_NAME="","",shinsei_strtower28_prgo04_NAME&amp;" ")&amp;IF(shinsei_strtower28_prgo04_VER="","","Ver."&amp;shinsei_strtower28_prgo04_VER&amp;"  "),"")</f>
        <v>#NAME?</v>
      </c>
    </row>
    <row r="3752" spans="2:12" s="10" customFormat="1" ht="18" customHeight="1">
      <c r="B3752" s="105" t="s">
        <v>8361</v>
      </c>
      <c r="C3752" s="105"/>
      <c r="D3752" s="105"/>
      <c r="E3752" s="24"/>
      <c r="F3752" s="24"/>
      <c r="G3752" s="9"/>
      <c r="H3752" s="12"/>
    </row>
    <row r="3753" spans="2:12" s="10" customFormat="1" ht="18" customHeight="1">
      <c r="C3753" s="10" t="s">
        <v>3951</v>
      </c>
      <c r="D3753" s="12"/>
      <c r="G3753" s="9" t="s">
        <v>8362</v>
      </c>
      <c r="H3753" s="13"/>
    </row>
    <row r="3754" spans="2:12" s="10" customFormat="1" ht="18" customHeight="1">
      <c r="C3754" s="12" t="s">
        <v>8347</v>
      </c>
      <c r="D3754" s="12"/>
      <c r="G3754" s="9" t="s">
        <v>8363</v>
      </c>
      <c r="H3754" s="13"/>
    </row>
    <row r="3755" spans="2:12" s="10" customFormat="1" ht="18" customHeight="1">
      <c r="C3755" s="12" t="s">
        <v>3957</v>
      </c>
      <c r="D3755" s="12"/>
      <c r="G3755" s="9"/>
      <c r="H3755" s="9"/>
      <c r="I3755" s="10" t="s">
        <v>8364</v>
      </c>
      <c r="J3755" s="25" t="e">
        <f>IF(shinsei_strtower28_prgo05_NAME="","",IF(shinsei_strtower28_prgo05_NINTEI_NO="","無","有"))</f>
        <v>#NAME?</v>
      </c>
      <c r="K3755" s="10" t="s">
        <v>2941</v>
      </c>
      <c r="L3755" s="10" t="s">
        <v>3879</v>
      </c>
    </row>
    <row r="3756" spans="2:12" s="10" customFormat="1" ht="18" customHeight="1">
      <c r="C3756" s="12" t="s">
        <v>3960</v>
      </c>
      <c r="D3756" s="12"/>
      <c r="G3756" s="9" t="s">
        <v>8365</v>
      </c>
      <c r="H3756" s="13"/>
      <c r="K3756" s="10" t="s">
        <v>8351</v>
      </c>
      <c r="L3756" s="10" t="s">
        <v>3879</v>
      </c>
    </row>
    <row r="3757" spans="2:12" s="10" customFormat="1" ht="18" customHeight="1">
      <c r="C3757" s="12" t="s">
        <v>3964</v>
      </c>
      <c r="D3757" s="12"/>
      <c r="G3757" s="9" t="s">
        <v>8366</v>
      </c>
      <c r="H3757" s="74"/>
      <c r="I3757" s="10" t="s">
        <v>8367</v>
      </c>
      <c r="J3757" s="25" t="e">
        <f>IF(shinsei_strtower28_prgo05_NINTEI_DATE="","",TEXT(shinsei_strtower28_prgo05_NINTEI_DATE,"ggge年m月d日")&amp;"  ")</f>
        <v>#NAME?</v>
      </c>
    </row>
    <row r="3758" spans="2:12" s="10" customFormat="1" ht="18" customHeight="1">
      <c r="C3758" s="12" t="s">
        <v>8335</v>
      </c>
      <c r="D3758" s="12"/>
      <c r="G3758" s="9" t="s">
        <v>8368</v>
      </c>
      <c r="H3758" s="13"/>
    </row>
    <row r="3759" spans="2:12" s="10" customFormat="1" ht="18" customHeight="1">
      <c r="C3759" s="12" t="s">
        <v>3970</v>
      </c>
      <c r="D3759" s="12"/>
      <c r="G3759" s="9"/>
      <c r="H3759" s="12"/>
      <c r="I3759" s="9" t="s">
        <v>8369</v>
      </c>
      <c r="J3759" s="25" t="e">
        <f>IF(shinsei_strtower28_prgo05_NAME="","",shinsei_strtower28_prgo05_NAME)&amp;CHAR(10)&amp;IF(shinsei_strtower28_prgo05_VER="","","Ver."&amp;shinsei_strtower28_prgo05_VER&amp;CHAR(10))</f>
        <v>#NAME?</v>
      </c>
    </row>
    <row r="3760" spans="2:12" s="10" customFormat="1" ht="18" customHeight="1">
      <c r="C3760" s="12" t="s">
        <v>3972</v>
      </c>
      <c r="D3760" s="12"/>
      <c r="G3760" s="9"/>
      <c r="H3760" s="12"/>
      <c r="I3760" s="9" t="s">
        <v>8370</v>
      </c>
      <c r="J3760" s="25" t="e">
        <f>IF(shinsei_strtower28_prgo05_NAME="","",shinsei_strtower28_prgo05_NAME&amp;" ")&amp;IF(shinsei_strtower28_prgo05_VER="","","Ver."&amp;shinsei_strtower28_prgo05_VER&amp;"  ")</f>
        <v>#NAME?</v>
      </c>
    </row>
    <row r="3761" spans="2:10" s="10" customFormat="1" ht="18" customHeight="1">
      <c r="C3761" s="12" t="s">
        <v>3974</v>
      </c>
      <c r="D3761" s="12"/>
      <c r="G3761" s="9"/>
      <c r="H3761" s="12"/>
    </row>
    <row r="3762" spans="2:10" s="10" customFormat="1" ht="18" customHeight="1">
      <c r="D3762" s="12" t="s">
        <v>8342</v>
      </c>
      <c r="G3762" s="9"/>
      <c r="H3762" s="12"/>
      <c r="I3762" s="9" t="s">
        <v>8371</v>
      </c>
      <c r="J3762" s="173" t="e">
        <f>IF(cst_shinsei_strtower28_prgo05_NINTEI__umu="有",IF(shinsei_strtower28_prgo05_MAKER_NAME="","",shinsei_strtower28_prgo05_MAKER_NAME&amp;"  "),"")</f>
        <v>#NAME?</v>
      </c>
    </row>
    <row r="3763" spans="2:10" s="10" customFormat="1" ht="18" customHeight="1">
      <c r="D3763" s="12" t="s">
        <v>3972</v>
      </c>
      <c r="G3763" s="9"/>
      <c r="H3763" s="12"/>
      <c r="I3763" s="9" t="s">
        <v>8372</v>
      </c>
      <c r="J3763" s="25" t="e">
        <f>IF(cst_shinsei_strtower28_prgo05_NINTEI__umu="有",IF(shinsei_strtower28_prgo05_NAME="","",shinsei_strtower28_prgo05_NAME&amp;" ")&amp;IF(shinsei_strtower28_prgo05_VER="","","Ver."&amp;shinsei_strtower28_prgo05_VER&amp;"  "),"")</f>
        <v>#NAME?</v>
      </c>
    </row>
    <row r="3764" spans="2:10" s="10" customFormat="1" ht="18" customHeight="1">
      <c r="C3764" s="12" t="s">
        <v>3981</v>
      </c>
      <c r="D3764" s="12"/>
      <c r="G3764" s="9"/>
      <c r="H3764" s="12"/>
    </row>
    <row r="3765" spans="2:10" s="10" customFormat="1" ht="18" customHeight="1">
      <c r="D3765" s="12" t="s">
        <v>8342</v>
      </c>
      <c r="G3765" s="9"/>
      <c r="H3765" s="12"/>
      <c r="I3765" s="9" t="s">
        <v>8373</v>
      </c>
      <c r="J3765" s="173" t="e">
        <f>IF(cst_shinsei_strtower28_prgo05_NINTEI__umu="無",IF(shinsei_strtower28_prgo05_MAKER_NAME="","",shinsei_strtower28_prgo05_MAKER_NAME&amp;"  "),"")</f>
        <v>#NAME?</v>
      </c>
    </row>
    <row r="3766" spans="2:10" s="10" customFormat="1" ht="18" customHeight="1">
      <c r="D3766" s="12" t="s">
        <v>3972</v>
      </c>
      <c r="G3766" s="9"/>
      <c r="H3766" s="12"/>
      <c r="I3766" s="9" t="s">
        <v>8374</v>
      </c>
      <c r="J3766" s="25" t="e">
        <f>IF(cst_shinsei_strtower28_prgo05_NINTEI__umu="無",IF(shinsei_strtower28_prgo05_NAME="","",shinsei_strtower28_prgo05_NAME&amp;" ")&amp;IF(shinsei_strtower28_prgo05_VER="","","Ver."&amp;shinsei_strtower28_prgo05_VER&amp;"  "),"")</f>
        <v>#NAME?</v>
      </c>
    </row>
    <row r="3767" spans="2:10" s="10" customFormat="1" ht="18" customHeight="1">
      <c r="B3767" s="13" t="s">
        <v>8375</v>
      </c>
      <c r="C3767" s="13"/>
      <c r="D3767" s="13"/>
      <c r="E3767" s="25"/>
      <c r="F3767" s="25"/>
      <c r="G3767" s="9"/>
      <c r="H3767" s="80"/>
      <c r="I3767" s="9"/>
      <c r="J3767" s="80"/>
    </row>
    <row r="3768" spans="2:10" s="10" customFormat="1" ht="18" customHeight="1">
      <c r="C3768" s="12" t="s">
        <v>3970</v>
      </c>
      <c r="D3768" s="12"/>
      <c r="G3768" s="9"/>
      <c r="H3768" s="80"/>
      <c r="I3768" s="166" t="s">
        <v>8376</v>
      </c>
      <c r="J3768" s="74" t="e">
        <f>cst_shinsei_strtower28_prgo01_NAME_VER&amp;cst_shinsei_strtower28_prgo02_NAME_VER&amp;cst_shinsei_strtower28_prgo03_NAME_VER&amp;cst_shinsei_strtower28_prgo04_NAME_VER&amp;cst_shinsei_strtower28_prgo05_NAME_VER</f>
        <v>#NAME?</v>
      </c>
    </row>
    <row r="3769" spans="2:10" s="10" customFormat="1" ht="18" customHeight="1">
      <c r="C3769" s="12" t="s">
        <v>3972</v>
      </c>
      <c r="D3769" s="12"/>
      <c r="G3769" s="9"/>
      <c r="H3769" s="80"/>
      <c r="I3769" s="166" t="s">
        <v>8377</v>
      </c>
      <c r="J3769" s="74" t="e">
        <f>cst_shinsei_strtower28_prgo01_NAME_VER__SP&amp;cst_shinsei_strtower28_prgo02_NAME_VER__SP&amp;cst_shinsei_strtower28_prgo03_NAME_VER__SP&amp;cst_shinsei_strtower28_prgo04_NAME_VER__SP&amp;cst_shinsei_strtower28_prgo05_NAME_VER__SP</f>
        <v>#NAME?</v>
      </c>
    </row>
    <row r="3770" spans="2:10" s="10" customFormat="1" ht="18" customHeight="1">
      <c r="B3770" s="13" t="s">
        <v>4068</v>
      </c>
      <c r="C3770" s="13"/>
      <c r="D3770" s="13"/>
      <c r="E3770" s="25"/>
      <c r="F3770" s="25"/>
      <c r="G3770" s="9"/>
      <c r="H3770" s="80"/>
      <c r="I3770" s="9"/>
      <c r="J3770" s="80"/>
    </row>
    <row r="3771" spans="2:10" s="10" customFormat="1" ht="18" customHeight="1">
      <c r="C3771" s="12" t="s">
        <v>8342</v>
      </c>
      <c r="D3771" s="12"/>
      <c r="G3771" s="9"/>
      <c r="H3771" s="80"/>
      <c r="I3771" s="166" t="s">
        <v>8378</v>
      </c>
      <c r="J3771" s="74" t="e">
        <f>cst_shinsei_strtower28_prgo01_MAKER__NINTEI_ari&amp;cst_shinsei_strtower28_prgo02_MAKER__NINTEI_ari&amp;cst_shinsei_strtower28_prgo03_MAKER__NINTEI_ari&amp;cst_shinsei_strtower28_prgo04_MAKER__NINTEI_ari&amp;cst_shinsei_strtower28_prgo05_MAKER__NINTEI_ari</f>
        <v>#NAME?</v>
      </c>
    </row>
    <row r="3772" spans="2:10" s="10" customFormat="1" ht="18" customHeight="1">
      <c r="C3772" s="12" t="s">
        <v>3972</v>
      </c>
      <c r="D3772" s="12"/>
      <c r="G3772" s="9"/>
      <c r="H3772" s="80"/>
      <c r="I3772" s="166" t="s">
        <v>8379</v>
      </c>
      <c r="J3772" s="173" t="e">
        <f>cst_shinsei_strtower28_prgo01_NAME_VER__NINTEI_ari&amp;cst_shinsei_strtower28_prgo02_NAME_VER__NINTEI_ari&amp;cst_shinsei_strtower28_prgo03_NAME_VER__NINTEI_ari&amp;cst_shinsei_strtower28_prgo04_NAME_VER__NINTEI_ari&amp;cst_shinsei_strtower28_prgo05_NAME_VER__NINTEI_ari</f>
        <v>#NAME?</v>
      </c>
    </row>
    <row r="3773" spans="2:10" s="10" customFormat="1" ht="18" customHeight="1">
      <c r="C3773" s="12" t="s">
        <v>3964</v>
      </c>
      <c r="D3773" s="12"/>
      <c r="G3773" s="9"/>
      <c r="H3773" s="80"/>
      <c r="I3773" s="166" t="s">
        <v>9558</v>
      </c>
      <c r="J3773" s="74" t="e">
        <f>cst_shinsei_strtower28_prgo01_NINTEI_DATE_dsp&amp;cst_shinsei_strtower28_prgo02_NINTEI_DATE_dsp&amp;cst_shinsei_strtower28_prgo03_NINTEI_DATE_dsp&amp;cst_shinsei_strtower28_prgo04_NINTEI_DATE_dsp&amp;cst_shinsei_strtower28_prgo05_NINTEI_DATE_dsp</f>
        <v>#NAME?</v>
      </c>
    </row>
    <row r="3774" spans="2:10" s="10" customFormat="1" ht="18" customHeight="1">
      <c r="B3774" s="13" t="s">
        <v>4072</v>
      </c>
      <c r="C3774" s="13"/>
      <c r="D3774" s="13"/>
      <c r="E3774" s="25"/>
      <c r="F3774" s="25"/>
      <c r="G3774" s="9"/>
      <c r="H3774" s="80"/>
      <c r="I3774" s="9"/>
      <c r="J3774" s="80"/>
    </row>
    <row r="3775" spans="2:10" s="10" customFormat="1" ht="18" customHeight="1">
      <c r="C3775" s="12" t="s">
        <v>6279</v>
      </c>
      <c r="D3775" s="12"/>
      <c r="G3775" s="9"/>
      <c r="H3775" s="80"/>
      <c r="I3775" s="166" t="s">
        <v>9559</v>
      </c>
      <c r="J3775" s="74" t="e">
        <f>cst_shinsei_strtower28_prgo01_MAKER__NINTEI_non&amp;cst_shinsei_strtower28_prgo02_MAKER__NINTEI_non&amp;cst_shinsei_strtower28_prgo03_MAKER__NINTEI_non&amp;cst_shinsei_strtower28_prgo04_MAKER__NINTEI_non&amp;cst_shinsei_strtower28_prgo05_MAKER__NINTEI_non</f>
        <v>#NAME?</v>
      </c>
    </row>
    <row r="3776" spans="2:10" s="10" customFormat="1" ht="18" customHeight="1">
      <c r="C3776" s="12" t="s">
        <v>3972</v>
      </c>
      <c r="D3776" s="12"/>
      <c r="G3776" s="9"/>
      <c r="H3776" s="80"/>
      <c r="I3776" s="166" t="s">
        <v>9560</v>
      </c>
      <c r="J3776" s="173" t="e">
        <f>cst_shinsei_strtower28_prgo01_NAME_VER__NINTEI_non&amp;cst_shinsei_strtower28_prgo02_NAME_VER__NINTEI_non&amp;cst_shinsei_strtower28_prgo03_NAME_VER__NINTEI_non&amp;cst_shinsei_strtower28_prgo04_NAME_VER__NINTEI_non&amp;cst_shinsei_strtower28_prgo05_NAME_VER__NINTEI_non</f>
        <v>#NAME?</v>
      </c>
    </row>
    <row r="3777" spans="1:12" s="10" customFormat="1" ht="18" customHeight="1">
      <c r="B3777" s="12" t="s">
        <v>4075</v>
      </c>
      <c r="G3777" s="9" t="s">
        <v>9561</v>
      </c>
      <c r="H3777" s="20"/>
      <c r="I3777" s="9" t="s">
        <v>9562</v>
      </c>
      <c r="J3777" s="20" t="e">
        <f>IF(shinsei_strtower28_DISK_FLAG="","",IF(shinsei_strtower28_DISK_FLAG=1,"有","無"))</f>
        <v>#NAME?</v>
      </c>
    </row>
    <row r="3778" spans="1:12" s="10" customFormat="1" ht="18" customHeight="1">
      <c r="A3778" s="9"/>
      <c r="B3778" s="9" t="s">
        <v>2955</v>
      </c>
      <c r="C3778" s="9"/>
      <c r="D3778" s="9"/>
      <c r="E3778" s="9"/>
      <c r="F3778" s="9"/>
      <c r="G3778" s="9" t="s">
        <v>9563</v>
      </c>
      <c r="H3778" s="136"/>
      <c r="I3778" s="19" t="s">
        <v>9564</v>
      </c>
      <c r="J3778" s="171" t="e">
        <f>IF(shinsei_strtower28_CHARGE="","",shinsei_strtower28_CHARGE)</f>
        <v>#NAME?</v>
      </c>
      <c r="K3778" s="9" t="s">
        <v>2528</v>
      </c>
      <c r="L3778" s="9" t="s">
        <v>2528</v>
      </c>
    </row>
    <row r="3779" spans="1:12" ht="18" customHeight="1">
      <c r="A3779" s="149"/>
      <c r="B3779" s="149"/>
      <c r="C3779" s="149"/>
      <c r="D3779" s="149"/>
      <c r="E3779" s="12" t="s">
        <v>3907</v>
      </c>
      <c r="F3779" s="12"/>
      <c r="G3779" s="149"/>
      <c r="I3779" s="100" t="s">
        <v>9565</v>
      </c>
      <c r="J3779" s="171" t="e">
        <f>IF(shinsei_strtower28_CHARGE="","",TEXT(shinsei_strtower28_CHARGE,"#,##0_ ")&amp;"円")</f>
        <v>#NAME?</v>
      </c>
      <c r="K3779" s="9"/>
      <c r="L3779" s="9"/>
    </row>
    <row r="3780" spans="1:12" ht="18" customHeight="1">
      <c r="A3780" s="149"/>
      <c r="B3780" s="149" t="s">
        <v>3041</v>
      </c>
      <c r="C3780" s="149"/>
      <c r="D3780" s="149"/>
      <c r="E3780" s="149"/>
      <c r="F3780" s="149"/>
      <c r="G3780" s="149" t="s">
        <v>9566</v>
      </c>
      <c r="H3780" s="136"/>
      <c r="I3780" s="100" t="s">
        <v>9567</v>
      </c>
      <c r="J3780" s="136" t="e">
        <f>IF(shinsei_strtower28_CHARGE_WARIMASHI="","",shinsei_strtower28_CHARGE_WARIMASHI)</f>
        <v>#NAME?</v>
      </c>
      <c r="K3780" s="9" t="s">
        <v>2528</v>
      </c>
      <c r="L3780" s="9" t="s">
        <v>2528</v>
      </c>
    </row>
    <row r="3781" spans="1:12" ht="18" customHeight="1">
      <c r="A3781" s="149"/>
      <c r="B3781" s="149" t="s">
        <v>3043</v>
      </c>
      <c r="C3781" s="149"/>
      <c r="D3781" s="149"/>
      <c r="E3781" s="149"/>
      <c r="F3781" s="149"/>
      <c r="G3781" s="149" t="s">
        <v>9568</v>
      </c>
      <c r="H3781" s="136"/>
      <c r="I3781" s="100" t="s">
        <v>9569</v>
      </c>
      <c r="J3781" s="136" t="e">
        <f>IF(shinsei_strtower28_CHARGE_TOTAL="","",shinsei_strtower28_CHARGE_TOTAL)</f>
        <v>#NAME?</v>
      </c>
      <c r="K3781" s="9" t="s">
        <v>2528</v>
      </c>
      <c r="L3781" s="9" t="s">
        <v>2528</v>
      </c>
    </row>
    <row r="3782" spans="1:12" ht="18" customHeight="1">
      <c r="A3782" s="149"/>
      <c r="B3782" s="149" t="s">
        <v>5637</v>
      </c>
      <c r="C3782" s="149"/>
      <c r="D3782" s="149"/>
      <c r="E3782" s="149"/>
      <c r="F3782" s="149"/>
      <c r="G3782" s="149" t="s">
        <v>9570</v>
      </c>
      <c r="H3782" s="13"/>
      <c r="I3782" s="176" t="s">
        <v>9571</v>
      </c>
      <c r="J3782" s="20" t="e">
        <f>IF(shinsei_strtower28_CHARGE_KEISAN_NOTE="","",shinsei_strtower28_CHARGE_KEISAN_NOTE)</f>
        <v>#NAME?</v>
      </c>
      <c r="K3782" s="10" t="s">
        <v>7921</v>
      </c>
      <c r="L3782" s="10" t="s">
        <v>3879</v>
      </c>
    </row>
    <row r="3783" spans="1:12" ht="18" customHeight="1">
      <c r="A3783" s="149"/>
      <c r="B3783" s="149"/>
      <c r="C3783" s="149"/>
      <c r="D3783" s="149"/>
      <c r="E3783" s="149" t="s">
        <v>5640</v>
      </c>
      <c r="F3783" s="149"/>
      <c r="G3783" s="149"/>
      <c r="I3783" s="100" t="s">
        <v>9572</v>
      </c>
      <c r="J3783" s="20" t="e">
        <f>IF(shinsei_INSPECTION_TYPE="計画変更",IF(shinsei_strtower28_CHARGE="","","延べ面積×1/2により算出"),IF(shinsei_strtower28_CHARGE_KEISAN_NOTE="","",shinsei_strtower28_CHARGE_KEISAN_NOTE))</f>
        <v>#NAME?</v>
      </c>
    </row>
    <row r="3784" spans="1:12" ht="18" customHeight="1">
      <c r="A3784" s="149"/>
      <c r="B3784" s="149" t="s">
        <v>5642</v>
      </c>
      <c r="C3784" s="149"/>
      <c r="D3784" s="149"/>
      <c r="E3784" s="149"/>
      <c r="F3784" s="149"/>
      <c r="G3784" s="149" t="s">
        <v>9573</v>
      </c>
      <c r="H3784" s="13"/>
      <c r="I3784" s="149" t="s">
        <v>9574</v>
      </c>
      <c r="J3784" s="20" t="e">
        <f>IF(shinsei_strtower28_KEISAN_X_ROUTE="","",shinsei_strtower28_KEISAN_X_ROUTE)</f>
        <v>#NAME?</v>
      </c>
    </row>
    <row r="3785" spans="1:12" ht="18" customHeight="1">
      <c r="A3785" s="149"/>
      <c r="B3785" s="149" t="s">
        <v>5645</v>
      </c>
      <c r="C3785" s="149"/>
      <c r="D3785" s="149"/>
      <c r="E3785" s="149"/>
      <c r="F3785" s="149"/>
      <c r="G3785" s="149" t="s">
        <v>9575</v>
      </c>
      <c r="H3785" s="13"/>
      <c r="I3785" s="149" t="s">
        <v>9576</v>
      </c>
      <c r="J3785" s="20" t="e">
        <f>IF(shinsei_strtower28_KEISAN_Y_ROUTE="","",shinsei_strtower28_KEISAN_Y_ROUTE)</f>
        <v>#NAME?</v>
      </c>
    </row>
    <row r="3786" spans="1:12" ht="18" customHeight="1">
      <c r="A3786" s="149"/>
      <c r="B3786" s="149"/>
      <c r="C3786" s="149" t="s">
        <v>3805</v>
      </c>
      <c r="D3786" s="149"/>
      <c r="E3786" s="149"/>
      <c r="F3786" s="149"/>
      <c r="G3786" s="149"/>
      <c r="H3786" s="12"/>
      <c r="I3786" s="149" t="s">
        <v>9577</v>
      </c>
      <c r="J3786" s="20" t="e">
        <f>IF(AND(cst_shinsei_strtower28_KEISAN_X_ROUTE="3",cst_shinsei_strtower28_KEISAN_Y_ROUTE="3"),"■","□")</f>
        <v>#NAME?</v>
      </c>
    </row>
    <row r="3787" spans="1:12" ht="18" customHeight="1">
      <c r="A3787" s="149"/>
      <c r="B3787" s="149" t="s">
        <v>5650</v>
      </c>
      <c r="C3787" s="149"/>
      <c r="D3787" s="149"/>
      <c r="E3787" s="149"/>
      <c r="F3787" s="149"/>
      <c r="G3787" s="149" t="s">
        <v>9578</v>
      </c>
      <c r="H3787" s="13"/>
      <c r="I3787" s="149" t="s">
        <v>9579</v>
      </c>
      <c r="J3787" s="20" t="e">
        <f>IF(shinsei_strtower28_PROGRAM_KIND_SONOTA="","",shinsei_strtower28_PROGRAM_KIND_SONOTA)</f>
        <v>#NAME?</v>
      </c>
    </row>
    <row r="3788" spans="1:12" ht="18" customHeight="1">
      <c r="A3788" s="149"/>
      <c r="B3788" s="149"/>
      <c r="C3788" s="149"/>
      <c r="D3788" s="149"/>
      <c r="E3788" s="149"/>
      <c r="F3788" s="149"/>
      <c r="G3788" s="149"/>
    </row>
    <row r="3789" spans="1:12" s="10" customFormat="1" ht="18" customHeight="1">
      <c r="A3789" s="162" t="s">
        <v>3182</v>
      </c>
      <c r="B3789" s="162"/>
      <c r="C3789" s="162"/>
      <c r="D3789" s="162"/>
      <c r="E3789" s="163"/>
      <c r="F3789" s="163"/>
      <c r="G3789" s="164"/>
      <c r="H3789" s="165"/>
      <c r="I3789" s="9"/>
    </row>
    <row r="3790" spans="1:12" s="10" customFormat="1" ht="18" customHeight="1">
      <c r="A3790" s="12"/>
      <c r="B3790" s="12" t="s">
        <v>3859</v>
      </c>
      <c r="C3790" s="12"/>
      <c r="D3790" s="12"/>
      <c r="E3790" s="11"/>
      <c r="F3790" s="11"/>
      <c r="G3790" s="10" t="s">
        <v>9580</v>
      </c>
      <c r="H3790" s="13"/>
      <c r="I3790" s="19" t="s">
        <v>9581</v>
      </c>
      <c r="J3790" s="25" t="e">
        <f>IF(shinsei_strtower29_TOWER_NO="","",shinsei_strtower29_TOWER_NO)</f>
        <v>#NAME?</v>
      </c>
      <c r="K3790" s="10" t="s">
        <v>9582</v>
      </c>
    </row>
    <row r="3791" spans="1:12" s="10" customFormat="1" ht="18" customHeight="1">
      <c r="A3791" s="12"/>
      <c r="B3791" s="12" t="s">
        <v>3864</v>
      </c>
      <c r="C3791" s="12"/>
      <c r="D3791" s="12"/>
      <c r="E3791" s="11"/>
      <c r="F3791" s="11"/>
      <c r="G3791" s="9" t="s">
        <v>9583</v>
      </c>
      <c r="H3791" s="13"/>
      <c r="I3791" s="19" t="s">
        <v>9584</v>
      </c>
      <c r="J3791" s="25" t="e">
        <f>IF(shinsei_strtower29_STR_TOWER_NO="","",shinsei_strtower29_STR_TOWER_NO)</f>
        <v>#NAME?</v>
      </c>
      <c r="K3791" s="10" t="s">
        <v>9582</v>
      </c>
      <c r="L3791" s="10" t="s">
        <v>3879</v>
      </c>
    </row>
    <row r="3792" spans="1:12" s="166" customFormat="1" ht="18" customHeight="1">
      <c r="B3792" s="12" t="s">
        <v>3868</v>
      </c>
      <c r="I3792" s="9" t="s">
        <v>9585</v>
      </c>
      <c r="J3792" s="167" t="e">
        <f>CONCATENATE(cst_shinsei_strtower29_TOWER_NO," - ",cst_shinsei_strtower29_STR_TOWER_NO)</f>
        <v>#NAME?</v>
      </c>
    </row>
    <row r="3793" spans="1:12" s="166" customFormat="1" ht="18" customHeight="1">
      <c r="B3793" s="12" t="s">
        <v>3870</v>
      </c>
      <c r="I3793" s="9" t="s">
        <v>9586</v>
      </c>
      <c r="J3793" s="167" t="e">
        <f>CONCATENATE(cst_shinsei_strtower29_STR_TOWER_NO," ／ ",cst_shinsei_STR_SHINSEI_TOWERS)</f>
        <v>#NAME?</v>
      </c>
    </row>
    <row r="3794" spans="1:12" s="10" customFormat="1" ht="18" customHeight="1">
      <c r="A3794" s="12"/>
      <c r="B3794" s="12" t="s">
        <v>9587</v>
      </c>
      <c r="C3794" s="11"/>
      <c r="D3794" s="11"/>
      <c r="E3794" s="11"/>
      <c r="F3794" s="11"/>
      <c r="G3794" s="9" t="s">
        <v>9588</v>
      </c>
      <c r="H3794" s="13"/>
      <c r="I3794" s="9" t="s">
        <v>9589</v>
      </c>
      <c r="J3794" s="25" t="e">
        <f>IF(shinsei_strtower29_STR_TOWER_NAME="","",shinsei_strtower29_STR_TOWER_NAME)</f>
        <v>#NAME?</v>
      </c>
    </row>
    <row r="3795" spans="1:12" s="10" customFormat="1" ht="18" customHeight="1">
      <c r="A3795" s="12"/>
      <c r="B3795" s="12" t="s">
        <v>9590</v>
      </c>
      <c r="C3795" s="12"/>
      <c r="D3795" s="12"/>
      <c r="E3795" s="11"/>
      <c r="F3795" s="11"/>
      <c r="G3795" s="9" t="s">
        <v>9591</v>
      </c>
      <c r="H3795" s="20"/>
      <c r="I3795" s="20" t="s">
        <v>9592</v>
      </c>
      <c r="J3795" s="25" t="e">
        <f>IF(shinsei_strtower29_JUDGE="","",shinsei_strtower29_JUDGE)</f>
        <v>#NAME?</v>
      </c>
      <c r="K3795" s="10" t="s">
        <v>9593</v>
      </c>
      <c r="L3795" s="10" t="s">
        <v>3879</v>
      </c>
    </row>
    <row r="3796" spans="1:12" s="10" customFormat="1" ht="18" customHeight="1">
      <c r="A3796" s="12"/>
      <c r="B3796" s="12" t="s">
        <v>4441</v>
      </c>
      <c r="C3796" s="12"/>
      <c r="D3796" s="12"/>
      <c r="E3796" s="11"/>
      <c r="F3796" s="11"/>
      <c r="G3796" s="9" t="s">
        <v>9594</v>
      </c>
      <c r="H3796" s="13"/>
      <c r="I3796" s="9" t="s">
        <v>9595</v>
      </c>
      <c r="J3796" s="25" t="e">
        <f>IF(shinsei_strtower29_STR_TOWER_YOUTO_TEXT="","",shinsei_strtower29_STR_TOWER_YOUTO_TEXT)</f>
        <v>#NAME?</v>
      </c>
      <c r="K3796" s="10" t="s">
        <v>9582</v>
      </c>
      <c r="L3796" s="10" t="s">
        <v>3879</v>
      </c>
    </row>
    <row r="3797" spans="1:12" s="10" customFormat="1" ht="18" customHeight="1">
      <c r="A3797" s="12"/>
      <c r="B3797" s="12" t="s">
        <v>3790</v>
      </c>
      <c r="C3797" s="12"/>
      <c r="D3797" s="12"/>
      <c r="E3797" s="11"/>
      <c r="F3797" s="11"/>
      <c r="G3797" s="9" t="s">
        <v>9596</v>
      </c>
      <c r="H3797" s="13"/>
      <c r="I3797" s="9" t="s">
        <v>9597</v>
      </c>
      <c r="J3797" s="25" t="e">
        <f>IF(shinsei_strtower29_KOUJI_TEXT="","",shinsei_strtower29_KOUJI_TEXT)</f>
        <v>#NAME?</v>
      </c>
      <c r="K3797" s="10" t="s">
        <v>9582</v>
      </c>
      <c r="L3797" s="10" t="s">
        <v>3879</v>
      </c>
    </row>
    <row r="3798" spans="1:12" s="10" customFormat="1" ht="18" customHeight="1">
      <c r="A3798" s="12"/>
      <c r="B3798" s="12" t="s">
        <v>9598</v>
      </c>
      <c r="C3798" s="11"/>
      <c r="D3798" s="11"/>
      <c r="E3798" s="11"/>
      <c r="F3798" s="11"/>
      <c r="G3798" s="9" t="s">
        <v>9599</v>
      </c>
      <c r="H3798" s="13"/>
      <c r="I3798" s="9" t="s">
        <v>9600</v>
      </c>
      <c r="J3798" s="25" t="e">
        <f>IF(shinsei_strtower29_KOUZOU_TEXT="","",shinsei_strtower29_KOUZOU_TEXT)</f>
        <v>#NAME?</v>
      </c>
    </row>
    <row r="3799" spans="1:12" s="10" customFormat="1" ht="18" customHeight="1">
      <c r="A3799" s="12"/>
      <c r="B3799" s="12" t="s">
        <v>9598</v>
      </c>
      <c r="C3799" s="12"/>
      <c r="D3799" s="12"/>
      <c r="E3799" s="11"/>
      <c r="F3799" s="11"/>
      <c r="G3799" s="9" t="s">
        <v>9601</v>
      </c>
      <c r="H3799" s="13"/>
      <c r="I3799" s="9" t="s">
        <v>9602</v>
      </c>
      <c r="J3799" s="25" t="e">
        <f>IF(shinsei_strtower29_KOUZOU_TEXT="","",shinsei_strtower29_KOUZOU_TEXT)</f>
        <v>#NAME?</v>
      </c>
    </row>
    <row r="3800" spans="1:12" s="10" customFormat="1" ht="18" customHeight="1">
      <c r="A3800" s="12"/>
      <c r="B3800" s="12" t="s">
        <v>3893</v>
      </c>
      <c r="C3800" s="11"/>
      <c r="D3800" s="11"/>
      <c r="E3800" s="11"/>
      <c r="F3800" s="11"/>
      <c r="G3800" s="9" t="s">
        <v>9603</v>
      </c>
      <c r="H3800" s="13"/>
      <c r="I3800" s="9" t="s">
        <v>9604</v>
      </c>
      <c r="J3800" s="25" t="e">
        <f>IF(shinsei_strtower29_KOUZOU_KEISAN="","",shinsei_strtower29_KOUZOU_KEISAN)</f>
        <v>#NAME?</v>
      </c>
    </row>
    <row r="3801" spans="1:12" s="10" customFormat="1" ht="18" customHeight="1">
      <c r="A3801" s="12"/>
      <c r="B3801" s="12" t="s">
        <v>3893</v>
      </c>
      <c r="C3801" s="12"/>
      <c r="D3801" s="12"/>
      <c r="E3801" s="11"/>
      <c r="F3801" s="11"/>
      <c r="G3801" s="9" t="s">
        <v>9605</v>
      </c>
      <c r="H3801" s="13"/>
      <c r="I3801" s="10" t="s">
        <v>9606</v>
      </c>
      <c r="J3801" s="25" t="e">
        <f>IF(shinsei_strtower29_KOUZOU_KEISAN_TEXT="","",shinsei_strtower29_KOUZOU_KEISAN_TEXT)</f>
        <v>#NAME?</v>
      </c>
    </row>
    <row r="3802" spans="1:12" s="10" customFormat="1" ht="18" customHeight="1">
      <c r="A3802" s="12"/>
      <c r="B3802" s="12" t="s">
        <v>9607</v>
      </c>
      <c r="C3802" s="12"/>
      <c r="D3802" s="12"/>
      <c r="E3802" s="11"/>
      <c r="F3802" s="11"/>
      <c r="G3802" s="9" t="s">
        <v>9608</v>
      </c>
      <c r="H3802" s="65"/>
      <c r="I3802" s="19" t="s">
        <v>9609</v>
      </c>
      <c r="J3802" s="168" t="e">
        <f>IF(shinsei_strtower29_MENSEKI="","",shinsei_strtower29_MENSEKI)</f>
        <v>#NAME?</v>
      </c>
      <c r="K3802" s="10" t="s">
        <v>3906</v>
      </c>
      <c r="L3802" s="10" t="s">
        <v>3906</v>
      </c>
    </row>
    <row r="3803" spans="1:12" ht="18" customHeight="1">
      <c r="A3803" s="12"/>
      <c r="B3803" s="12"/>
      <c r="C3803" s="12"/>
      <c r="D3803" s="12"/>
      <c r="E3803" s="12" t="s">
        <v>3907</v>
      </c>
      <c r="F3803" s="12"/>
      <c r="G3803" s="9"/>
      <c r="H3803" s="9"/>
      <c r="I3803" s="9" t="s">
        <v>9610</v>
      </c>
      <c r="J3803" s="168" t="e">
        <f>IF(shinsei_strtower29_MENSEKI="","",TEXT(shinsei_strtower29_MENSEKI,"#,##0.00_ ")&amp;"㎡")</f>
        <v>#NAME?</v>
      </c>
    </row>
    <row r="3804" spans="1:12" s="10" customFormat="1" ht="18" customHeight="1">
      <c r="A3804" s="12"/>
      <c r="B3804" s="12" t="s">
        <v>4390</v>
      </c>
      <c r="C3804" s="12"/>
      <c r="D3804" s="12"/>
      <c r="E3804" s="11"/>
      <c r="F3804" s="11"/>
      <c r="G3804" s="9" t="s">
        <v>9611</v>
      </c>
      <c r="H3804" s="93"/>
      <c r="I3804" s="9" t="s">
        <v>9612</v>
      </c>
      <c r="J3804" s="170" t="e">
        <f>IF(shinsei_strtower29_MAX_TAKASA="","",shinsei_strtower29_MAX_TAKASA)</f>
        <v>#NAME?</v>
      </c>
      <c r="K3804" s="10" t="s">
        <v>3911</v>
      </c>
      <c r="L3804" s="10" t="s">
        <v>3911</v>
      </c>
    </row>
    <row r="3805" spans="1:12" s="10" customFormat="1" ht="18" customHeight="1">
      <c r="A3805" s="12"/>
      <c r="B3805" s="12" t="s">
        <v>4388</v>
      </c>
      <c r="C3805" s="11"/>
      <c r="D3805" s="11"/>
      <c r="E3805" s="11"/>
      <c r="F3805" s="11"/>
      <c r="G3805" s="9" t="s">
        <v>9613</v>
      </c>
      <c r="H3805" s="93"/>
      <c r="I3805" s="9" t="s">
        <v>9614</v>
      </c>
      <c r="J3805" s="170" t="e">
        <f>IF(shinsei_strtower29_MAX_NOKI_TAKASA="","",shinsei_strtower29_MAX_NOKI_TAKASA)</f>
        <v>#NAME?</v>
      </c>
    </row>
    <row r="3806" spans="1:12" s="10" customFormat="1" ht="18" customHeight="1">
      <c r="A3806" s="12"/>
      <c r="B3806" s="12" t="s">
        <v>3782</v>
      </c>
      <c r="C3806" s="12"/>
      <c r="D3806" s="12"/>
      <c r="E3806" s="11"/>
      <c r="F3806" s="11"/>
      <c r="G3806" s="9"/>
      <c r="H3806" s="9"/>
      <c r="I3806" s="9"/>
    </row>
    <row r="3807" spans="1:12" s="10" customFormat="1" ht="18" customHeight="1">
      <c r="A3807" s="12"/>
      <c r="B3807" s="12"/>
      <c r="C3807" s="11" t="s">
        <v>3783</v>
      </c>
      <c r="D3807" s="12"/>
      <c r="G3807" s="9" t="s">
        <v>9615</v>
      </c>
      <c r="H3807" s="136"/>
      <c r="I3807" s="9" t="s">
        <v>9616</v>
      </c>
      <c r="J3807" s="171" t="e">
        <f>IF(shinsei_strtower29_KAISU_TIJYOU="","",shinsei_strtower29_KAISU_TIJYOU)</f>
        <v>#NAME?</v>
      </c>
      <c r="K3807" s="10" t="s">
        <v>9617</v>
      </c>
      <c r="L3807" s="10" t="s">
        <v>9617</v>
      </c>
    </row>
    <row r="3808" spans="1:12" s="10" customFormat="1" ht="18" customHeight="1">
      <c r="A3808" s="12"/>
      <c r="B3808" s="12"/>
      <c r="C3808" s="11" t="s">
        <v>3785</v>
      </c>
      <c r="D3808" s="12"/>
      <c r="G3808" s="9" t="s">
        <v>9618</v>
      </c>
      <c r="H3808" s="136"/>
      <c r="I3808" s="9" t="s">
        <v>9619</v>
      </c>
      <c r="J3808" s="171" t="e">
        <f>IF(shinsei_strtower29_KAISU_TIKA="","",shinsei_strtower29_KAISU_TIKA)</f>
        <v>#NAME?</v>
      </c>
      <c r="K3808" s="10" t="s">
        <v>9617</v>
      </c>
      <c r="L3808" s="10" t="s">
        <v>9617</v>
      </c>
    </row>
    <row r="3809" spans="1:12" s="10" customFormat="1" ht="18" customHeight="1">
      <c r="A3809" s="12"/>
      <c r="B3809" s="12"/>
      <c r="C3809" s="11" t="s">
        <v>3787</v>
      </c>
      <c r="D3809" s="12"/>
      <c r="G3809" s="9" t="s">
        <v>9620</v>
      </c>
      <c r="H3809" s="136"/>
      <c r="I3809" s="9" t="s">
        <v>9621</v>
      </c>
      <c r="J3809" s="171" t="e">
        <f>IF(shinsei_strtower29_KAISU_TOUYA="","",shinsei_strtower29_KAISU_TOUYA)</f>
        <v>#NAME?</v>
      </c>
      <c r="K3809" s="10" t="s">
        <v>9617</v>
      </c>
      <c r="L3809" s="10" t="s">
        <v>9617</v>
      </c>
    </row>
    <row r="3810" spans="1:12" s="10" customFormat="1" ht="18" customHeight="1">
      <c r="B3810" s="12" t="s">
        <v>3923</v>
      </c>
      <c r="G3810" s="9" t="s">
        <v>9622</v>
      </c>
      <c r="H3810" s="13"/>
      <c r="I3810" s="10" t="s">
        <v>9623</v>
      </c>
      <c r="J3810" s="25" t="e">
        <f>IF(shinsei_strtower29_BUILD_KUBUN="","",shinsei_strtower29_BUILD_KUBUN)</f>
        <v>#NAME?</v>
      </c>
    </row>
    <row r="3811" spans="1:12" s="10" customFormat="1" ht="18" customHeight="1">
      <c r="B3811" s="12" t="s">
        <v>3923</v>
      </c>
      <c r="C3811" s="12"/>
      <c r="D3811" s="12"/>
      <c r="G3811" s="9" t="s">
        <v>9624</v>
      </c>
      <c r="H3811" s="13"/>
      <c r="I3811" s="10" t="s">
        <v>9625</v>
      </c>
      <c r="J3811" s="25" t="e">
        <f>IF(shinsei_strtower29_BUILD_KUBUN_TEXT="","",shinsei_strtower29_BUILD_KUBUN_TEXT)</f>
        <v>#NAME?</v>
      </c>
      <c r="K3811" s="10" t="s">
        <v>9582</v>
      </c>
    </row>
    <row r="3812" spans="1:12" s="10" customFormat="1" ht="18" customHeight="1">
      <c r="A3812" s="149"/>
      <c r="B3812" s="149"/>
      <c r="C3812" s="149" t="s">
        <v>3801</v>
      </c>
      <c r="D3812" s="149"/>
      <c r="E3812" s="149"/>
      <c r="F3812" s="149"/>
      <c r="G3812" s="149"/>
      <c r="H3812" s="12"/>
      <c r="I3812" s="149" t="s">
        <v>9626</v>
      </c>
      <c r="J3812" s="20" t="e">
        <f>IF(shinsei_strtower29_BUILD_KUBUN_TEXT="建築基準法第20条第２号に掲げる建築物","■","□")</f>
        <v>#NAME?</v>
      </c>
    </row>
    <row r="3813" spans="1:12" s="10" customFormat="1" ht="18" customHeight="1">
      <c r="A3813" s="149"/>
      <c r="B3813" s="149"/>
      <c r="C3813" s="149" t="s">
        <v>3801</v>
      </c>
      <c r="D3813" s="149"/>
      <c r="E3813" s="149"/>
      <c r="F3813" s="149"/>
      <c r="G3813" s="149"/>
      <c r="H3813" s="12"/>
      <c r="I3813" s="149" t="s">
        <v>9627</v>
      </c>
      <c r="J3813" s="20" t="e">
        <f>IF(shinsei_strtower29_BUILD_KUBUN_TEXT="建築基準法第20条第３号に掲げる建築物","■","□")</f>
        <v>#NAME?</v>
      </c>
    </row>
    <row r="3814" spans="1:12" s="10" customFormat="1" ht="18" customHeight="1">
      <c r="A3814" s="12"/>
      <c r="B3814" s="12" t="s">
        <v>9628</v>
      </c>
      <c r="C3814" s="12"/>
      <c r="D3814" s="12"/>
      <c r="E3814" s="11"/>
      <c r="F3814" s="11"/>
      <c r="G3814" s="9" t="s">
        <v>9629</v>
      </c>
      <c r="H3814" s="13"/>
      <c r="I3814" s="9" t="s">
        <v>9630</v>
      </c>
      <c r="J3814" s="25" t="e">
        <f>IF(shinsei_strtower29_MENJYO_TEXT="","",shinsei_strtower29_MENJYO_TEXT)</f>
        <v>#NAME?</v>
      </c>
      <c r="K3814" s="10" t="s">
        <v>9582</v>
      </c>
    </row>
    <row r="3815" spans="1:12" s="10" customFormat="1" ht="18" customHeight="1">
      <c r="A3815" s="12"/>
      <c r="B3815" s="12" t="s">
        <v>3935</v>
      </c>
      <c r="C3815" s="12"/>
      <c r="D3815" s="12"/>
      <c r="E3815" s="11"/>
      <c r="F3815" s="11"/>
      <c r="G3815" s="9" t="s">
        <v>9631</v>
      </c>
      <c r="H3815" s="20"/>
      <c r="I3815" s="9" t="s">
        <v>9632</v>
      </c>
      <c r="J3815" s="25" t="e">
        <f>IF(shinsei_strtower29_PROGRAM_KIND="","",shinsei_strtower29_PROGRAM_KIND)</f>
        <v>#NAME?</v>
      </c>
      <c r="K3815" s="10" t="s">
        <v>5704</v>
      </c>
    </row>
    <row r="3816" spans="1:12" s="10" customFormat="1" ht="18" customHeight="1">
      <c r="B3816" s="12" t="s">
        <v>3939</v>
      </c>
      <c r="C3816" s="12"/>
      <c r="D3816" s="12"/>
      <c r="G3816" s="9" t="s">
        <v>9633</v>
      </c>
      <c r="H3816" s="13"/>
      <c r="I3816" s="10" t="s">
        <v>9634</v>
      </c>
      <c r="J3816" s="25" t="e">
        <f>IF(shinsei_strtower29_REI80_2_KOKUJI_TEXT="","",shinsei_strtower29_REI80_2_KOKUJI_TEXT)</f>
        <v>#NAME?</v>
      </c>
    </row>
    <row r="3817" spans="1:12" s="10" customFormat="1" ht="18" customHeight="1">
      <c r="B3817" s="12" t="s">
        <v>3943</v>
      </c>
      <c r="C3817" s="12"/>
      <c r="D3817" s="12"/>
      <c r="G3817" s="9" t="s">
        <v>9635</v>
      </c>
      <c r="H3817" s="13"/>
      <c r="I3817" s="10" t="s">
        <v>9636</v>
      </c>
      <c r="J3817" s="25" t="e">
        <f>IF(shinsei_strtower29_PROGRAM_KIND__nintei__box="■",2,IF(OR(shinsei_strtower29_PROGRAM_KIND__hyouka__box="■",shinsei_strtower29_PROGRAM_KIND__sonota__box="■"),1,0))</f>
        <v>#NAME?</v>
      </c>
      <c r="K3817" s="10" t="s">
        <v>3946</v>
      </c>
    </row>
    <row r="3818" spans="1:12" s="10" customFormat="1" ht="18" customHeight="1">
      <c r="B3818" s="12" t="s">
        <v>3947</v>
      </c>
      <c r="C3818" s="12"/>
      <c r="D3818" s="12"/>
      <c r="G3818" s="9" t="s">
        <v>9637</v>
      </c>
      <c r="H3818" s="13"/>
    </row>
    <row r="3819" spans="1:12" s="10" customFormat="1" ht="18" customHeight="1">
      <c r="B3819" s="12" t="s">
        <v>4305</v>
      </c>
      <c r="C3819" s="12"/>
      <c r="D3819" s="12"/>
      <c r="G3819" s="9" t="s">
        <v>9638</v>
      </c>
      <c r="H3819" s="13"/>
    </row>
    <row r="3820" spans="1:12" s="10" customFormat="1" ht="18" customHeight="1">
      <c r="B3820" s="105" t="s">
        <v>9639</v>
      </c>
      <c r="C3820" s="105"/>
      <c r="D3820" s="105"/>
      <c r="E3820" s="24"/>
      <c r="F3820" s="24"/>
      <c r="G3820" s="9"/>
      <c r="H3820" s="12"/>
    </row>
    <row r="3821" spans="1:12" s="10" customFormat="1" ht="18" customHeight="1">
      <c r="B3821" s="10" t="s">
        <v>9640</v>
      </c>
      <c r="D3821" s="12"/>
      <c r="G3821" s="9" t="s">
        <v>9641</v>
      </c>
      <c r="H3821" s="13"/>
      <c r="K3821" s="10" t="s">
        <v>9582</v>
      </c>
      <c r="L3821" s="10" t="s">
        <v>3879</v>
      </c>
    </row>
    <row r="3822" spans="1:12" s="10" customFormat="1" ht="18" customHeight="1">
      <c r="B3822" s="10" t="s">
        <v>9642</v>
      </c>
      <c r="C3822" s="12"/>
      <c r="D3822" s="12"/>
      <c r="E3822" s="12"/>
      <c r="F3822" s="12"/>
      <c r="G3822" s="9" t="s">
        <v>9643</v>
      </c>
      <c r="H3822" s="13"/>
    </row>
    <row r="3823" spans="1:12" s="10" customFormat="1" ht="18" customHeight="1">
      <c r="B3823" s="10" t="s">
        <v>3957</v>
      </c>
      <c r="C3823" s="12"/>
      <c r="D3823" s="12"/>
      <c r="G3823" s="9"/>
      <c r="H3823" s="9"/>
      <c r="I3823" s="10" t="s">
        <v>9644</v>
      </c>
      <c r="J3823" s="25" t="e">
        <f>IF(shinsei_strtower29_prgo01_NAME="","",IF(shinsei_strtower29_prgo01_NINTEI_NO="","無","有"))</f>
        <v>#NAME?</v>
      </c>
      <c r="K3823" s="10" t="s">
        <v>3959</v>
      </c>
      <c r="L3823" s="10" t="s">
        <v>3879</v>
      </c>
    </row>
    <row r="3824" spans="1:12" s="10" customFormat="1" ht="18" customHeight="1">
      <c r="B3824" s="10" t="s">
        <v>3960</v>
      </c>
      <c r="C3824" s="12"/>
      <c r="D3824" s="12"/>
      <c r="G3824" s="9" t="s">
        <v>9645</v>
      </c>
      <c r="H3824" s="13"/>
      <c r="I3824" s="10" t="s">
        <v>9646</v>
      </c>
      <c r="J3824" s="25" t="e">
        <f>IF(shinsei_strtower29_prgo01_NINTEI_NO="","",shinsei_strtower29_prgo01_NINTEI_NO)</f>
        <v>#NAME?</v>
      </c>
      <c r="K3824" s="10" t="s">
        <v>9647</v>
      </c>
      <c r="L3824" s="10" t="s">
        <v>3879</v>
      </c>
    </row>
    <row r="3825" spans="2:12" s="10" customFormat="1" ht="18" customHeight="1">
      <c r="B3825" s="10" t="s">
        <v>3964</v>
      </c>
      <c r="C3825" s="12"/>
      <c r="D3825" s="12"/>
      <c r="G3825" s="9" t="s">
        <v>9648</v>
      </c>
      <c r="H3825" s="74"/>
      <c r="I3825" s="10" t="s">
        <v>9649</v>
      </c>
      <c r="J3825" s="25" t="e">
        <f>IF(shinsei_strtower29_prgo01_NINTEI_DATE="","",TEXT(shinsei_strtower29_prgo01_NINTEI_DATE,"ggge年m月d日")&amp;"  ")</f>
        <v>#NAME?</v>
      </c>
    </row>
    <row r="3826" spans="2:12" s="10" customFormat="1" ht="18" customHeight="1">
      <c r="B3826" s="10" t="s">
        <v>9650</v>
      </c>
      <c r="C3826" s="12"/>
      <c r="D3826" s="12"/>
      <c r="G3826" s="9" t="s">
        <v>9651</v>
      </c>
      <c r="H3826" s="13"/>
    </row>
    <row r="3827" spans="2:12" s="10" customFormat="1" ht="18" customHeight="1">
      <c r="C3827" s="12" t="s">
        <v>3970</v>
      </c>
      <c r="D3827" s="12"/>
      <c r="G3827" s="9"/>
      <c r="H3827" s="12"/>
      <c r="I3827" s="9" t="s">
        <v>9652</v>
      </c>
      <c r="J3827" s="25" t="e">
        <f>IF(shinsei_strtower29_prgo01_NAME="","",shinsei_strtower29_prgo01_NAME)&amp;CHAR(10)&amp;IF(shinsei_strtower29_prgo01_VER="","","Ver."&amp;shinsei_strtower29_prgo01_VER&amp;CHAR(10))</f>
        <v>#NAME?</v>
      </c>
    </row>
    <row r="3828" spans="2:12" s="10" customFormat="1" ht="18" customHeight="1">
      <c r="C3828" s="12" t="s">
        <v>3972</v>
      </c>
      <c r="D3828" s="12"/>
      <c r="G3828" s="9"/>
      <c r="H3828" s="12"/>
      <c r="I3828" s="9" t="s">
        <v>9653</v>
      </c>
      <c r="J3828" s="25" t="e">
        <f>IF(shinsei_strtower29_prgo01_NAME="","",shinsei_strtower29_prgo01_NAME&amp;" ")&amp;IF(shinsei_strtower29_prgo01_VER="","","Ver."&amp;shinsei_strtower29_prgo01_VER&amp;"  ")</f>
        <v>#NAME?</v>
      </c>
    </row>
    <row r="3829" spans="2:12" s="10" customFormat="1" ht="18" customHeight="1">
      <c r="C3829" s="12" t="s">
        <v>3974</v>
      </c>
      <c r="D3829" s="12"/>
      <c r="G3829" s="9"/>
      <c r="H3829" s="12"/>
    </row>
    <row r="3830" spans="2:12" s="10" customFormat="1" ht="18" customHeight="1">
      <c r="D3830" s="12" t="s">
        <v>9654</v>
      </c>
      <c r="G3830" s="9"/>
      <c r="H3830" s="12"/>
      <c r="I3830" s="9" t="s">
        <v>9655</v>
      </c>
      <c r="J3830" s="173" t="e">
        <f>IF(cst_shinsei_strtower29_prgo01_NINTEI__umu="有",IF(shinsei_strtower29_prgo01_MAKER_NAME="","",shinsei_strtower29_prgo01_MAKER_NAME&amp;"  "),"")</f>
        <v>#NAME?</v>
      </c>
    </row>
    <row r="3831" spans="2:12" s="10" customFormat="1" ht="18" customHeight="1">
      <c r="B3831" s="12"/>
      <c r="D3831" s="12" t="s">
        <v>3972</v>
      </c>
      <c r="G3831" s="9"/>
      <c r="H3831" s="12"/>
      <c r="I3831" s="9" t="s">
        <v>9656</v>
      </c>
      <c r="J3831" s="25" t="e">
        <f>IF(cst_shinsei_strtower29_prgo01_NINTEI__umu="有",IF(shinsei_strtower29_prgo01_NAME="","",shinsei_strtower29_prgo01_NAME&amp;" ")&amp;IF(shinsei_strtower29_prgo01_VER="","","Ver."&amp;shinsei_strtower29_prgo01_VER&amp;"  "),"")</f>
        <v>#NAME?</v>
      </c>
    </row>
    <row r="3832" spans="2:12" s="10" customFormat="1" ht="18" customHeight="1">
      <c r="C3832" s="12" t="s">
        <v>3981</v>
      </c>
      <c r="D3832" s="12"/>
      <c r="G3832" s="9"/>
      <c r="H3832" s="12"/>
    </row>
    <row r="3833" spans="2:12" s="10" customFormat="1" ht="18" customHeight="1">
      <c r="B3833" s="12"/>
      <c r="D3833" s="12" t="s">
        <v>9654</v>
      </c>
      <c r="G3833" s="9"/>
      <c r="H3833" s="12"/>
      <c r="I3833" s="9" t="s">
        <v>9657</v>
      </c>
      <c r="J3833" s="173" t="e">
        <f>IF(cst_shinsei_strtower29_prgo01_NINTEI__umu="無",IF(shinsei_strtower29_prgo01_MAKER_NAME="","",shinsei_strtower29_prgo01_MAKER_NAME&amp;"  "),"")</f>
        <v>#NAME?</v>
      </c>
    </row>
    <row r="3834" spans="2:12" s="10" customFormat="1" ht="18" customHeight="1">
      <c r="B3834" s="12"/>
      <c r="D3834" s="12" t="s">
        <v>3972</v>
      </c>
      <c r="G3834" s="9"/>
      <c r="H3834" s="12"/>
      <c r="I3834" s="9" t="s">
        <v>9658</v>
      </c>
      <c r="J3834" s="25" t="e">
        <f>IF(cst_shinsei_strtower29_prgo01_NINTEI__umu="無",IF(shinsei_strtower29_prgo01_NAME="","",shinsei_strtower29_prgo01_NAME&amp;" ")&amp;IF(shinsei_strtower29_prgo01_VER="","","Ver."&amp;shinsei_strtower29_prgo01_VER&amp;"  "),"")</f>
        <v>#NAME?</v>
      </c>
    </row>
    <row r="3835" spans="2:12" s="10" customFormat="1" ht="18" customHeight="1">
      <c r="B3835" s="105" t="s">
        <v>9659</v>
      </c>
      <c r="C3835" s="105"/>
      <c r="D3835" s="105"/>
      <c r="E3835" s="24"/>
      <c r="F3835" s="24"/>
      <c r="G3835" s="9"/>
      <c r="H3835" s="12"/>
    </row>
    <row r="3836" spans="2:12" s="10" customFormat="1" ht="18" customHeight="1">
      <c r="B3836" s="10" t="s">
        <v>9660</v>
      </c>
      <c r="D3836" s="12"/>
      <c r="G3836" s="9" t="s">
        <v>9661</v>
      </c>
      <c r="H3836" s="13"/>
      <c r="K3836" s="10" t="s">
        <v>9582</v>
      </c>
      <c r="L3836" s="10" t="s">
        <v>3879</v>
      </c>
    </row>
    <row r="3837" spans="2:12" s="10" customFormat="1" ht="18" customHeight="1">
      <c r="B3837" s="10" t="s">
        <v>9642</v>
      </c>
      <c r="C3837" s="12"/>
      <c r="D3837" s="12"/>
      <c r="G3837" s="9" t="s">
        <v>9662</v>
      </c>
      <c r="H3837" s="13"/>
    </row>
    <row r="3838" spans="2:12" s="10" customFormat="1" ht="18" customHeight="1">
      <c r="B3838" s="10" t="s">
        <v>3957</v>
      </c>
      <c r="C3838" s="12"/>
      <c r="D3838" s="12"/>
      <c r="G3838" s="9"/>
      <c r="H3838" s="9"/>
      <c r="I3838" s="10" t="s">
        <v>9663</v>
      </c>
      <c r="J3838" s="25" t="e">
        <f>IF(shinsei_strtower29_prgo02_NAME="","",IF(shinsei_strtower29_prgo02_NINTEI_NO="","無","有"))</f>
        <v>#NAME?</v>
      </c>
      <c r="L3838" s="10" t="s">
        <v>3879</v>
      </c>
    </row>
    <row r="3839" spans="2:12" s="10" customFormat="1" ht="18" customHeight="1">
      <c r="B3839" s="10" t="s">
        <v>3960</v>
      </c>
      <c r="C3839" s="12"/>
      <c r="D3839" s="12"/>
      <c r="G3839" s="9" t="s">
        <v>9664</v>
      </c>
      <c r="H3839" s="13"/>
      <c r="K3839" s="10" t="s">
        <v>9582</v>
      </c>
      <c r="L3839" s="10" t="s">
        <v>3879</v>
      </c>
    </row>
    <row r="3840" spans="2:12" s="10" customFormat="1" ht="18" customHeight="1">
      <c r="B3840" s="10" t="s">
        <v>3964</v>
      </c>
      <c r="C3840" s="12"/>
      <c r="D3840" s="12"/>
      <c r="G3840" s="9" t="s">
        <v>9665</v>
      </c>
      <c r="H3840" s="74"/>
      <c r="I3840" s="10" t="s">
        <v>9666</v>
      </c>
      <c r="J3840" s="25" t="e">
        <f>IF(shinsei_strtower29_prgo02_NINTEI_DATE="","",shinsei_strtower29_prgo02_NINTEI_DATE)</f>
        <v>#NAME?</v>
      </c>
    </row>
    <row r="3841" spans="2:12" s="10" customFormat="1" ht="18" customHeight="1">
      <c r="B3841" s="10" t="s">
        <v>9650</v>
      </c>
      <c r="C3841" s="12"/>
      <c r="D3841" s="12"/>
      <c r="G3841" s="9" t="s">
        <v>9667</v>
      </c>
      <c r="H3841" s="13"/>
    </row>
    <row r="3842" spans="2:12" s="10" customFormat="1" ht="18" customHeight="1">
      <c r="C3842" s="12" t="s">
        <v>3970</v>
      </c>
      <c r="D3842" s="12"/>
      <c r="G3842" s="9"/>
      <c r="H3842" s="12"/>
      <c r="I3842" s="9" t="s">
        <v>9668</v>
      </c>
      <c r="J3842" s="25" t="e">
        <f>IF(shinsei_strtower29_prgo02_NAME="","",shinsei_strtower29_prgo02_NAME)&amp;CHAR(10)&amp;IF(shinsei_strtower29_prgo02_VER="","","Ver."&amp;shinsei_strtower29_prgo02_VER&amp;CHAR(10))</f>
        <v>#NAME?</v>
      </c>
    </row>
    <row r="3843" spans="2:12" s="10" customFormat="1" ht="18" customHeight="1">
      <c r="C3843" s="12" t="s">
        <v>3972</v>
      </c>
      <c r="D3843" s="12"/>
      <c r="G3843" s="9"/>
      <c r="H3843" s="12"/>
      <c r="I3843" s="9" t="s">
        <v>9669</v>
      </c>
      <c r="J3843" s="25" t="e">
        <f>IF(shinsei_strtower29_prgo02_NAME="","",shinsei_strtower29_prgo02_NAME&amp;" ")&amp;IF(shinsei_strtower29_prgo02_VER="","","Ver."&amp;shinsei_strtower29_prgo02_VER&amp;"  ")</f>
        <v>#NAME?</v>
      </c>
    </row>
    <row r="3844" spans="2:12" s="10" customFormat="1" ht="18" customHeight="1">
      <c r="C3844" s="12" t="s">
        <v>3974</v>
      </c>
      <c r="D3844" s="12"/>
      <c r="G3844" s="9"/>
      <c r="H3844" s="12"/>
    </row>
    <row r="3845" spans="2:12" s="10" customFormat="1" ht="18" customHeight="1">
      <c r="D3845" s="12" t="s">
        <v>9654</v>
      </c>
      <c r="G3845" s="9"/>
      <c r="H3845" s="12"/>
      <c r="I3845" s="9" t="s">
        <v>9670</v>
      </c>
      <c r="J3845" s="173" t="e">
        <f>IF(cst_shinsei_strtower29_prgo02_NINTEI__umu="有",IF(shinsei_strtower29_prgo02_MAKER_NAME="","",shinsei_strtower29_prgo02_MAKER_NAME&amp;"  "),"")</f>
        <v>#NAME?</v>
      </c>
    </row>
    <row r="3846" spans="2:12" s="10" customFormat="1" ht="18" customHeight="1">
      <c r="D3846" s="12" t="s">
        <v>3972</v>
      </c>
      <c r="G3846" s="9"/>
      <c r="H3846" s="12"/>
      <c r="I3846" s="9" t="s">
        <v>9671</v>
      </c>
      <c r="J3846" s="25" t="e">
        <f>IF(cst_shinsei_strtower29_prgo02_NINTEI__umu="有",IF(shinsei_strtower29_prgo02_NAME="","",shinsei_strtower29_prgo02_NAME&amp;" ")&amp;IF(shinsei_strtower29_prgo02_VER="","","Ver."&amp;shinsei_strtower29_prgo02_VER&amp;"  "),"")</f>
        <v>#NAME?</v>
      </c>
    </row>
    <row r="3847" spans="2:12" s="10" customFormat="1" ht="18" customHeight="1">
      <c r="C3847" s="12" t="s">
        <v>3981</v>
      </c>
      <c r="D3847" s="12"/>
      <c r="G3847" s="9"/>
      <c r="H3847" s="12"/>
    </row>
    <row r="3848" spans="2:12" s="10" customFormat="1" ht="18" customHeight="1">
      <c r="D3848" s="12" t="s">
        <v>9654</v>
      </c>
      <c r="G3848" s="9"/>
      <c r="H3848" s="12"/>
      <c r="I3848" s="9" t="s">
        <v>9672</v>
      </c>
      <c r="J3848" s="173" t="e">
        <f>IF(cst_shinsei_strtower29_prgo02_NINTEI__umu="無",IF(shinsei_strtower29_prgo02_MAKER_NAME="","",shinsei_strtower29_prgo02_MAKER_NAME&amp;"  "),"")</f>
        <v>#NAME?</v>
      </c>
    </row>
    <row r="3849" spans="2:12" s="10" customFormat="1" ht="18" customHeight="1">
      <c r="D3849" s="12" t="s">
        <v>3972</v>
      </c>
      <c r="G3849" s="9"/>
      <c r="H3849" s="12"/>
      <c r="I3849" s="9" t="s">
        <v>9673</v>
      </c>
      <c r="J3849" s="25" t="e">
        <f>IF(cst_shinsei_strtower29_prgo02_NINTEI__umu="無",IF(shinsei_strtower29_prgo02_NAME="","",shinsei_strtower29_prgo02_NAME&amp;" ")&amp;IF(shinsei_strtower29_prgo02_VER="","","Ver."&amp;shinsei_strtower29_prgo02_VER&amp;"  "),"")</f>
        <v>#NAME?</v>
      </c>
    </row>
    <row r="3850" spans="2:12" s="10" customFormat="1" ht="18" customHeight="1">
      <c r="B3850" s="105" t="s">
        <v>9674</v>
      </c>
      <c r="C3850" s="105"/>
      <c r="D3850" s="105"/>
      <c r="E3850" s="24"/>
      <c r="F3850" s="24"/>
      <c r="G3850" s="9"/>
      <c r="H3850" s="12"/>
    </row>
    <row r="3851" spans="2:12" s="10" customFormat="1" ht="18" customHeight="1">
      <c r="B3851" s="10" t="s">
        <v>9675</v>
      </c>
      <c r="D3851" s="12"/>
      <c r="G3851" s="9" t="s">
        <v>9676</v>
      </c>
      <c r="H3851" s="13"/>
    </row>
    <row r="3852" spans="2:12" s="10" customFormat="1" ht="18" customHeight="1">
      <c r="B3852" s="10" t="s">
        <v>9642</v>
      </c>
      <c r="C3852" s="12"/>
      <c r="D3852" s="12"/>
      <c r="G3852" s="9" t="s">
        <v>9677</v>
      </c>
      <c r="H3852" s="13"/>
    </row>
    <row r="3853" spans="2:12" s="10" customFormat="1" ht="18" customHeight="1">
      <c r="C3853" s="12" t="s">
        <v>3957</v>
      </c>
      <c r="D3853" s="12"/>
      <c r="G3853" s="9"/>
      <c r="H3853" s="9"/>
      <c r="I3853" s="10" t="s">
        <v>9678</v>
      </c>
      <c r="J3853" s="25" t="e">
        <f>IF(shinsei_strtower29_prgo03_NAME="","",IF(shinsei_strtower29_prgo03_NINTEI_NO="","無","有"))</f>
        <v>#NAME?</v>
      </c>
      <c r="K3853" s="10" t="s">
        <v>2941</v>
      </c>
      <c r="L3853" s="10" t="s">
        <v>3879</v>
      </c>
    </row>
    <row r="3854" spans="2:12" s="10" customFormat="1" ht="18" customHeight="1">
      <c r="C3854" s="12" t="s">
        <v>3960</v>
      </c>
      <c r="D3854" s="12"/>
      <c r="G3854" s="9" t="s">
        <v>9679</v>
      </c>
      <c r="H3854" s="13"/>
      <c r="K3854" s="10" t="s">
        <v>9582</v>
      </c>
      <c r="L3854" s="10" t="s">
        <v>3879</v>
      </c>
    </row>
    <row r="3855" spans="2:12" s="10" customFormat="1" ht="18" customHeight="1">
      <c r="C3855" s="12" t="s">
        <v>3964</v>
      </c>
      <c r="D3855" s="12"/>
      <c r="G3855" s="9" t="s">
        <v>9680</v>
      </c>
      <c r="H3855" s="74"/>
      <c r="I3855" s="10" t="s">
        <v>9681</v>
      </c>
      <c r="J3855" s="25" t="e">
        <f>IF(shinsei_strtower29_prgo03_NINTEI_DATE="","",TEXT(shinsei_strtower29_prgo03_NINTEI_DATE,"ggge年m月d日")&amp;"  ")</f>
        <v>#NAME?</v>
      </c>
    </row>
    <row r="3856" spans="2:12" s="10" customFormat="1" ht="18" customHeight="1">
      <c r="B3856" s="10" t="s">
        <v>9650</v>
      </c>
      <c r="C3856" s="12"/>
      <c r="D3856" s="12"/>
      <c r="G3856" s="9" t="s">
        <v>9682</v>
      </c>
      <c r="H3856" s="13"/>
      <c r="I3856" s="9"/>
      <c r="J3856" s="9"/>
    </row>
    <row r="3857" spans="2:12" s="10" customFormat="1" ht="18" customHeight="1">
      <c r="C3857" s="12" t="s">
        <v>3970</v>
      </c>
      <c r="D3857" s="12"/>
      <c r="G3857" s="9"/>
      <c r="H3857" s="12"/>
      <c r="I3857" s="9" t="s">
        <v>9683</v>
      </c>
      <c r="J3857" s="25" t="e">
        <f>IF(shinsei_strtower29_prgo03_NAME="","",shinsei_strtower29_prgo03_NAME)&amp;CHAR(10)&amp;IF(shinsei_strtower29_prgo03_VER="","","Ver."&amp;shinsei_strtower29_prgo03_VER&amp;CHAR(10))</f>
        <v>#NAME?</v>
      </c>
    </row>
    <row r="3858" spans="2:12" s="10" customFormat="1" ht="18" customHeight="1">
      <c r="C3858" s="12" t="s">
        <v>3972</v>
      </c>
      <c r="D3858" s="12"/>
      <c r="G3858" s="9"/>
      <c r="H3858" s="12"/>
      <c r="I3858" s="9" t="s">
        <v>9684</v>
      </c>
      <c r="J3858" s="25" t="e">
        <f>IF(shinsei_strtower29_prgo03_NAME="","",shinsei_strtower29_prgo03_NAME&amp;" ")&amp;IF(shinsei_strtower29_prgo03_VER="","","Ver."&amp;shinsei_strtower29_prgo03_VER&amp;"  ")</f>
        <v>#NAME?</v>
      </c>
    </row>
    <row r="3859" spans="2:12" s="10" customFormat="1" ht="18" customHeight="1">
      <c r="C3859" s="12" t="s">
        <v>3974</v>
      </c>
      <c r="D3859" s="12"/>
      <c r="G3859" s="9"/>
      <c r="H3859" s="12"/>
    </row>
    <row r="3860" spans="2:12" s="10" customFormat="1" ht="18" customHeight="1">
      <c r="D3860" s="12" t="s">
        <v>9654</v>
      </c>
      <c r="G3860" s="9"/>
      <c r="H3860" s="12"/>
      <c r="I3860" s="9" t="s">
        <v>9685</v>
      </c>
      <c r="J3860" s="173" t="e">
        <f>IF(cst_shinsei_strtower29_prgo03_NINTEI__umu="有",IF(shinsei_strtower29_prgo03_MAKER_NAME="","",shinsei_strtower29_prgo03_MAKER_NAME&amp;"  "),"")</f>
        <v>#NAME?</v>
      </c>
    </row>
    <row r="3861" spans="2:12" s="10" customFormat="1" ht="18" customHeight="1">
      <c r="D3861" s="12" t="s">
        <v>3972</v>
      </c>
      <c r="G3861" s="9"/>
      <c r="H3861" s="12"/>
      <c r="I3861" s="9" t="s">
        <v>9686</v>
      </c>
      <c r="J3861" s="25" t="e">
        <f>IF(cst_shinsei_strtower29_prgo03_NINTEI__umu="有",IF(shinsei_strtower29_prgo03_NAME="","",shinsei_strtower29_prgo03_NAME&amp;" ")&amp;IF(shinsei_strtower29_prgo03_VER="","","Ver."&amp;shinsei_strtower29_prgo03_VER&amp;"  "),"")</f>
        <v>#NAME?</v>
      </c>
    </row>
    <row r="3862" spans="2:12" s="10" customFormat="1" ht="18" customHeight="1">
      <c r="C3862" s="12" t="s">
        <v>3981</v>
      </c>
      <c r="D3862" s="12"/>
      <c r="G3862" s="9"/>
      <c r="H3862" s="12"/>
    </row>
    <row r="3863" spans="2:12" s="10" customFormat="1" ht="18" customHeight="1">
      <c r="D3863" s="12" t="s">
        <v>9654</v>
      </c>
      <c r="G3863" s="9"/>
      <c r="H3863" s="12"/>
      <c r="I3863" s="9" t="s">
        <v>9687</v>
      </c>
      <c r="J3863" s="173" t="e">
        <f>IF(cst_shinsei_strtower29_prgo03_NINTEI__umu="無",IF(shinsei_strtower29_prgo03_MAKER_NAME="","",shinsei_strtower29_prgo03_MAKER_NAME&amp;"  "),"")</f>
        <v>#NAME?</v>
      </c>
    </row>
    <row r="3864" spans="2:12" s="10" customFormat="1" ht="18" customHeight="1">
      <c r="D3864" s="12" t="s">
        <v>3972</v>
      </c>
      <c r="G3864" s="9"/>
      <c r="H3864" s="12"/>
      <c r="I3864" s="9" t="s">
        <v>9688</v>
      </c>
      <c r="J3864" s="25" t="e">
        <f>IF(cst_shinsei_strtower29_prgo03_NINTEI__umu="無",IF(shinsei_strtower29_prgo03_NAME="","",shinsei_strtower29_prgo03_NAME&amp;" ")&amp;IF(shinsei_strtower29_prgo03_VER="","","Ver."&amp;shinsei_strtower29_prgo03_VER&amp;"  "),"")</f>
        <v>#NAME?</v>
      </c>
    </row>
    <row r="3865" spans="2:12" s="10" customFormat="1" ht="18" customHeight="1">
      <c r="B3865" s="105" t="s">
        <v>9689</v>
      </c>
      <c r="C3865" s="105"/>
      <c r="D3865" s="105"/>
      <c r="E3865" s="24"/>
      <c r="F3865" s="24"/>
      <c r="G3865" s="9"/>
      <c r="H3865" s="12"/>
    </row>
    <row r="3866" spans="2:12" s="10" customFormat="1" ht="18" customHeight="1">
      <c r="B3866" s="10" t="s">
        <v>9690</v>
      </c>
      <c r="D3866" s="12"/>
      <c r="G3866" s="9" t="s">
        <v>9691</v>
      </c>
      <c r="H3866" s="13"/>
    </row>
    <row r="3867" spans="2:12" s="10" customFormat="1" ht="18" customHeight="1">
      <c r="B3867" s="10" t="s">
        <v>9642</v>
      </c>
      <c r="C3867" s="12"/>
      <c r="D3867" s="12"/>
      <c r="G3867" s="9" t="s">
        <v>9692</v>
      </c>
      <c r="H3867" s="13"/>
    </row>
    <row r="3868" spans="2:12" s="10" customFormat="1" ht="18" customHeight="1">
      <c r="C3868" s="12" t="s">
        <v>3957</v>
      </c>
      <c r="D3868" s="12"/>
      <c r="G3868" s="9"/>
      <c r="H3868" s="9"/>
      <c r="I3868" s="10" t="s">
        <v>9693</v>
      </c>
      <c r="J3868" s="25" t="e">
        <f>IF(shinsei_strtower29_prgo04_NAME="","",IF(shinsei_strtower29_prgo04_NINTEI_NO="","無","有"))</f>
        <v>#NAME?</v>
      </c>
      <c r="K3868" s="10" t="s">
        <v>2941</v>
      </c>
      <c r="L3868" s="10" t="s">
        <v>3879</v>
      </c>
    </row>
    <row r="3869" spans="2:12" s="10" customFormat="1" ht="18" customHeight="1">
      <c r="C3869" s="12" t="s">
        <v>3960</v>
      </c>
      <c r="D3869" s="12"/>
      <c r="G3869" s="9" t="s">
        <v>9694</v>
      </c>
      <c r="H3869" s="13"/>
      <c r="K3869" s="10" t="s">
        <v>9695</v>
      </c>
      <c r="L3869" s="10" t="s">
        <v>3879</v>
      </c>
    </row>
    <row r="3870" spans="2:12" s="10" customFormat="1" ht="18" customHeight="1">
      <c r="C3870" s="12" t="s">
        <v>3964</v>
      </c>
      <c r="D3870" s="12"/>
      <c r="G3870" s="9" t="s">
        <v>9696</v>
      </c>
      <c r="H3870" s="74"/>
      <c r="I3870" s="10" t="s">
        <v>9697</v>
      </c>
      <c r="J3870" s="25" t="e">
        <f>IF(shinsei_strtower29_prgo04_NINTEI_DATE="","",TEXT(shinsei_strtower29_prgo04_NINTEI_DATE,"ggge年m月d日")&amp;"  ")</f>
        <v>#NAME?</v>
      </c>
    </row>
    <row r="3871" spans="2:12" s="10" customFormat="1" ht="18" customHeight="1">
      <c r="B3871" s="10" t="s">
        <v>9698</v>
      </c>
      <c r="C3871" s="12"/>
      <c r="D3871" s="12"/>
      <c r="G3871" s="9" t="s">
        <v>9699</v>
      </c>
      <c r="H3871" s="13"/>
      <c r="I3871" s="9"/>
      <c r="J3871" s="9"/>
    </row>
    <row r="3872" spans="2:12" s="10" customFormat="1" ht="18" customHeight="1">
      <c r="C3872" s="12" t="s">
        <v>3970</v>
      </c>
      <c r="D3872" s="12"/>
      <c r="G3872" s="9"/>
      <c r="H3872" s="12"/>
      <c r="I3872" s="9" t="s">
        <v>9700</v>
      </c>
      <c r="J3872" s="25" t="e">
        <f>IF(shinsei_strtower29_prgo04_NAME="","",shinsei_strtower29_prgo04_NAME)&amp;CHAR(10)&amp;IF(shinsei_strtower29_prgo04_VER="","","Ver."&amp;shinsei_strtower29_prgo04_VER&amp;CHAR(10))</f>
        <v>#NAME?</v>
      </c>
    </row>
    <row r="3873" spans="2:12" s="10" customFormat="1" ht="18" customHeight="1">
      <c r="C3873" s="12" t="s">
        <v>3972</v>
      </c>
      <c r="D3873" s="12"/>
      <c r="G3873" s="9"/>
      <c r="H3873" s="12"/>
      <c r="I3873" s="9" t="s">
        <v>9701</v>
      </c>
      <c r="J3873" s="25" t="e">
        <f>IF(shinsei_strtower29_prgo04_NAME="","",shinsei_strtower29_prgo04_NAME&amp;" ")&amp;IF(shinsei_strtower29_prgo04_VER="","","Ver."&amp;shinsei_strtower29_prgo04_VER&amp;"  ")</f>
        <v>#NAME?</v>
      </c>
    </row>
    <row r="3874" spans="2:12" s="10" customFormat="1" ht="18" customHeight="1">
      <c r="C3874" s="12" t="s">
        <v>3974</v>
      </c>
      <c r="D3874" s="12"/>
      <c r="G3874" s="9"/>
      <c r="H3874" s="12"/>
    </row>
    <row r="3875" spans="2:12" s="10" customFormat="1" ht="18" customHeight="1">
      <c r="D3875" s="12" t="s">
        <v>9702</v>
      </c>
      <c r="G3875" s="9"/>
      <c r="H3875" s="12"/>
      <c r="I3875" s="9" t="s">
        <v>9703</v>
      </c>
      <c r="J3875" s="173" t="e">
        <f>IF(cst_shinsei_strtower29_prgo04_NINTEI__umu="有",IF(shinsei_strtower29_prgo04_MAKER_NAME="","",shinsei_strtower29_prgo04_MAKER_NAME&amp;"  "),"")</f>
        <v>#NAME?</v>
      </c>
    </row>
    <row r="3876" spans="2:12" s="10" customFormat="1" ht="18" customHeight="1">
      <c r="D3876" s="12" t="s">
        <v>3972</v>
      </c>
      <c r="G3876" s="9"/>
      <c r="H3876" s="12"/>
      <c r="I3876" s="9" t="s">
        <v>9704</v>
      </c>
      <c r="J3876" s="25" t="e">
        <f>IF(cst_shinsei_strtower29_prgo04_NINTEI__umu="有",IF(shinsei_strtower29_prgo04_NAME="","",shinsei_strtower29_prgo04_NAME&amp;" ")&amp;IF(shinsei_strtower29_prgo04_VER="","","Ver."&amp;shinsei_strtower29_prgo04_VER&amp;"  "),"")</f>
        <v>#NAME?</v>
      </c>
    </row>
    <row r="3877" spans="2:12" s="10" customFormat="1" ht="18" customHeight="1">
      <c r="C3877" s="12" t="s">
        <v>3981</v>
      </c>
      <c r="D3877" s="12"/>
      <c r="G3877" s="9"/>
      <c r="H3877" s="12"/>
    </row>
    <row r="3878" spans="2:12" s="10" customFormat="1" ht="18" customHeight="1">
      <c r="D3878" s="12" t="s">
        <v>9702</v>
      </c>
      <c r="G3878" s="9"/>
      <c r="H3878" s="12"/>
      <c r="I3878" s="9" t="s">
        <v>9705</v>
      </c>
      <c r="J3878" s="173" t="e">
        <f>IF(cst_shinsei_strtower29_prgo04_NINTEI__umu="無",IF(shinsei_strtower29_prgo04_MAKER_NAME="","",shinsei_strtower29_prgo04_MAKER_NAME&amp;"  "),"")</f>
        <v>#NAME?</v>
      </c>
    </row>
    <row r="3879" spans="2:12" s="10" customFormat="1" ht="18" customHeight="1">
      <c r="D3879" s="12" t="s">
        <v>3972</v>
      </c>
      <c r="G3879" s="9"/>
      <c r="H3879" s="12"/>
      <c r="I3879" s="9" t="s">
        <v>9706</v>
      </c>
      <c r="J3879" s="25" t="e">
        <f>IF(cst_shinsei_strtower29_prgo04_NINTEI__umu="無",IF(shinsei_strtower29_prgo04_NAME="","",shinsei_strtower29_prgo04_NAME&amp;" ")&amp;IF(shinsei_strtower29_prgo04_VER="","","Ver."&amp;shinsei_strtower29_prgo04_VER&amp;"  "),"")</f>
        <v>#NAME?</v>
      </c>
    </row>
    <row r="3880" spans="2:12" s="10" customFormat="1" ht="18" customHeight="1">
      <c r="B3880" s="105" t="s">
        <v>9707</v>
      </c>
      <c r="C3880" s="105"/>
      <c r="D3880" s="105"/>
      <c r="E3880" s="24"/>
      <c r="F3880" s="24"/>
      <c r="G3880" s="9"/>
      <c r="H3880" s="12"/>
    </row>
    <row r="3881" spans="2:12" s="10" customFormat="1" ht="18" customHeight="1">
      <c r="B3881" s="10" t="s">
        <v>9708</v>
      </c>
      <c r="D3881" s="12"/>
      <c r="G3881" s="9" t="s">
        <v>9709</v>
      </c>
      <c r="H3881" s="13"/>
    </row>
    <row r="3882" spans="2:12" s="10" customFormat="1" ht="18" customHeight="1">
      <c r="B3882" s="10" t="s">
        <v>9710</v>
      </c>
      <c r="C3882" s="12"/>
      <c r="D3882" s="12"/>
      <c r="G3882" s="9" t="s">
        <v>9711</v>
      </c>
      <c r="H3882" s="13"/>
    </row>
    <row r="3883" spans="2:12" s="10" customFormat="1" ht="18" customHeight="1">
      <c r="C3883" s="12" t="s">
        <v>3957</v>
      </c>
      <c r="D3883" s="12"/>
      <c r="G3883" s="9"/>
      <c r="H3883" s="9"/>
      <c r="I3883" s="10" t="s">
        <v>9712</v>
      </c>
      <c r="J3883" s="25" t="e">
        <f>IF(shinsei_strtower29_prgo05_NAME="","",IF(shinsei_strtower29_prgo05_NINTEI_NO="","無","有"))</f>
        <v>#NAME?</v>
      </c>
      <c r="K3883" s="10" t="s">
        <v>2941</v>
      </c>
      <c r="L3883" s="10" t="s">
        <v>3879</v>
      </c>
    </row>
    <row r="3884" spans="2:12" s="10" customFormat="1" ht="18" customHeight="1">
      <c r="C3884" s="12" t="s">
        <v>3960</v>
      </c>
      <c r="D3884" s="12"/>
      <c r="G3884" s="9" t="s">
        <v>9713</v>
      </c>
      <c r="H3884" s="13"/>
      <c r="K3884" s="10" t="s">
        <v>9695</v>
      </c>
      <c r="L3884" s="10" t="s">
        <v>3879</v>
      </c>
    </row>
    <row r="3885" spans="2:12" s="10" customFormat="1" ht="18" customHeight="1">
      <c r="C3885" s="12" t="s">
        <v>3964</v>
      </c>
      <c r="D3885" s="12"/>
      <c r="G3885" s="9" t="s">
        <v>9714</v>
      </c>
      <c r="H3885" s="74"/>
      <c r="I3885" s="10" t="s">
        <v>9715</v>
      </c>
      <c r="J3885" s="25" t="e">
        <f>IF(shinsei_strtower29_prgo05_NINTEI_DATE="","",TEXT(shinsei_strtower29_prgo05_NINTEI_DATE,"ggge年m月d日")&amp;"  ")</f>
        <v>#NAME?</v>
      </c>
    </row>
    <row r="3886" spans="2:12" s="10" customFormat="1" ht="18" customHeight="1">
      <c r="B3886" s="10" t="s">
        <v>9698</v>
      </c>
      <c r="C3886" s="12"/>
      <c r="D3886" s="12"/>
      <c r="G3886" s="9" t="s">
        <v>9716</v>
      </c>
      <c r="H3886" s="13"/>
    </row>
    <row r="3887" spans="2:12" s="10" customFormat="1" ht="18" customHeight="1">
      <c r="C3887" s="12" t="s">
        <v>3970</v>
      </c>
      <c r="D3887" s="12"/>
      <c r="G3887" s="9"/>
      <c r="H3887" s="12"/>
      <c r="I3887" s="9" t="s">
        <v>9717</v>
      </c>
      <c r="J3887" s="25" t="e">
        <f>IF(shinsei_strtower29_prgo05_NAME="","",shinsei_strtower29_prgo05_NAME)&amp;CHAR(10)&amp;IF(shinsei_strtower29_prgo05_VER="","","Ver."&amp;shinsei_strtower29_prgo05_VER&amp;CHAR(10))</f>
        <v>#NAME?</v>
      </c>
    </row>
    <row r="3888" spans="2:12" s="10" customFormat="1" ht="18" customHeight="1">
      <c r="C3888" s="12" t="s">
        <v>3972</v>
      </c>
      <c r="D3888" s="12"/>
      <c r="G3888" s="9"/>
      <c r="H3888" s="12"/>
      <c r="I3888" s="9" t="s">
        <v>9718</v>
      </c>
      <c r="J3888" s="25" t="e">
        <f>IF(shinsei_strtower29_prgo05_NAME="","",shinsei_strtower29_prgo05_NAME&amp;" ")&amp;IF(shinsei_strtower29_prgo05_VER="","","Ver."&amp;shinsei_strtower29_prgo05_VER&amp;"  ")</f>
        <v>#NAME?</v>
      </c>
    </row>
    <row r="3889" spans="2:10" s="10" customFormat="1" ht="18" customHeight="1">
      <c r="C3889" s="12" t="s">
        <v>3974</v>
      </c>
      <c r="D3889" s="12"/>
      <c r="G3889" s="9"/>
      <c r="H3889" s="12"/>
    </row>
    <row r="3890" spans="2:10" s="10" customFormat="1" ht="18" customHeight="1">
      <c r="D3890" s="12" t="s">
        <v>9702</v>
      </c>
      <c r="G3890" s="9"/>
      <c r="H3890" s="12"/>
      <c r="I3890" s="9" t="s">
        <v>9719</v>
      </c>
      <c r="J3890" s="173" t="e">
        <f>IF(cst_shinsei_strtower29_prgo05_NINTEI__umu="有",IF(shinsei_strtower29_prgo05_MAKER_NAME="","",shinsei_strtower29_prgo05_MAKER_NAME&amp;"  "),"")</f>
        <v>#NAME?</v>
      </c>
    </row>
    <row r="3891" spans="2:10" s="10" customFormat="1" ht="18" customHeight="1">
      <c r="D3891" s="12" t="s">
        <v>3972</v>
      </c>
      <c r="G3891" s="9"/>
      <c r="H3891" s="12"/>
      <c r="I3891" s="9" t="s">
        <v>9720</v>
      </c>
      <c r="J3891" s="25" t="e">
        <f>IF(cst_shinsei_strtower29_prgo05_NINTEI__umu="有",IF(shinsei_strtower29_prgo05_NAME="","",shinsei_strtower29_prgo05_NAME&amp;" ")&amp;IF(shinsei_strtower29_prgo05_VER="","","Ver."&amp;shinsei_strtower29_prgo05_VER&amp;"  "),"")</f>
        <v>#NAME?</v>
      </c>
    </row>
    <row r="3892" spans="2:10" s="10" customFormat="1" ht="18" customHeight="1">
      <c r="C3892" s="12" t="s">
        <v>3981</v>
      </c>
      <c r="D3892" s="12"/>
      <c r="G3892" s="9"/>
      <c r="H3892" s="12"/>
    </row>
    <row r="3893" spans="2:10" s="10" customFormat="1" ht="18" customHeight="1">
      <c r="D3893" s="12" t="s">
        <v>9702</v>
      </c>
      <c r="G3893" s="9"/>
      <c r="H3893" s="12"/>
      <c r="I3893" s="9" t="s">
        <v>9721</v>
      </c>
      <c r="J3893" s="173" t="e">
        <f>IF(cst_shinsei_strtower29_prgo05_NINTEI__umu="無",IF(shinsei_strtower29_prgo05_MAKER_NAME="","",shinsei_strtower29_prgo05_MAKER_NAME&amp;"  "),"")</f>
        <v>#NAME?</v>
      </c>
    </row>
    <row r="3894" spans="2:10" s="10" customFormat="1" ht="18" customHeight="1">
      <c r="D3894" s="12" t="s">
        <v>3972</v>
      </c>
      <c r="G3894" s="9"/>
      <c r="H3894" s="12"/>
      <c r="I3894" s="9" t="s">
        <v>9722</v>
      </c>
      <c r="J3894" s="25" t="e">
        <f>IF(cst_shinsei_strtower29_prgo05_NINTEI__umu="無",IF(shinsei_strtower29_prgo05_NAME="","",shinsei_strtower29_prgo05_NAME&amp;" ")&amp;IF(shinsei_strtower29_prgo05_VER="","","Ver."&amp;shinsei_strtower29_prgo05_VER&amp;"  "),"")</f>
        <v>#NAME?</v>
      </c>
    </row>
    <row r="3895" spans="2:10" s="10" customFormat="1" ht="18" customHeight="1">
      <c r="B3895" s="13" t="s">
        <v>9723</v>
      </c>
      <c r="C3895" s="13"/>
      <c r="D3895" s="13"/>
      <c r="E3895" s="25"/>
      <c r="F3895" s="25"/>
      <c r="G3895" s="9"/>
      <c r="H3895" s="80"/>
      <c r="I3895" s="9"/>
      <c r="J3895" s="80"/>
    </row>
    <row r="3896" spans="2:10" s="10" customFormat="1" ht="18" customHeight="1">
      <c r="C3896" s="12" t="s">
        <v>3970</v>
      </c>
      <c r="D3896" s="12"/>
      <c r="G3896" s="9"/>
      <c r="H3896" s="80"/>
      <c r="I3896" s="166" t="s">
        <v>9724</v>
      </c>
      <c r="J3896" s="74" t="e">
        <f>cst_shinsei_strtower29_prgo01_NAME_VER&amp;cst_shinsei_strtower29_prgo02_NAME_VER&amp;cst_shinsei_strtower29_prgo03_NAME_VER&amp;cst_shinsei_strtower29_prgo04_NAME_VER&amp;cst_shinsei_strtower29_prgo05_NAME_VER</f>
        <v>#NAME?</v>
      </c>
    </row>
    <row r="3897" spans="2:10" s="10" customFormat="1" ht="18" customHeight="1">
      <c r="C3897" s="12" t="s">
        <v>3972</v>
      </c>
      <c r="D3897" s="12"/>
      <c r="G3897" s="9"/>
      <c r="H3897" s="80"/>
      <c r="I3897" s="166" t="s">
        <v>9725</v>
      </c>
      <c r="J3897" s="74" t="e">
        <f>cst_shinsei_strtower29_prgo01_NAME_VER__SP&amp;cst_shinsei_strtower29_prgo02_NAME_VER__SP&amp;cst_shinsei_strtower29_prgo03_NAME_VER__SP&amp;cst_shinsei_strtower29_prgo04_NAME_VER__SP&amp;cst_shinsei_strtower29_prgo05_NAME_VER__SP</f>
        <v>#NAME?</v>
      </c>
    </row>
    <row r="3898" spans="2:10" s="10" customFormat="1" ht="18" customHeight="1">
      <c r="B3898" s="13" t="s">
        <v>4068</v>
      </c>
      <c r="C3898" s="13"/>
      <c r="D3898" s="13"/>
      <c r="E3898" s="25"/>
      <c r="F3898" s="25"/>
      <c r="G3898" s="9"/>
      <c r="H3898" s="80"/>
      <c r="I3898" s="9"/>
      <c r="J3898" s="80"/>
    </row>
    <row r="3899" spans="2:10" s="10" customFormat="1" ht="18" customHeight="1">
      <c r="C3899" s="12" t="s">
        <v>9702</v>
      </c>
      <c r="D3899" s="12"/>
      <c r="G3899" s="9"/>
      <c r="H3899" s="80"/>
      <c r="I3899" s="166" t="s">
        <v>9726</v>
      </c>
      <c r="J3899" s="74" t="e">
        <f>cst_shinsei_strtower29_prgo01_MAKER__NINTEI_ari&amp;cst_shinsei_strtower29_prgo02_MAKER__NINTEI_ari&amp;cst_shinsei_strtower29_prgo03_MAKER__NINTEI_ari&amp;cst_shinsei_strtower29_prgo04_MAKER__NINTEI_ari&amp;cst_shinsei_strtower29_prgo05_MAKER__NINTEI_ari</f>
        <v>#NAME?</v>
      </c>
    </row>
    <row r="3900" spans="2:10" s="10" customFormat="1" ht="18" customHeight="1">
      <c r="C3900" s="12" t="s">
        <v>3972</v>
      </c>
      <c r="D3900" s="12"/>
      <c r="G3900" s="9"/>
      <c r="H3900" s="80"/>
      <c r="I3900" s="166" t="s">
        <v>9727</v>
      </c>
      <c r="J3900" s="173" t="e">
        <f>cst_shinsei_strtower29_prgo01_NAME_VER__NINTEI_ari&amp;cst_shinsei_strtower29_prgo02_NAME_VER__NINTEI_ari&amp;cst_shinsei_strtower29_prgo03_NAME_VER__NINTEI_ari&amp;cst_shinsei_strtower29_prgo04_NAME_VER__NINTEI_ari&amp;cst_shinsei_strtower29_prgo05_NAME_VER__NINTEI_ari</f>
        <v>#NAME?</v>
      </c>
    </row>
    <row r="3901" spans="2:10" s="10" customFormat="1" ht="18" customHeight="1">
      <c r="C3901" s="12" t="s">
        <v>3964</v>
      </c>
      <c r="D3901" s="12"/>
      <c r="G3901" s="9"/>
      <c r="H3901" s="80"/>
      <c r="I3901" s="166" t="s">
        <v>9728</v>
      </c>
      <c r="J3901" s="74" t="e">
        <f>cst_shinsei_strtower29_prgo01_NINTEI_DATE_dsp&amp;cst_shinsei_strtower29_prgo02_NINTEI_DATE_dsp&amp;cst_shinsei_strtower29_prgo03_NINTEI_DATE_dsp&amp;cst_shinsei_strtower29_prgo04_NINTEI_DATE_dsp&amp;cst_shinsei_strtower29_prgo05_NINTEI_DATE_dsp</f>
        <v>#NAME?</v>
      </c>
    </row>
    <row r="3902" spans="2:10" s="10" customFormat="1" ht="18" customHeight="1">
      <c r="B3902" s="13" t="s">
        <v>4072</v>
      </c>
      <c r="C3902" s="13"/>
      <c r="D3902" s="13"/>
      <c r="E3902" s="25"/>
      <c r="F3902" s="25"/>
      <c r="G3902" s="9"/>
      <c r="H3902" s="80"/>
      <c r="I3902" s="9"/>
      <c r="J3902" s="80"/>
    </row>
    <row r="3903" spans="2:10" s="10" customFormat="1" ht="18" customHeight="1">
      <c r="C3903" s="12" t="s">
        <v>9702</v>
      </c>
      <c r="D3903" s="12"/>
      <c r="G3903" s="9"/>
      <c r="H3903" s="80"/>
      <c r="I3903" s="166" t="s">
        <v>9729</v>
      </c>
      <c r="J3903" s="74" t="e">
        <f>cst_shinsei_strtower29_prgo01_MAKER__NINTEI_non&amp;cst_shinsei_strtower29_prgo02_MAKER__NINTEI_non&amp;cst_shinsei_strtower29_prgo03_MAKER__NINTEI_non&amp;cst_shinsei_strtower29_prgo04_MAKER__NINTEI_non&amp;cst_shinsei_strtower29_prgo05_MAKER__NINTEI_non</f>
        <v>#NAME?</v>
      </c>
    </row>
    <row r="3904" spans="2:10" s="10" customFormat="1" ht="18" customHeight="1">
      <c r="C3904" s="12" t="s">
        <v>3972</v>
      </c>
      <c r="D3904" s="12"/>
      <c r="G3904" s="9"/>
      <c r="H3904" s="80"/>
      <c r="I3904" s="166" t="s">
        <v>9730</v>
      </c>
      <c r="J3904" s="173" t="e">
        <f>cst_shinsei_strtower29_prgo01_NAME_VER__NINTEI_non&amp;cst_shinsei_strtower29_prgo02_NAME_VER__NINTEI_non&amp;cst_shinsei_strtower29_prgo03_NAME_VER__NINTEI_non&amp;cst_shinsei_strtower29_prgo04_NAME_VER__NINTEI_non&amp;cst_shinsei_strtower29_prgo05_NAME_VER__NINTEI_non</f>
        <v>#NAME?</v>
      </c>
    </row>
    <row r="3905" spans="1:12" s="10" customFormat="1" ht="18" customHeight="1">
      <c r="B3905" s="12" t="s">
        <v>4075</v>
      </c>
      <c r="G3905" s="9" t="s">
        <v>9731</v>
      </c>
      <c r="H3905" s="20"/>
      <c r="I3905" s="9" t="s">
        <v>9732</v>
      </c>
      <c r="J3905" s="20" t="e">
        <f>IF(shinsei_strtower29_DISK_FLAG="","",IF(shinsei_strtower29_DISK_FLAG=1,"有","無"))</f>
        <v>#NAME?</v>
      </c>
    </row>
    <row r="3906" spans="1:12" s="10" customFormat="1" ht="18" customHeight="1">
      <c r="A3906" s="9"/>
      <c r="B3906" s="9" t="s">
        <v>2955</v>
      </c>
      <c r="C3906" s="9"/>
      <c r="D3906" s="9"/>
      <c r="E3906" s="9"/>
      <c r="F3906" s="9"/>
      <c r="G3906" s="9" t="s">
        <v>9733</v>
      </c>
      <c r="H3906" s="136"/>
      <c r="I3906" s="19" t="s">
        <v>9734</v>
      </c>
      <c r="J3906" s="171" t="e">
        <f>IF(shinsei_strtower29_CHARGE="","",shinsei_strtower29_CHARGE)</f>
        <v>#NAME?</v>
      </c>
    </row>
    <row r="3907" spans="1:12" s="10" customFormat="1" ht="18" customHeight="1">
      <c r="A3907" s="149"/>
      <c r="B3907" s="149"/>
      <c r="C3907" s="149"/>
      <c r="D3907" s="149"/>
      <c r="E3907" s="12" t="s">
        <v>3907</v>
      </c>
      <c r="F3907" s="12"/>
      <c r="G3907" s="149"/>
      <c r="H3907" s="100"/>
      <c r="I3907" s="100" t="s">
        <v>9735</v>
      </c>
      <c r="J3907" s="171" t="e">
        <f>IF(shinsei_strtower29_CHARGE="","",TEXT(shinsei_strtower29_CHARGE,"#,##0_ ")&amp;"円")</f>
        <v>#NAME?</v>
      </c>
      <c r="K3907" s="9" t="s">
        <v>2528</v>
      </c>
      <c r="L3907" s="9" t="s">
        <v>2528</v>
      </c>
    </row>
    <row r="3908" spans="1:12" ht="18" customHeight="1">
      <c r="A3908" s="149"/>
      <c r="B3908" s="149" t="s">
        <v>3041</v>
      </c>
      <c r="C3908" s="149"/>
      <c r="D3908" s="149"/>
      <c r="E3908" s="149"/>
      <c r="F3908" s="149"/>
      <c r="G3908" s="149" t="s">
        <v>9736</v>
      </c>
      <c r="H3908" s="136"/>
      <c r="I3908" s="100" t="s">
        <v>9737</v>
      </c>
      <c r="J3908" s="136" t="e">
        <f>IF(shinsei_strtower29_CHARGE_WARIMASHI="","",shinsei_strtower29_CHARGE_WARIMASHI)</f>
        <v>#NAME?</v>
      </c>
      <c r="K3908" s="9"/>
      <c r="L3908" s="9"/>
    </row>
    <row r="3909" spans="1:12" ht="18" customHeight="1">
      <c r="A3909" s="149"/>
      <c r="B3909" s="149" t="s">
        <v>3043</v>
      </c>
      <c r="C3909" s="149"/>
      <c r="D3909" s="149"/>
      <c r="E3909" s="149"/>
      <c r="F3909" s="149"/>
      <c r="G3909" s="149" t="s">
        <v>9738</v>
      </c>
      <c r="H3909" s="136"/>
      <c r="I3909" s="100" t="s">
        <v>9739</v>
      </c>
      <c r="J3909" s="136" t="e">
        <f>IF(shinsei_strtower29_CHARGE_TOTAL="","",shinsei_strtower29_CHARGE_TOTAL)</f>
        <v>#NAME?</v>
      </c>
      <c r="K3909" s="9" t="s">
        <v>2528</v>
      </c>
      <c r="L3909" s="9" t="s">
        <v>2528</v>
      </c>
    </row>
    <row r="3910" spans="1:12" ht="18" customHeight="1">
      <c r="A3910" s="149"/>
      <c r="B3910" s="149" t="s">
        <v>5637</v>
      </c>
      <c r="C3910" s="149"/>
      <c r="D3910" s="149"/>
      <c r="E3910" s="149"/>
      <c r="F3910" s="149"/>
      <c r="G3910" s="149" t="s">
        <v>9740</v>
      </c>
      <c r="H3910" s="13"/>
      <c r="I3910" s="176" t="s">
        <v>9741</v>
      </c>
      <c r="J3910" s="20" t="e">
        <f>IF(shinsei_strtower29_CHARGE_KEISAN_NOTE="","",shinsei_strtower29_CHARGE_KEISAN_NOTE)</f>
        <v>#NAME?</v>
      </c>
      <c r="K3910" s="9" t="s">
        <v>2528</v>
      </c>
      <c r="L3910" s="9" t="s">
        <v>2528</v>
      </c>
    </row>
    <row r="3911" spans="1:12" ht="18" customHeight="1">
      <c r="A3911" s="149"/>
      <c r="B3911" s="149"/>
      <c r="C3911" s="149"/>
      <c r="D3911" s="149"/>
      <c r="E3911" s="149" t="s">
        <v>5640</v>
      </c>
      <c r="F3911" s="149"/>
      <c r="G3911" s="149"/>
      <c r="I3911" s="100" t="s">
        <v>9742</v>
      </c>
      <c r="J3911" s="20" t="e">
        <f>IF(shinsei_INSPECTION_TYPE="計画変更",IF(shinsei_strtower29_CHARGE="","","延べ面積×1/2により算出"),IF(shinsei_strtower29_CHARGE_KEISAN_NOTE="","",shinsei_strtower29_CHARGE_KEISAN_NOTE))</f>
        <v>#NAME?</v>
      </c>
      <c r="K3911" s="10" t="s">
        <v>9695</v>
      </c>
      <c r="L3911" s="10" t="s">
        <v>3879</v>
      </c>
    </row>
    <row r="3912" spans="1:12" ht="18" customHeight="1">
      <c r="A3912" s="149"/>
      <c r="B3912" s="149" t="s">
        <v>5642</v>
      </c>
      <c r="C3912" s="149"/>
      <c r="D3912" s="149"/>
      <c r="E3912" s="149"/>
      <c r="F3912" s="149"/>
      <c r="G3912" s="149" t="s">
        <v>9743</v>
      </c>
      <c r="H3912" s="13"/>
      <c r="I3912" s="149" t="s">
        <v>9744</v>
      </c>
      <c r="J3912" s="20" t="e">
        <f>IF(shinsei_strtower29_KEISAN_X_ROUTE="","",shinsei_strtower29_KEISAN_X_ROUTE)</f>
        <v>#NAME?</v>
      </c>
    </row>
    <row r="3913" spans="1:12" ht="18" customHeight="1">
      <c r="A3913" s="149"/>
      <c r="B3913" s="149" t="s">
        <v>5645</v>
      </c>
      <c r="C3913" s="149"/>
      <c r="D3913" s="149"/>
      <c r="E3913" s="149"/>
      <c r="F3913" s="149"/>
      <c r="G3913" s="149" t="s">
        <v>9745</v>
      </c>
      <c r="H3913" s="13"/>
      <c r="I3913" s="149" t="s">
        <v>9746</v>
      </c>
      <c r="J3913" s="20" t="e">
        <f>IF(shinsei_strtower29_KEISAN_Y_ROUTE="","",shinsei_strtower29_KEISAN_Y_ROUTE)</f>
        <v>#NAME?</v>
      </c>
    </row>
    <row r="3914" spans="1:12" ht="18" customHeight="1">
      <c r="A3914" s="149"/>
      <c r="B3914" s="149"/>
      <c r="C3914" s="149" t="s">
        <v>3805</v>
      </c>
      <c r="D3914" s="149"/>
      <c r="E3914" s="149"/>
      <c r="F3914" s="149"/>
      <c r="G3914" s="149"/>
      <c r="H3914" s="12"/>
      <c r="I3914" s="149" t="s">
        <v>9747</v>
      </c>
      <c r="J3914" s="20" t="e">
        <f>IF(AND(cst_shinsei_strtower29_KEISAN_X_ROUTE="3",cst_shinsei_strtower29_KEISAN_Y_ROUTE="3"),"■","□")</f>
        <v>#NAME?</v>
      </c>
    </row>
    <row r="3915" spans="1:12" ht="18" customHeight="1">
      <c r="A3915" s="149"/>
      <c r="B3915" s="149" t="s">
        <v>5650</v>
      </c>
      <c r="C3915" s="149"/>
      <c r="D3915" s="149"/>
      <c r="E3915" s="149"/>
      <c r="F3915" s="149"/>
      <c r="G3915" s="149" t="s">
        <v>9748</v>
      </c>
      <c r="H3915" s="13"/>
      <c r="I3915" s="149" t="s">
        <v>9749</v>
      </c>
      <c r="J3915" s="20" t="e">
        <f>IF(shinsei_strtower29_PROGRAM_KIND_SONOTA="","",shinsei_strtower29_PROGRAM_KIND_SONOTA)</f>
        <v>#NAME?</v>
      </c>
    </row>
    <row r="3916" spans="1:12" ht="18" customHeight="1">
      <c r="A3916" s="149"/>
      <c r="B3916" s="149"/>
      <c r="C3916" s="149"/>
      <c r="D3916" s="149"/>
      <c r="E3916" s="149"/>
      <c r="F3916" s="149"/>
      <c r="G3916" s="149"/>
    </row>
    <row r="3917" spans="1:12" s="10" customFormat="1" ht="18" customHeight="1">
      <c r="A3917" s="162" t="s">
        <v>3187</v>
      </c>
      <c r="B3917" s="162"/>
      <c r="C3917" s="162"/>
      <c r="D3917" s="162"/>
      <c r="E3917" s="163"/>
      <c r="F3917" s="163"/>
      <c r="G3917" s="164"/>
      <c r="H3917" s="165"/>
      <c r="I3917" s="9"/>
    </row>
    <row r="3918" spans="1:12" s="10" customFormat="1" ht="18" customHeight="1">
      <c r="A3918" s="12"/>
      <c r="B3918" s="12" t="s">
        <v>3859</v>
      </c>
      <c r="C3918" s="12"/>
      <c r="D3918" s="12"/>
      <c r="E3918" s="11"/>
      <c r="F3918" s="11"/>
      <c r="G3918" s="10" t="s">
        <v>9750</v>
      </c>
      <c r="H3918" s="13"/>
      <c r="I3918" s="19" t="s">
        <v>9751</v>
      </c>
      <c r="J3918" s="25" t="e">
        <f>IF(shinsei_strtower30_TOWER_NO="","",shinsei_strtower30_TOWER_NO)</f>
        <v>#NAME?</v>
      </c>
      <c r="K3918" s="10" t="s">
        <v>9695</v>
      </c>
    </row>
    <row r="3919" spans="1:12" s="10" customFormat="1" ht="18" customHeight="1">
      <c r="A3919" s="12"/>
      <c r="B3919" s="12" t="s">
        <v>3864</v>
      </c>
      <c r="C3919" s="12"/>
      <c r="D3919" s="12"/>
      <c r="E3919" s="11"/>
      <c r="F3919" s="11"/>
      <c r="G3919" s="9" t="s">
        <v>9752</v>
      </c>
      <c r="H3919" s="13"/>
      <c r="I3919" s="19" t="s">
        <v>9753</v>
      </c>
      <c r="J3919" s="25" t="e">
        <f>IF(shinsei_strtower30_STR_TOWER_NO="","",shinsei_strtower30_STR_TOWER_NO)</f>
        <v>#NAME?</v>
      </c>
      <c r="K3919" s="10" t="s">
        <v>9695</v>
      </c>
      <c r="L3919" s="10" t="s">
        <v>3879</v>
      </c>
    </row>
    <row r="3920" spans="1:12" s="166" customFormat="1" ht="18" customHeight="1">
      <c r="B3920" s="12" t="s">
        <v>3868</v>
      </c>
      <c r="I3920" s="9" t="s">
        <v>9754</v>
      </c>
      <c r="J3920" s="167" t="e">
        <f>CONCATENATE(cst_shinsei_strtower30_TOWER_NO," - ",cst_shinsei_strtower30_STR_TOWER_NO)</f>
        <v>#NAME?</v>
      </c>
    </row>
    <row r="3921" spans="1:12" s="166" customFormat="1" ht="18" customHeight="1">
      <c r="B3921" s="12" t="s">
        <v>3870</v>
      </c>
      <c r="I3921" s="9" t="s">
        <v>9755</v>
      </c>
      <c r="J3921" s="167" t="e">
        <f>CONCATENATE(cst_shinsei_strtower30_STR_TOWER_NO," ／ ",cst_shinsei_STR_SHINSEI_TOWERS)</f>
        <v>#NAME?</v>
      </c>
    </row>
    <row r="3922" spans="1:12" s="10" customFormat="1" ht="18" customHeight="1">
      <c r="A3922" s="12"/>
      <c r="B3922" s="12" t="s">
        <v>9756</v>
      </c>
      <c r="C3922" s="11"/>
      <c r="D3922" s="11"/>
      <c r="E3922" s="11"/>
      <c r="F3922" s="11"/>
      <c r="G3922" s="9" t="s">
        <v>9757</v>
      </c>
      <c r="H3922" s="13"/>
      <c r="I3922" s="9" t="s">
        <v>9758</v>
      </c>
      <c r="J3922" s="25" t="e">
        <f>IF(shinsei_strtower30_STR_TOWER_NAME="","",shinsei_strtower30_STR_TOWER_NAME)</f>
        <v>#NAME?</v>
      </c>
    </row>
    <row r="3923" spans="1:12" s="10" customFormat="1" ht="18" customHeight="1">
      <c r="A3923" s="12"/>
      <c r="B3923" s="12" t="s">
        <v>9759</v>
      </c>
      <c r="C3923" s="12"/>
      <c r="D3923" s="12"/>
      <c r="E3923" s="11"/>
      <c r="F3923" s="11"/>
      <c r="G3923" s="9" t="s">
        <v>9760</v>
      </c>
      <c r="H3923" s="20"/>
      <c r="I3923" s="20" t="s">
        <v>9761</v>
      </c>
      <c r="J3923" s="25" t="e">
        <f>IF(shinsei_strtower30_JUDGE="","",shinsei_strtower30_JUDGE)</f>
        <v>#NAME?</v>
      </c>
      <c r="K3923" s="10" t="s">
        <v>9762</v>
      </c>
      <c r="L3923" s="10" t="s">
        <v>3879</v>
      </c>
    </row>
    <row r="3924" spans="1:12" s="10" customFormat="1" ht="18" customHeight="1">
      <c r="A3924" s="12"/>
      <c r="B3924" s="12" t="s">
        <v>4441</v>
      </c>
      <c r="C3924" s="12"/>
      <c r="D3924" s="12"/>
      <c r="E3924" s="11"/>
      <c r="F3924" s="11"/>
      <c r="G3924" s="9" t="s">
        <v>9763</v>
      </c>
      <c r="H3924" s="13"/>
      <c r="I3924" s="9" t="s">
        <v>9764</v>
      </c>
      <c r="J3924" s="25" t="e">
        <f>IF(shinsei_strtower30_STR_TOWER_YOUTO_TEXT="","",shinsei_strtower30_STR_TOWER_YOUTO_TEXT)</f>
        <v>#NAME?</v>
      </c>
      <c r="K3924" s="10" t="s">
        <v>9765</v>
      </c>
      <c r="L3924" s="10" t="s">
        <v>3879</v>
      </c>
    </row>
    <row r="3925" spans="1:12" s="10" customFormat="1" ht="18" customHeight="1">
      <c r="A3925" s="12"/>
      <c r="B3925" s="12" t="s">
        <v>3790</v>
      </c>
      <c r="C3925" s="12"/>
      <c r="D3925" s="12"/>
      <c r="E3925" s="11"/>
      <c r="F3925" s="11"/>
      <c r="G3925" s="9" t="s">
        <v>9766</v>
      </c>
      <c r="H3925" s="13"/>
      <c r="I3925" s="9" t="s">
        <v>9767</v>
      </c>
      <c r="J3925" s="25" t="e">
        <f>IF(shinsei_strtower30_KOUJI_TEXT="","",shinsei_strtower30_KOUJI_TEXT)</f>
        <v>#NAME?</v>
      </c>
      <c r="K3925" s="10" t="s">
        <v>9765</v>
      </c>
      <c r="L3925" s="10" t="s">
        <v>3879</v>
      </c>
    </row>
    <row r="3926" spans="1:12" s="10" customFormat="1" ht="18" customHeight="1">
      <c r="A3926" s="12"/>
      <c r="B3926" s="12" t="s">
        <v>9768</v>
      </c>
      <c r="C3926" s="11"/>
      <c r="D3926" s="11"/>
      <c r="E3926" s="11"/>
      <c r="F3926" s="11"/>
      <c r="G3926" s="9" t="s">
        <v>9769</v>
      </c>
      <c r="H3926" s="13"/>
      <c r="I3926" s="9" t="s">
        <v>9770</v>
      </c>
      <c r="J3926" s="25" t="e">
        <f>IF(shinsei_strtower30_KOUZOU_TEXT="","",shinsei_strtower30_KOUZOU_TEXT)</f>
        <v>#NAME?</v>
      </c>
    </row>
    <row r="3927" spans="1:12" s="10" customFormat="1" ht="18" customHeight="1">
      <c r="A3927" s="12"/>
      <c r="B3927" s="12" t="s">
        <v>9768</v>
      </c>
      <c r="C3927" s="12"/>
      <c r="D3927" s="12"/>
      <c r="E3927" s="11"/>
      <c r="F3927" s="11"/>
      <c r="G3927" s="9" t="s">
        <v>9771</v>
      </c>
      <c r="H3927" s="13"/>
      <c r="I3927" s="9" t="s">
        <v>9772</v>
      </c>
      <c r="J3927" s="25" t="e">
        <f>IF(shinsei_strtower30_KOUZOU_TEXT="","",shinsei_strtower30_KOUZOU_TEXT)</f>
        <v>#NAME?</v>
      </c>
    </row>
    <row r="3928" spans="1:12" s="10" customFormat="1" ht="18" customHeight="1">
      <c r="A3928" s="12"/>
      <c r="B3928" s="12" t="s">
        <v>3893</v>
      </c>
      <c r="C3928" s="11"/>
      <c r="D3928" s="11"/>
      <c r="E3928" s="11"/>
      <c r="F3928" s="11"/>
      <c r="G3928" s="9" t="s">
        <v>9773</v>
      </c>
      <c r="H3928" s="13"/>
      <c r="I3928" s="9" t="s">
        <v>9774</v>
      </c>
      <c r="J3928" s="25" t="e">
        <f>IF(shinsei_strtower30_KOUZOU_KEISAN="","",shinsei_strtower30_KOUZOU_KEISAN)</f>
        <v>#NAME?</v>
      </c>
    </row>
    <row r="3929" spans="1:12" s="10" customFormat="1" ht="18" customHeight="1">
      <c r="A3929" s="12"/>
      <c r="B3929" s="12" t="s">
        <v>3893</v>
      </c>
      <c r="C3929" s="12"/>
      <c r="D3929" s="12"/>
      <c r="E3929" s="11"/>
      <c r="F3929" s="11"/>
      <c r="G3929" s="9" t="s">
        <v>9775</v>
      </c>
      <c r="H3929" s="13"/>
      <c r="I3929" s="10" t="s">
        <v>9776</v>
      </c>
      <c r="J3929" s="25" t="e">
        <f>IF(shinsei_strtower30_KOUZOU_KEISAN_TEXT="","",shinsei_strtower30_KOUZOU_KEISAN_TEXT)</f>
        <v>#NAME?</v>
      </c>
    </row>
    <row r="3930" spans="1:12" s="10" customFormat="1" ht="18" customHeight="1">
      <c r="A3930" s="12"/>
      <c r="B3930" s="12" t="s">
        <v>9777</v>
      </c>
      <c r="C3930" s="12"/>
      <c r="D3930" s="12"/>
      <c r="E3930" s="11"/>
      <c r="F3930" s="11"/>
      <c r="G3930" s="9" t="s">
        <v>9778</v>
      </c>
      <c r="H3930" s="65"/>
      <c r="I3930" s="19" t="s">
        <v>9779</v>
      </c>
      <c r="J3930" s="168" t="e">
        <f>IF(shinsei_strtower30_MENSEKI="","",shinsei_strtower30_MENSEKI)</f>
        <v>#NAME?</v>
      </c>
      <c r="K3930" s="10" t="s">
        <v>3906</v>
      </c>
      <c r="L3930" s="10" t="s">
        <v>3906</v>
      </c>
    </row>
    <row r="3931" spans="1:12" ht="18" customHeight="1">
      <c r="A3931" s="12"/>
      <c r="B3931" s="12"/>
      <c r="C3931" s="12"/>
      <c r="D3931" s="12"/>
      <c r="E3931" s="12" t="s">
        <v>3907</v>
      </c>
      <c r="F3931" s="12"/>
      <c r="G3931" s="9"/>
      <c r="H3931" s="9"/>
      <c r="I3931" s="9" t="s">
        <v>9780</v>
      </c>
      <c r="J3931" s="168" t="e">
        <f>IF(shinsei_strtower30_MENSEKI="","",TEXT(shinsei_strtower30_MENSEKI,"#,##0.00_ ")&amp;"㎡")</f>
        <v>#NAME?</v>
      </c>
    </row>
    <row r="3932" spans="1:12" s="10" customFormat="1" ht="18" customHeight="1">
      <c r="A3932" s="12"/>
      <c r="B3932" s="12" t="s">
        <v>4390</v>
      </c>
      <c r="C3932" s="12"/>
      <c r="D3932" s="12"/>
      <c r="E3932" s="11"/>
      <c r="F3932" s="11"/>
      <c r="G3932" s="9" t="s">
        <v>9781</v>
      </c>
      <c r="H3932" s="93"/>
      <c r="I3932" s="9" t="s">
        <v>9782</v>
      </c>
      <c r="J3932" s="170" t="e">
        <f>IF(shinsei_strtower30_MAX_TAKASA="","",shinsei_strtower30_MAX_TAKASA)</f>
        <v>#NAME?</v>
      </c>
      <c r="K3932" s="10" t="s">
        <v>3911</v>
      </c>
      <c r="L3932" s="10" t="s">
        <v>3911</v>
      </c>
    </row>
    <row r="3933" spans="1:12" s="10" customFormat="1" ht="18" customHeight="1">
      <c r="A3933" s="12"/>
      <c r="B3933" s="12" t="s">
        <v>4388</v>
      </c>
      <c r="C3933" s="11"/>
      <c r="D3933" s="11"/>
      <c r="E3933" s="11"/>
      <c r="F3933" s="11"/>
      <c r="G3933" s="9" t="s">
        <v>9783</v>
      </c>
      <c r="H3933" s="93"/>
      <c r="I3933" s="9" t="s">
        <v>9784</v>
      </c>
      <c r="J3933" s="170" t="e">
        <f>IF(shinsei_strtower30_MAX_NOKI_TAKASA="","",shinsei_strtower30_MAX_NOKI_TAKASA)</f>
        <v>#NAME?</v>
      </c>
    </row>
    <row r="3934" spans="1:12" s="10" customFormat="1" ht="18" customHeight="1">
      <c r="A3934" s="12"/>
      <c r="B3934" s="12" t="s">
        <v>3782</v>
      </c>
      <c r="C3934" s="12"/>
      <c r="D3934" s="12"/>
      <c r="E3934" s="11"/>
      <c r="F3934" s="11"/>
      <c r="G3934" s="9"/>
      <c r="H3934" s="9"/>
      <c r="I3934" s="9"/>
    </row>
    <row r="3935" spans="1:12" s="10" customFormat="1" ht="18" customHeight="1">
      <c r="A3935" s="12"/>
      <c r="B3935" s="12"/>
      <c r="C3935" s="11" t="s">
        <v>3783</v>
      </c>
      <c r="D3935" s="12"/>
      <c r="G3935" s="9" t="s">
        <v>9785</v>
      </c>
      <c r="H3935" s="136"/>
      <c r="I3935" s="9" t="s">
        <v>9786</v>
      </c>
      <c r="J3935" s="171" t="e">
        <f>IF(shinsei_strtower30_KAISU_TIJYOU="","",shinsei_strtower30_KAISU_TIJYOU)</f>
        <v>#NAME?</v>
      </c>
      <c r="K3935" s="10" t="s">
        <v>9787</v>
      </c>
      <c r="L3935" s="10" t="s">
        <v>9787</v>
      </c>
    </row>
    <row r="3936" spans="1:12" s="10" customFormat="1" ht="18" customHeight="1">
      <c r="A3936" s="12"/>
      <c r="B3936" s="12"/>
      <c r="C3936" s="11" t="s">
        <v>3785</v>
      </c>
      <c r="D3936" s="12"/>
      <c r="G3936" s="9" t="s">
        <v>9788</v>
      </c>
      <c r="H3936" s="136"/>
      <c r="I3936" s="9" t="s">
        <v>9789</v>
      </c>
      <c r="J3936" s="171" t="e">
        <f>IF(shinsei_strtower30_KAISU_TIKA="","",shinsei_strtower30_KAISU_TIKA)</f>
        <v>#NAME?</v>
      </c>
      <c r="K3936" s="10" t="s">
        <v>9787</v>
      </c>
      <c r="L3936" s="10" t="s">
        <v>9787</v>
      </c>
    </row>
    <row r="3937" spans="1:12" s="10" customFormat="1" ht="18" customHeight="1">
      <c r="A3937" s="12"/>
      <c r="B3937" s="12"/>
      <c r="C3937" s="11" t="s">
        <v>3787</v>
      </c>
      <c r="D3937" s="12"/>
      <c r="G3937" s="9" t="s">
        <v>9790</v>
      </c>
      <c r="H3937" s="136"/>
      <c r="I3937" s="9" t="s">
        <v>9791</v>
      </c>
      <c r="J3937" s="171" t="e">
        <f>IF(shinsei_strtower30_KAISU_TOUYA="","",shinsei_strtower30_KAISU_TOUYA)</f>
        <v>#NAME?</v>
      </c>
      <c r="K3937" s="10" t="s">
        <v>9787</v>
      </c>
      <c r="L3937" s="10" t="s">
        <v>9787</v>
      </c>
    </row>
    <row r="3938" spans="1:12" s="10" customFormat="1" ht="18" customHeight="1">
      <c r="B3938" s="12" t="s">
        <v>3923</v>
      </c>
      <c r="G3938" s="9" t="s">
        <v>9792</v>
      </c>
      <c r="H3938" s="13"/>
      <c r="I3938" s="10" t="s">
        <v>9793</v>
      </c>
      <c r="J3938" s="25" t="e">
        <f>IF(shinsei_strtower30_BUILD_KUBUN="","",shinsei_strtower30_BUILD_KUBUN)</f>
        <v>#NAME?</v>
      </c>
    </row>
    <row r="3939" spans="1:12" s="10" customFormat="1" ht="18" customHeight="1">
      <c r="B3939" s="12" t="s">
        <v>3923</v>
      </c>
      <c r="C3939" s="12"/>
      <c r="D3939" s="12"/>
      <c r="G3939" s="9" t="s">
        <v>9794</v>
      </c>
      <c r="H3939" s="13"/>
      <c r="I3939" s="10" t="s">
        <v>9795</v>
      </c>
      <c r="J3939" s="25" t="e">
        <f>IF(shinsei_strtower30_BUILD_KUBUN_TEXT="","",shinsei_strtower30_BUILD_KUBUN_TEXT)</f>
        <v>#NAME?</v>
      </c>
      <c r="K3939" s="10" t="s">
        <v>9765</v>
      </c>
    </row>
    <row r="3940" spans="1:12" s="10" customFormat="1" ht="18" customHeight="1">
      <c r="A3940" s="149"/>
      <c r="B3940" s="149"/>
      <c r="C3940" s="149" t="s">
        <v>3801</v>
      </c>
      <c r="D3940" s="149"/>
      <c r="E3940" s="149"/>
      <c r="F3940" s="149"/>
      <c r="G3940" s="149"/>
      <c r="H3940" s="12"/>
      <c r="I3940" s="149" t="s">
        <v>9796</v>
      </c>
      <c r="J3940" s="20" t="e">
        <f>IF(shinsei_strtower30_BUILD_KUBUN_TEXT="建築基準法第20条第２号に掲げる建築物","■","□")</f>
        <v>#NAME?</v>
      </c>
    </row>
    <row r="3941" spans="1:12" s="10" customFormat="1" ht="18" customHeight="1">
      <c r="A3941" s="149"/>
      <c r="B3941" s="149"/>
      <c r="C3941" s="149" t="s">
        <v>3801</v>
      </c>
      <c r="D3941" s="149"/>
      <c r="E3941" s="149"/>
      <c r="F3941" s="149"/>
      <c r="G3941" s="149"/>
      <c r="H3941" s="12"/>
      <c r="I3941" s="149" t="s">
        <v>9797</v>
      </c>
      <c r="J3941" s="20" t="e">
        <f>IF(shinsei_strtower30_BUILD_KUBUN_TEXT="建築基準法第20条第３号に掲げる建築物","■","□")</f>
        <v>#NAME?</v>
      </c>
    </row>
    <row r="3942" spans="1:12" s="10" customFormat="1" ht="18" customHeight="1">
      <c r="A3942" s="12"/>
      <c r="B3942" s="12" t="s">
        <v>9798</v>
      </c>
      <c r="C3942" s="12"/>
      <c r="D3942" s="12"/>
      <c r="E3942" s="11"/>
      <c r="F3942" s="11"/>
      <c r="G3942" s="9" t="s">
        <v>9799</v>
      </c>
      <c r="H3942" s="13"/>
      <c r="I3942" s="9" t="s">
        <v>9800</v>
      </c>
      <c r="J3942" s="25" t="e">
        <f>IF(shinsei_strtower30_MENJYO_TEXT="","",shinsei_strtower30_MENJYO_TEXT)</f>
        <v>#NAME?</v>
      </c>
      <c r="K3942" s="10" t="s">
        <v>9765</v>
      </c>
    </row>
    <row r="3943" spans="1:12" s="10" customFormat="1" ht="18" customHeight="1">
      <c r="A3943" s="12"/>
      <c r="B3943" s="12" t="s">
        <v>3935</v>
      </c>
      <c r="C3943" s="12"/>
      <c r="D3943" s="12"/>
      <c r="E3943" s="11"/>
      <c r="F3943" s="11"/>
      <c r="G3943" s="9" t="s">
        <v>9801</v>
      </c>
      <c r="H3943" s="20"/>
      <c r="I3943" s="9" t="s">
        <v>9802</v>
      </c>
      <c r="J3943" s="25" t="e">
        <f>IF(shinsei_strtower30_PROGRAM_KIND="","",shinsei_strtower30_PROGRAM_KIND)</f>
        <v>#NAME?</v>
      </c>
      <c r="K3943" s="10" t="s">
        <v>5704</v>
      </c>
    </row>
    <row r="3944" spans="1:12" s="10" customFormat="1" ht="18" customHeight="1">
      <c r="B3944" s="12" t="s">
        <v>3939</v>
      </c>
      <c r="C3944" s="12"/>
      <c r="D3944" s="12"/>
      <c r="G3944" s="9" t="s">
        <v>9803</v>
      </c>
      <c r="H3944" s="13"/>
      <c r="I3944" s="10" t="s">
        <v>9804</v>
      </c>
      <c r="J3944" s="25" t="e">
        <f>IF(shinsei_strtower30_REI80_2_KOKUJI_TEXT="","",shinsei_strtower30_REI80_2_KOKUJI_TEXT)</f>
        <v>#NAME?</v>
      </c>
    </row>
    <row r="3945" spans="1:12" s="10" customFormat="1" ht="18" customHeight="1">
      <c r="B3945" s="12" t="s">
        <v>3943</v>
      </c>
      <c r="C3945" s="12"/>
      <c r="D3945" s="12"/>
      <c r="G3945" s="9" t="s">
        <v>9805</v>
      </c>
      <c r="H3945" s="13"/>
      <c r="I3945" s="10" t="s">
        <v>9806</v>
      </c>
      <c r="J3945" s="25" t="e">
        <f>IF(shinsei_strtower30_PROGRAM_KIND__nintei__box="■",2,IF(OR(shinsei_strtower30_PROGRAM_KIND__hyouka__box="■",shinsei_strtower30_PROGRAM_KIND__sonota__box="■"),1,0))</f>
        <v>#NAME?</v>
      </c>
      <c r="K3945" s="10" t="s">
        <v>3946</v>
      </c>
    </row>
    <row r="3946" spans="1:12" s="10" customFormat="1" ht="18" customHeight="1">
      <c r="B3946" s="12" t="s">
        <v>3947</v>
      </c>
      <c r="C3946" s="12"/>
      <c r="D3946" s="12"/>
      <c r="G3946" s="9" t="s">
        <v>9807</v>
      </c>
      <c r="H3946" s="13"/>
    </row>
    <row r="3947" spans="1:12" s="10" customFormat="1" ht="18" customHeight="1">
      <c r="B3947" s="12" t="s">
        <v>4305</v>
      </c>
      <c r="C3947" s="12"/>
      <c r="D3947" s="12"/>
      <c r="G3947" s="9" t="s">
        <v>9808</v>
      </c>
      <c r="H3947" s="13"/>
    </row>
    <row r="3948" spans="1:12" s="10" customFormat="1" ht="18" customHeight="1">
      <c r="B3948" s="105" t="s">
        <v>3950</v>
      </c>
      <c r="C3948" s="105"/>
      <c r="D3948" s="105"/>
      <c r="E3948" s="24"/>
      <c r="F3948" s="24"/>
      <c r="G3948" s="9"/>
      <c r="H3948" s="12"/>
    </row>
    <row r="3949" spans="1:12" s="10" customFormat="1" ht="18" customHeight="1">
      <c r="B3949" s="10" t="s">
        <v>9640</v>
      </c>
      <c r="D3949" s="12"/>
      <c r="G3949" s="9" t="s">
        <v>9809</v>
      </c>
      <c r="H3949" s="13"/>
      <c r="K3949" s="10" t="s">
        <v>3862</v>
      </c>
      <c r="L3949" s="10" t="s">
        <v>3879</v>
      </c>
    </row>
    <row r="3950" spans="1:12" s="10" customFormat="1" ht="18" customHeight="1">
      <c r="B3950" s="10" t="s">
        <v>3954</v>
      </c>
      <c r="C3950" s="12"/>
      <c r="D3950" s="12"/>
      <c r="E3950" s="12"/>
      <c r="F3950" s="12"/>
      <c r="G3950" s="9" t="s">
        <v>9810</v>
      </c>
      <c r="H3950" s="13"/>
    </row>
    <row r="3951" spans="1:12" s="10" customFormat="1" ht="18" customHeight="1">
      <c r="B3951" s="10" t="s">
        <v>3957</v>
      </c>
      <c r="C3951" s="12"/>
      <c r="D3951" s="12"/>
      <c r="G3951" s="9"/>
      <c r="H3951" s="9"/>
      <c r="I3951" s="10" t="s">
        <v>9811</v>
      </c>
      <c r="J3951" s="25" t="e">
        <f>IF(shinsei_strtower30_prgo01_NAME="","",IF(shinsei_strtower30_prgo01_NINTEI_NO="","無","有"))</f>
        <v>#NAME?</v>
      </c>
      <c r="K3951" s="10" t="s">
        <v>3959</v>
      </c>
      <c r="L3951" s="10" t="s">
        <v>3879</v>
      </c>
    </row>
    <row r="3952" spans="1:12" s="10" customFormat="1" ht="18" customHeight="1">
      <c r="B3952" s="10" t="s">
        <v>3960</v>
      </c>
      <c r="C3952" s="12"/>
      <c r="D3952" s="12"/>
      <c r="G3952" s="9" t="s">
        <v>9812</v>
      </c>
      <c r="H3952" s="13"/>
      <c r="I3952" s="10" t="s">
        <v>9813</v>
      </c>
      <c r="J3952" s="25" t="e">
        <f>IF(shinsei_strtower30_prgo01_NINTEI_NO="","",shinsei_strtower30_prgo01_NINTEI_NO)</f>
        <v>#NAME?</v>
      </c>
      <c r="K3952" s="10" t="s">
        <v>9765</v>
      </c>
      <c r="L3952" s="10" t="s">
        <v>3879</v>
      </c>
    </row>
    <row r="3953" spans="2:12" s="10" customFormat="1" ht="18" customHeight="1">
      <c r="B3953" s="10" t="s">
        <v>3964</v>
      </c>
      <c r="C3953" s="12"/>
      <c r="D3953" s="12"/>
      <c r="G3953" s="9" t="s">
        <v>9814</v>
      </c>
      <c r="H3953" s="74"/>
      <c r="I3953" s="10" t="s">
        <v>9815</v>
      </c>
      <c r="J3953" s="25" t="e">
        <f>IF(shinsei_strtower30_prgo01_NINTEI_DATE="","",TEXT(shinsei_strtower30_prgo01_NINTEI_DATE,"ggge年m月d日")&amp;"  ")</f>
        <v>#NAME?</v>
      </c>
    </row>
    <row r="3954" spans="2:12" s="10" customFormat="1" ht="18" customHeight="1">
      <c r="B3954" s="10" t="s">
        <v>9816</v>
      </c>
      <c r="C3954" s="12"/>
      <c r="D3954" s="12"/>
      <c r="G3954" s="9" t="s">
        <v>9817</v>
      </c>
      <c r="H3954" s="13"/>
    </row>
    <row r="3955" spans="2:12" s="10" customFormat="1" ht="18" customHeight="1">
      <c r="C3955" s="12" t="s">
        <v>3970</v>
      </c>
      <c r="D3955" s="12"/>
      <c r="G3955" s="9"/>
      <c r="H3955" s="12"/>
      <c r="I3955" s="9" t="s">
        <v>9818</v>
      </c>
      <c r="J3955" s="25" t="e">
        <f>IF(shinsei_strtower30_prgo01_NAME="","",shinsei_strtower30_prgo01_NAME)&amp;CHAR(10)&amp;IF(shinsei_strtower30_prgo01_VER="","","Ver."&amp;shinsei_strtower30_prgo01_VER&amp;CHAR(10))</f>
        <v>#NAME?</v>
      </c>
    </row>
    <row r="3956" spans="2:12" s="10" customFormat="1" ht="18" customHeight="1">
      <c r="C3956" s="12" t="s">
        <v>3972</v>
      </c>
      <c r="D3956" s="12"/>
      <c r="G3956" s="9"/>
      <c r="H3956" s="12"/>
      <c r="I3956" s="9" t="s">
        <v>9819</v>
      </c>
      <c r="J3956" s="25" t="e">
        <f>IF(shinsei_strtower30_prgo01_NAME="","",shinsei_strtower30_prgo01_NAME&amp;" ")&amp;IF(shinsei_strtower30_prgo01_VER="","","Ver."&amp;shinsei_strtower30_prgo01_VER&amp;"  ")</f>
        <v>#NAME?</v>
      </c>
    </row>
    <row r="3957" spans="2:12" s="10" customFormat="1" ht="18" customHeight="1">
      <c r="C3957" s="12" t="s">
        <v>3974</v>
      </c>
      <c r="D3957" s="12"/>
      <c r="G3957" s="9"/>
      <c r="H3957" s="12"/>
    </row>
    <row r="3958" spans="2:12" s="10" customFormat="1" ht="18" customHeight="1">
      <c r="D3958" s="12" t="s">
        <v>9820</v>
      </c>
      <c r="G3958" s="9"/>
      <c r="H3958" s="12"/>
      <c r="I3958" s="9" t="s">
        <v>9821</v>
      </c>
      <c r="J3958" s="173" t="e">
        <f>IF(cst_shinsei_strtower30_prgo01_NINTEI__umu="有",IF(shinsei_strtower30_prgo01_MAKER_NAME="","",shinsei_strtower30_prgo01_MAKER_NAME&amp;"  "),"")</f>
        <v>#NAME?</v>
      </c>
    </row>
    <row r="3959" spans="2:12" s="10" customFormat="1" ht="18" customHeight="1">
      <c r="B3959" s="12"/>
      <c r="D3959" s="12" t="s">
        <v>3972</v>
      </c>
      <c r="G3959" s="9"/>
      <c r="H3959" s="12"/>
      <c r="I3959" s="9" t="s">
        <v>9822</v>
      </c>
      <c r="J3959" s="25" t="e">
        <f>IF(cst_shinsei_strtower30_prgo01_NINTEI__umu="有",IF(shinsei_strtower30_prgo01_NAME="","",shinsei_strtower30_prgo01_NAME&amp;" ")&amp;IF(shinsei_strtower30_prgo01_VER="","","Ver."&amp;shinsei_strtower30_prgo01_VER&amp;"  "),"")</f>
        <v>#NAME?</v>
      </c>
    </row>
    <row r="3960" spans="2:12" s="10" customFormat="1" ht="18" customHeight="1">
      <c r="C3960" s="12" t="s">
        <v>3981</v>
      </c>
      <c r="D3960" s="12"/>
      <c r="G3960" s="9"/>
      <c r="H3960" s="12"/>
    </row>
    <row r="3961" spans="2:12" s="10" customFormat="1" ht="18" customHeight="1">
      <c r="B3961" s="12"/>
      <c r="D3961" s="12" t="s">
        <v>9820</v>
      </c>
      <c r="G3961" s="9"/>
      <c r="H3961" s="12"/>
      <c r="I3961" s="9" t="s">
        <v>9823</v>
      </c>
      <c r="J3961" s="173" t="e">
        <f>IF(cst_shinsei_strtower30_prgo01_NINTEI__umu="無",IF(shinsei_strtower30_prgo01_MAKER_NAME="","",shinsei_strtower30_prgo01_MAKER_NAME&amp;"  "),"")</f>
        <v>#NAME?</v>
      </c>
    </row>
    <row r="3962" spans="2:12" s="10" customFormat="1" ht="18" customHeight="1">
      <c r="B3962" s="12"/>
      <c r="D3962" s="12" t="s">
        <v>3972</v>
      </c>
      <c r="G3962" s="9"/>
      <c r="H3962" s="12"/>
      <c r="I3962" s="9" t="s">
        <v>9824</v>
      </c>
      <c r="J3962" s="25" t="e">
        <f>IF(cst_shinsei_strtower30_prgo01_NINTEI__umu="無",IF(shinsei_strtower30_prgo01_NAME="","",shinsei_strtower30_prgo01_NAME&amp;" ")&amp;IF(shinsei_strtower30_prgo01_VER="","","Ver."&amp;shinsei_strtower30_prgo01_VER&amp;"  "),"")</f>
        <v>#NAME?</v>
      </c>
    </row>
    <row r="3963" spans="2:12" s="10" customFormat="1" ht="18" customHeight="1">
      <c r="B3963" s="105" t="s">
        <v>9825</v>
      </c>
      <c r="C3963" s="105"/>
      <c r="D3963" s="105"/>
      <c r="E3963" s="24"/>
      <c r="F3963" s="24"/>
      <c r="G3963" s="9"/>
      <c r="H3963" s="12"/>
    </row>
    <row r="3964" spans="2:12" s="10" customFormat="1" ht="18" customHeight="1">
      <c r="B3964" s="10" t="s">
        <v>9660</v>
      </c>
      <c r="D3964" s="12"/>
      <c r="G3964" s="9" t="s">
        <v>9826</v>
      </c>
      <c r="H3964" s="13"/>
      <c r="K3964" s="10" t="s">
        <v>9765</v>
      </c>
      <c r="L3964" s="10" t="s">
        <v>3879</v>
      </c>
    </row>
    <row r="3965" spans="2:12" s="10" customFormat="1" ht="18" customHeight="1">
      <c r="B3965" s="10" t="s">
        <v>9827</v>
      </c>
      <c r="C3965" s="12"/>
      <c r="D3965" s="12"/>
      <c r="G3965" s="9" t="s">
        <v>9828</v>
      </c>
      <c r="H3965" s="13"/>
    </row>
    <row r="3966" spans="2:12" s="10" customFormat="1" ht="18" customHeight="1">
      <c r="B3966" s="10" t="s">
        <v>3957</v>
      </c>
      <c r="C3966" s="12"/>
      <c r="D3966" s="12"/>
      <c r="G3966" s="9"/>
      <c r="H3966" s="9"/>
      <c r="I3966" s="10" t="s">
        <v>9829</v>
      </c>
      <c r="J3966" s="25" t="e">
        <f>IF(shinsei_strtower30_prgo02_NAME="","",IF(shinsei_strtower30_prgo02_NINTEI_NO="","無","有"))</f>
        <v>#NAME?</v>
      </c>
      <c r="L3966" s="10" t="s">
        <v>3879</v>
      </c>
    </row>
    <row r="3967" spans="2:12" s="10" customFormat="1" ht="18" customHeight="1">
      <c r="B3967" s="10" t="s">
        <v>3960</v>
      </c>
      <c r="C3967" s="12"/>
      <c r="D3967" s="12"/>
      <c r="G3967" s="9" t="s">
        <v>9830</v>
      </c>
      <c r="H3967" s="13"/>
      <c r="K3967" s="10" t="s">
        <v>9765</v>
      </c>
      <c r="L3967" s="10" t="s">
        <v>3879</v>
      </c>
    </row>
    <row r="3968" spans="2:12" s="10" customFormat="1" ht="18" customHeight="1">
      <c r="B3968" s="10" t="s">
        <v>3964</v>
      </c>
      <c r="C3968" s="12"/>
      <c r="D3968" s="12"/>
      <c r="G3968" s="9" t="s">
        <v>9831</v>
      </c>
      <c r="H3968" s="74"/>
      <c r="I3968" s="10" t="s">
        <v>9832</v>
      </c>
      <c r="J3968" s="25" t="e">
        <f>IF(shinsei_strtower30_prgo02_NINTEI_DATE="","",shinsei_strtower30_prgo02_NINTEI_DATE)</f>
        <v>#NAME?</v>
      </c>
    </row>
    <row r="3969" spans="2:12" s="10" customFormat="1" ht="18" customHeight="1">
      <c r="B3969" s="10" t="s">
        <v>9833</v>
      </c>
      <c r="C3969" s="12"/>
      <c r="D3969" s="12"/>
      <c r="G3969" s="9" t="s">
        <v>9834</v>
      </c>
      <c r="H3969" s="13"/>
    </row>
    <row r="3970" spans="2:12" s="10" customFormat="1" ht="18" customHeight="1">
      <c r="C3970" s="12" t="s">
        <v>3970</v>
      </c>
      <c r="D3970" s="12"/>
      <c r="G3970" s="9"/>
      <c r="H3970" s="12"/>
      <c r="I3970" s="9" t="s">
        <v>9835</v>
      </c>
      <c r="J3970" s="25" t="e">
        <f>IF(shinsei_strtower30_prgo02_NAME="","",shinsei_strtower30_prgo02_NAME)&amp;CHAR(10)&amp;IF(shinsei_strtower30_prgo02_VER="","","Ver."&amp;shinsei_strtower30_prgo02_VER&amp;CHAR(10))</f>
        <v>#NAME?</v>
      </c>
    </row>
    <row r="3971" spans="2:12" s="10" customFormat="1" ht="18" customHeight="1">
      <c r="C3971" s="12" t="s">
        <v>3972</v>
      </c>
      <c r="D3971" s="12"/>
      <c r="G3971" s="9"/>
      <c r="H3971" s="12"/>
      <c r="I3971" s="9" t="s">
        <v>9836</v>
      </c>
      <c r="J3971" s="25" t="e">
        <f>IF(shinsei_strtower30_prgo02_NAME="","",shinsei_strtower30_prgo02_NAME&amp;" ")&amp;IF(shinsei_strtower30_prgo02_VER="","","Ver."&amp;shinsei_strtower30_prgo02_VER&amp;"  ")</f>
        <v>#NAME?</v>
      </c>
    </row>
    <row r="3972" spans="2:12" s="10" customFormat="1" ht="18" customHeight="1">
      <c r="C3972" s="12" t="s">
        <v>3974</v>
      </c>
      <c r="D3972" s="12"/>
      <c r="G3972" s="9"/>
      <c r="H3972" s="12"/>
    </row>
    <row r="3973" spans="2:12" s="10" customFormat="1" ht="18" customHeight="1">
      <c r="D3973" s="12" t="s">
        <v>9837</v>
      </c>
      <c r="G3973" s="9"/>
      <c r="H3973" s="12"/>
      <c r="I3973" s="9" t="s">
        <v>9838</v>
      </c>
      <c r="J3973" s="173" t="e">
        <f>IF(cst_shinsei_strtower30_prgo02_NINTEI__umu="有",IF(shinsei_strtower30_prgo02_MAKER_NAME="","",shinsei_strtower30_prgo02_MAKER_NAME&amp;"  "),"")</f>
        <v>#NAME?</v>
      </c>
    </row>
    <row r="3974" spans="2:12" s="10" customFormat="1" ht="18" customHeight="1">
      <c r="D3974" s="12" t="s">
        <v>3972</v>
      </c>
      <c r="G3974" s="9"/>
      <c r="H3974" s="12"/>
      <c r="I3974" s="9" t="s">
        <v>9839</v>
      </c>
      <c r="J3974" s="25" t="e">
        <f>IF(cst_shinsei_strtower30_prgo02_NINTEI__umu="有",IF(shinsei_strtower30_prgo02_NAME="","",shinsei_strtower30_prgo02_NAME&amp;" ")&amp;IF(shinsei_strtower30_prgo02_VER="","","Ver."&amp;shinsei_strtower30_prgo02_VER&amp;"  "),"")</f>
        <v>#NAME?</v>
      </c>
    </row>
    <row r="3975" spans="2:12" s="10" customFormat="1" ht="18" customHeight="1">
      <c r="C3975" s="12" t="s">
        <v>3981</v>
      </c>
      <c r="D3975" s="12"/>
      <c r="G3975" s="9"/>
      <c r="H3975" s="12"/>
    </row>
    <row r="3976" spans="2:12" s="10" customFormat="1" ht="18" customHeight="1">
      <c r="D3976" s="12" t="s">
        <v>9837</v>
      </c>
      <c r="G3976" s="9"/>
      <c r="H3976" s="12"/>
      <c r="I3976" s="9" t="s">
        <v>9840</v>
      </c>
      <c r="J3976" s="173" t="e">
        <f>IF(cst_shinsei_strtower30_prgo02_NINTEI__umu="無",IF(shinsei_strtower30_prgo02_MAKER_NAME="","",shinsei_strtower30_prgo02_MAKER_NAME&amp;"  "),"")</f>
        <v>#NAME?</v>
      </c>
    </row>
    <row r="3977" spans="2:12" s="10" customFormat="1" ht="18" customHeight="1">
      <c r="D3977" s="12" t="s">
        <v>3972</v>
      </c>
      <c r="G3977" s="9"/>
      <c r="H3977" s="12"/>
      <c r="I3977" s="9" t="s">
        <v>9841</v>
      </c>
      <c r="J3977" s="25" t="e">
        <f>IF(cst_shinsei_strtower30_prgo02_NINTEI__umu="無",IF(shinsei_strtower30_prgo02_NAME="","",shinsei_strtower30_prgo02_NAME&amp;" ")&amp;IF(shinsei_strtower30_prgo02_VER="","","Ver."&amp;shinsei_strtower30_prgo02_VER&amp;"  "),"")</f>
        <v>#NAME?</v>
      </c>
    </row>
    <row r="3978" spans="2:12" s="10" customFormat="1" ht="18" customHeight="1">
      <c r="B3978" s="105" t="s">
        <v>9842</v>
      </c>
      <c r="C3978" s="105"/>
      <c r="D3978" s="105"/>
      <c r="E3978" s="24"/>
      <c r="F3978" s="24"/>
      <c r="G3978" s="9"/>
      <c r="H3978" s="12"/>
    </row>
    <row r="3979" spans="2:12" s="10" customFormat="1" ht="18" customHeight="1">
      <c r="B3979" s="10" t="s">
        <v>9675</v>
      </c>
      <c r="D3979" s="12"/>
      <c r="G3979" s="9" t="s">
        <v>9843</v>
      </c>
      <c r="H3979" s="13"/>
    </row>
    <row r="3980" spans="2:12" s="10" customFormat="1" ht="18" customHeight="1">
      <c r="B3980" s="10" t="s">
        <v>9844</v>
      </c>
      <c r="C3980" s="12"/>
      <c r="D3980" s="12"/>
      <c r="G3980" s="9" t="s">
        <v>9845</v>
      </c>
      <c r="H3980" s="13"/>
    </row>
    <row r="3981" spans="2:12" s="10" customFormat="1" ht="18" customHeight="1">
      <c r="C3981" s="12" t="s">
        <v>3957</v>
      </c>
      <c r="D3981" s="12"/>
      <c r="G3981" s="9"/>
      <c r="H3981" s="9"/>
      <c r="I3981" s="10" t="s">
        <v>9846</v>
      </c>
      <c r="J3981" s="25" t="e">
        <f>IF(shinsei_strtower30_prgo03_NAME="","",IF(shinsei_strtower30_prgo03_NINTEI_NO="","無","有"))</f>
        <v>#NAME?</v>
      </c>
      <c r="K3981" s="10" t="s">
        <v>2941</v>
      </c>
      <c r="L3981" s="10" t="s">
        <v>3879</v>
      </c>
    </row>
    <row r="3982" spans="2:12" s="10" customFormat="1" ht="18" customHeight="1">
      <c r="C3982" s="12" t="s">
        <v>3960</v>
      </c>
      <c r="D3982" s="12"/>
      <c r="G3982" s="9" t="s">
        <v>9847</v>
      </c>
      <c r="H3982" s="13"/>
      <c r="K3982" s="10" t="s">
        <v>9848</v>
      </c>
      <c r="L3982" s="10" t="s">
        <v>3879</v>
      </c>
    </row>
    <row r="3983" spans="2:12" s="10" customFormat="1" ht="18" customHeight="1">
      <c r="C3983" s="12" t="s">
        <v>3964</v>
      </c>
      <c r="D3983" s="12"/>
      <c r="G3983" s="9" t="s">
        <v>9849</v>
      </c>
      <c r="H3983" s="74"/>
      <c r="I3983" s="10" t="s">
        <v>9850</v>
      </c>
      <c r="J3983" s="25" t="e">
        <f>IF(shinsei_strtower30_prgo03_NINTEI_DATE="","",TEXT(shinsei_strtower30_prgo03_NINTEI_DATE,"ggge年m月d日")&amp;"  ")</f>
        <v>#NAME?</v>
      </c>
    </row>
    <row r="3984" spans="2:12" s="10" customFormat="1" ht="18" customHeight="1">
      <c r="B3984" s="10" t="s">
        <v>9833</v>
      </c>
      <c r="C3984" s="12"/>
      <c r="D3984" s="12"/>
      <c r="G3984" s="9" t="s">
        <v>9851</v>
      </c>
      <c r="H3984" s="13"/>
      <c r="I3984" s="9"/>
      <c r="J3984" s="9"/>
    </row>
    <row r="3985" spans="2:12" s="10" customFormat="1" ht="18" customHeight="1">
      <c r="C3985" s="12" t="s">
        <v>3970</v>
      </c>
      <c r="D3985" s="12"/>
      <c r="G3985" s="9"/>
      <c r="H3985" s="12"/>
      <c r="I3985" s="9" t="s">
        <v>9852</v>
      </c>
      <c r="J3985" s="25" t="e">
        <f>IF(shinsei_strtower30_prgo03_NAME="","",shinsei_strtower30_prgo03_NAME)&amp;CHAR(10)&amp;IF(shinsei_strtower30_prgo03_VER="","","Ver."&amp;shinsei_strtower30_prgo03_VER&amp;CHAR(10))</f>
        <v>#NAME?</v>
      </c>
    </row>
    <row r="3986" spans="2:12" s="10" customFormat="1" ht="18" customHeight="1">
      <c r="C3986" s="12" t="s">
        <v>3972</v>
      </c>
      <c r="D3986" s="12"/>
      <c r="G3986" s="9"/>
      <c r="H3986" s="12"/>
      <c r="I3986" s="9" t="s">
        <v>9853</v>
      </c>
      <c r="J3986" s="25" t="e">
        <f>IF(shinsei_strtower30_prgo03_NAME="","",shinsei_strtower30_prgo03_NAME&amp;" ")&amp;IF(shinsei_strtower30_prgo03_VER="","","Ver."&amp;shinsei_strtower30_prgo03_VER&amp;"  ")</f>
        <v>#NAME?</v>
      </c>
    </row>
    <row r="3987" spans="2:12" s="10" customFormat="1" ht="18" customHeight="1">
      <c r="C3987" s="12" t="s">
        <v>3974</v>
      </c>
      <c r="D3987" s="12"/>
      <c r="G3987" s="9"/>
      <c r="H3987" s="12"/>
    </row>
    <row r="3988" spans="2:12" s="10" customFormat="1" ht="18" customHeight="1">
      <c r="D3988" s="12" t="s">
        <v>9837</v>
      </c>
      <c r="G3988" s="9"/>
      <c r="H3988" s="12"/>
      <c r="I3988" s="9" t="s">
        <v>9854</v>
      </c>
      <c r="J3988" s="173" t="e">
        <f>IF(cst_shinsei_strtower30_prgo03_NINTEI__umu="有",IF(shinsei_strtower30_prgo03_MAKER_NAME="","",shinsei_strtower30_prgo03_MAKER_NAME&amp;"  "),"")</f>
        <v>#NAME?</v>
      </c>
    </row>
    <row r="3989" spans="2:12" s="10" customFormat="1" ht="18" customHeight="1">
      <c r="D3989" s="12" t="s">
        <v>3972</v>
      </c>
      <c r="G3989" s="9"/>
      <c r="H3989" s="12"/>
      <c r="I3989" s="9" t="s">
        <v>9855</v>
      </c>
      <c r="J3989" s="25" t="e">
        <f>IF(cst_shinsei_strtower30_prgo03_NINTEI__umu="有",IF(shinsei_strtower30_prgo03_NAME="","",shinsei_strtower30_prgo03_NAME&amp;" ")&amp;IF(shinsei_strtower30_prgo03_VER="","","Ver."&amp;shinsei_strtower30_prgo03_VER&amp;"  "),"")</f>
        <v>#NAME?</v>
      </c>
    </row>
    <row r="3990" spans="2:12" s="10" customFormat="1" ht="18" customHeight="1">
      <c r="C3990" s="12" t="s">
        <v>3981</v>
      </c>
      <c r="D3990" s="12"/>
      <c r="G3990" s="9"/>
      <c r="H3990" s="12"/>
    </row>
    <row r="3991" spans="2:12" s="10" customFormat="1" ht="18" customHeight="1">
      <c r="D3991" s="12" t="s">
        <v>9837</v>
      </c>
      <c r="G3991" s="9"/>
      <c r="H3991" s="12"/>
      <c r="I3991" s="9" t="s">
        <v>9856</v>
      </c>
      <c r="J3991" s="173" t="e">
        <f>IF(cst_shinsei_strtower30_prgo03_NINTEI__umu="無",IF(shinsei_strtower30_prgo03_MAKER_NAME="","",shinsei_strtower30_prgo03_MAKER_NAME&amp;"  "),"")</f>
        <v>#NAME?</v>
      </c>
    </row>
    <row r="3992" spans="2:12" s="10" customFormat="1" ht="18" customHeight="1">
      <c r="D3992" s="12" t="s">
        <v>3972</v>
      </c>
      <c r="G3992" s="9"/>
      <c r="H3992" s="12"/>
      <c r="I3992" s="9" t="s">
        <v>9857</v>
      </c>
      <c r="J3992" s="25" t="e">
        <f>IF(cst_shinsei_strtower30_prgo03_NINTEI__umu="無",IF(shinsei_strtower30_prgo03_NAME="","",shinsei_strtower30_prgo03_NAME&amp;" ")&amp;IF(shinsei_strtower30_prgo03_VER="","","Ver."&amp;shinsei_strtower30_prgo03_VER&amp;"  "),"")</f>
        <v>#NAME?</v>
      </c>
    </row>
    <row r="3993" spans="2:12" s="10" customFormat="1" ht="18" customHeight="1">
      <c r="B3993" s="105" t="s">
        <v>9858</v>
      </c>
      <c r="C3993" s="105"/>
      <c r="D3993" s="105"/>
      <c r="E3993" s="24"/>
      <c r="F3993" s="24"/>
      <c r="G3993" s="9"/>
      <c r="H3993" s="12"/>
    </row>
    <row r="3994" spans="2:12" s="10" customFormat="1" ht="18" customHeight="1">
      <c r="B3994" s="10" t="s">
        <v>9690</v>
      </c>
      <c r="D3994" s="12"/>
      <c r="G3994" s="9" t="s">
        <v>9859</v>
      </c>
      <c r="H3994" s="13"/>
    </row>
    <row r="3995" spans="2:12" s="10" customFormat="1" ht="18" customHeight="1">
      <c r="B3995" s="10" t="s">
        <v>9844</v>
      </c>
      <c r="C3995" s="12"/>
      <c r="D3995" s="12"/>
      <c r="G3995" s="9" t="s">
        <v>9860</v>
      </c>
      <c r="H3995" s="13"/>
    </row>
    <row r="3996" spans="2:12" s="10" customFormat="1" ht="18" customHeight="1">
      <c r="C3996" s="12" t="s">
        <v>3957</v>
      </c>
      <c r="D3996" s="12"/>
      <c r="G3996" s="9"/>
      <c r="H3996" s="9"/>
      <c r="I3996" s="10" t="s">
        <v>9861</v>
      </c>
      <c r="J3996" s="25" t="e">
        <f>IF(shinsei_strtower30_prgo04_NAME="","",IF(shinsei_strtower30_prgo04_NINTEI_NO="","無","有"))</f>
        <v>#NAME?</v>
      </c>
      <c r="K3996" s="10" t="s">
        <v>2941</v>
      </c>
      <c r="L3996" s="10" t="s">
        <v>3879</v>
      </c>
    </row>
    <row r="3997" spans="2:12" s="10" customFormat="1" ht="18" customHeight="1">
      <c r="C3997" s="12" t="s">
        <v>3960</v>
      </c>
      <c r="D3997" s="12"/>
      <c r="G3997" s="9" t="s">
        <v>9862</v>
      </c>
      <c r="H3997" s="13"/>
      <c r="K3997" s="10" t="s">
        <v>9848</v>
      </c>
      <c r="L3997" s="10" t="s">
        <v>3879</v>
      </c>
    </row>
    <row r="3998" spans="2:12" s="10" customFormat="1" ht="18" customHeight="1">
      <c r="C3998" s="12" t="s">
        <v>3964</v>
      </c>
      <c r="D3998" s="12"/>
      <c r="G3998" s="9" t="s">
        <v>9863</v>
      </c>
      <c r="H3998" s="74"/>
      <c r="I3998" s="10" t="s">
        <v>9864</v>
      </c>
      <c r="J3998" s="25" t="e">
        <f>IF(shinsei_strtower30_prgo04_NINTEI_DATE="","",TEXT(shinsei_strtower30_prgo04_NINTEI_DATE,"ggge年m月d日")&amp;"  ")</f>
        <v>#NAME?</v>
      </c>
    </row>
    <row r="3999" spans="2:12" s="10" customFormat="1" ht="18" customHeight="1">
      <c r="B3999" s="10" t="s">
        <v>9833</v>
      </c>
      <c r="C3999" s="12"/>
      <c r="D3999" s="12"/>
      <c r="G3999" s="9" t="s">
        <v>9865</v>
      </c>
      <c r="H3999" s="13"/>
      <c r="I3999" s="9"/>
      <c r="J3999" s="9"/>
    </row>
    <row r="4000" spans="2:12" s="10" customFormat="1" ht="18" customHeight="1">
      <c r="C4000" s="12" t="s">
        <v>3970</v>
      </c>
      <c r="D4000" s="12"/>
      <c r="G4000" s="9"/>
      <c r="H4000" s="12"/>
      <c r="I4000" s="9" t="s">
        <v>9866</v>
      </c>
      <c r="J4000" s="25" t="e">
        <f>IF(shinsei_strtower30_prgo04_NAME="","",shinsei_strtower30_prgo04_NAME)&amp;CHAR(10)&amp;IF(shinsei_strtower30_prgo04_VER="","","Ver."&amp;shinsei_strtower30_prgo04_VER&amp;CHAR(10))</f>
        <v>#NAME?</v>
      </c>
    </row>
    <row r="4001" spans="2:12" s="10" customFormat="1" ht="18" customHeight="1">
      <c r="C4001" s="12" t="s">
        <v>3972</v>
      </c>
      <c r="D4001" s="12"/>
      <c r="G4001" s="9"/>
      <c r="H4001" s="12"/>
      <c r="I4001" s="9" t="s">
        <v>9867</v>
      </c>
      <c r="J4001" s="25" t="e">
        <f>IF(shinsei_strtower30_prgo04_NAME="","",shinsei_strtower30_prgo04_NAME&amp;" ")&amp;IF(shinsei_strtower30_prgo04_VER="","","Ver."&amp;shinsei_strtower30_prgo04_VER&amp;"  ")</f>
        <v>#NAME?</v>
      </c>
    </row>
    <row r="4002" spans="2:12" s="10" customFormat="1" ht="18" customHeight="1">
      <c r="C4002" s="12" t="s">
        <v>3974</v>
      </c>
      <c r="D4002" s="12"/>
      <c r="G4002" s="9"/>
      <c r="H4002" s="12"/>
    </row>
    <row r="4003" spans="2:12" s="10" customFormat="1" ht="18" customHeight="1">
      <c r="D4003" s="12" t="s">
        <v>9837</v>
      </c>
      <c r="G4003" s="9"/>
      <c r="H4003" s="12"/>
      <c r="I4003" s="9" t="s">
        <v>9868</v>
      </c>
      <c r="J4003" s="173" t="e">
        <f>IF(cst_shinsei_strtower30_prgo04_NINTEI__umu="有",IF(shinsei_strtower30_prgo04_MAKER_NAME="","",shinsei_strtower30_prgo04_MAKER_NAME&amp;"  "),"")</f>
        <v>#NAME?</v>
      </c>
    </row>
    <row r="4004" spans="2:12" s="10" customFormat="1" ht="18" customHeight="1">
      <c r="D4004" s="12" t="s">
        <v>3972</v>
      </c>
      <c r="G4004" s="9"/>
      <c r="H4004" s="12"/>
      <c r="I4004" s="9" t="s">
        <v>9869</v>
      </c>
      <c r="J4004" s="25" t="e">
        <f>IF(cst_shinsei_strtower30_prgo04_NINTEI__umu="有",IF(shinsei_strtower30_prgo04_NAME="","",shinsei_strtower30_prgo04_NAME&amp;" ")&amp;IF(shinsei_strtower30_prgo04_VER="","","Ver."&amp;shinsei_strtower30_prgo04_VER&amp;"  "),"")</f>
        <v>#NAME?</v>
      </c>
    </row>
    <row r="4005" spans="2:12" s="10" customFormat="1" ht="18" customHeight="1">
      <c r="C4005" s="12" t="s">
        <v>3981</v>
      </c>
      <c r="D4005" s="12"/>
      <c r="G4005" s="9"/>
      <c r="H4005" s="12"/>
    </row>
    <row r="4006" spans="2:12" s="10" customFormat="1" ht="18" customHeight="1">
      <c r="D4006" s="12" t="s">
        <v>9837</v>
      </c>
      <c r="G4006" s="9"/>
      <c r="H4006" s="12"/>
      <c r="I4006" s="9" t="s">
        <v>9870</v>
      </c>
      <c r="J4006" s="173" t="e">
        <f>IF(cst_shinsei_strtower30_prgo04_NINTEI__umu="無",IF(shinsei_strtower30_prgo04_MAKER_NAME="","",shinsei_strtower30_prgo04_MAKER_NAME&amp;"  "),"")</f>
        <v>#NAME?</v>
      </c>
    </row>
    <row r="4007" spans="2:12" s="10" customFormat="1" ht="18" customHeight="1">
      <c r="D4007" s="12" t="s">
        <v>3972</v>
      </c>
      <c r="G4007" s="9"/>
      <c r="H4007" s="12"/>
      <c r="I4007" s="9" t="s">
        <v>9871</v>
      </c>
      <c r="J4007" s="25" t="e">
        <f>IF(cst_shinsei_strtower30_prgo04_NINTEI__umu="無",IF(shinsei_strtower30_prgo04_NAME="","",shinsei_strtower30_prgo04_NAME&amp;" ")&amp;IF(shinsei_strtower30_prgo04_VER="","","Ver."&amp;shinsei_strtower30_prgo04_VER&amp;"  "),"")</f>
        <v>#NAME?</v>
      </c>
    </row>
    <row r="4008" spans="2:12" s="10" customFormat="1" ht="18" customHeight="1">
      <c r="B4008" s="105" t="s">
        <v>9872</v>
      </c>
      <c r="C4008" s="105"/>
      <c r="D4008" s="105"/>
      <c r="E4008" s="24"/>
      <c r="F4008" s="24"/>
      <c r="G4008" s="9"/>
      <c r="H4008" s="12"/>
    </row>
    <row r="4009" spans="2:12" s="10" customFormat="1" ht="18" customHeight="1">
      <c r="B4009" s="10" t="s">
        <v>9708</v>
      </c>
      <c r="D4009" s="12"/>
      <c r="G4009" s="9" t="s">
        <v>9873</v>
      </c>
      <c r="H4009" s="13"/>
    </row>
    <row r="4010" spans="2:12" s="10" customFormat="1" ht="18" customHeight="1">
      <c r="B4010" s="10" t="s">
        <v>9844</v>
      </c>
      <c r="C4010" s="12"/>
      <c r="D4010" s="12"/>
      <c r="G4010" s="9" t="s">
        <v>9874</v>
      </c>
      <c r="H4010" s="13"/>
    </row>
    <row r="4011" spans="2:12" s="10" customFormat="1" ht="18" customHeight="1">
      <c r="C4011" s="12" t="s">
        <v>3957</v>
      </c>
      <c r="D4011" s="12"/>
      <c r="G4011" s="9"/>
      <c r="H4011" s="9"/>
      <c r="I4011" s="10" t="s">
        <v>9875</v>
      </c>
      <c r="J4011" s="25" t="e">
        <f>IF(shinsei_strtower30_prgo05_NAME="","",IF(shinsei_strtower30_prgo05_NINTEI_NO="","無","有"))</f>
        <v>#NAME?</v>
      </c>
      <c r="K4011" s="10" t="s">
        <v>2941</v>
      </c>
      <c r="L4011" s="10" t="s">
        <v>3879</v>
      </c>
    </row>
    <row r="4012" spans="2:12" s="10" customFormat="1" ht="18" customHeight="1">
      <c r="C4012" s="12" t="s">
        <v>3960</v>
      </c>
      <c r="D4012" s="12"/>
      <c r="G4012" s="9" t="s">
        <v>9876</v>
      </c>
      <c r="H4012" s="13"/>
      <c r="K4012" s="10" t="s">
        <v>9848</v>
      </c>
      <c r="L4012" s="10" t="s">
        <v>3879</v>
      </c>
    </row>
    <row r="4013" spans="2:12" s="10" customFormat="1" ht="18" customHeight="1">
      <c r="C4013" s="12" t="s">
        <v>3964</v>
      </c>
      <c r="D4013" s="12"/>
      <c r="G4013" s="9" t="s">
        <v>9877</v>
      </c>
      <c r="H4013" s="74"/>
      <c r="I4013" s="10" t="s">
        <v>9878</v>
      </c>
      <c r="J4013" s="25" t="e">
        <f>IF(shinsei_strtower30_prgo05_NINTEI_DATE="","",TEXT(shinsei_strtower30_prgo05_NINTEI_DATE,"ggge年m月d日")&amp;"  ")</f>
        <v>#NAME?</v>
      </c>
    </row>
    <row r="4014" spans="2:12" s="10" customFormat="1" ht="18" customHeight="1">
      <c r="B4014" s="10" t="s">
        <v>9833</v>
      </c>
      <c r="C4014" s="12"/>
      <c r="D4014" s="12"/>
      <c r="G4014" s="9" t="s">
        <v>9879</v>
      </c>
      <c r="H4014" s="13"/>
    </row>
    <row r="4015" spans="2:12" s="10" customFormat="1" ht="18" customHeight="1">
      <c r="C4015" s="12" t="s">
        <v>3970</v>
      </c>
      <c r="D4015" s="12"/>
      <c r="G4015" s="9"/>
      <c r="H4015" s="12"/>
      <c r="I4015" s="9" t="s">
        <v>9880</v>
      </c>
      <c r="J4015" s="25" t="e">
        <f>IF(shinsei_strtower30_prgo05_NAME="","",shinsei_strtower30_prgo05_NAME)&amp;CHAR(10)&amp;IF(shinsei_strtower30_prgo05_VER="","","Ver."&amp;shinsei_strtower30_prgo05_VER&amp;CHAR(10))</f>
        <v>#NAME?</v>
      </c>
    </row>
    <row r="4016" spans="2:12" s="10" customFormat="1" ht="18" customHeight="1">
      <c r="C4016" s="12" t="s">
        <v>3972</v>
      </c>
      <c r="D4016" s="12"/>
      <c r="G4016" s="9"/>
      <c r="H4016" s="12"/>
      <c r="I4016" s="9" t="s">
        <v>9881</v>
      </c>
      <c r="J4016" s="25" t="e">
        <f>IF(shinsei_strtower30_prgo05_NAME="","",shinsei_strtower30_prgo05_NAME&amp;" ")&amp;IF(shinsei_strtower30_prgo05_VER="","","Ver."&amp;shinsei_strtower30_prgo05^_VER&amp;"  ")</f>
        <v>#NAME?</v>
      </c>
    </row>
    <row r="4017" spans="2:10" s="10" customFormat="1" ht="18" customHeight="1">
      <c r="C4017" s="12" t="s">
        <v>3974</v>
      </c>
      <c r="D4017" s="12"/>
      <c r="G4017" s="9"/>
      <c r="H4017" s="12"/>
    </row>
    <row r="4018" spans="2:10" s="10" customFormat="1" ht="18" customHeight="1">
      <c r="D4018" s="12" t="s">
        <v>9837</v>
      </c>
      <c r="G4018" s="9"/>
      <c r="H4018" s="12"/>
      <c r="I4018" s="9" t="s">
        <v>9882</v>
      </c>
      <c r="J4018" s="173" t="e">
        <f>IF(cst_shinsei_strtower30_prgo05_NINTEI__umu="有",IF(shinsei_strtower30_prgo05_MAKER_NAME="","",shinsei_strtower30_prgo05_MAKER_NAME&amp;"  "),"")</f>
        <v>#NAME?</v>
      </c>
    </row>
    <row r="4019" spans="2:10" s="10" customFormat="1" ht="18" customHeight="1">
      <c r="D4019" s="12" t="s">
        <v>3972</v>
      </c>
      <c r="G4019" s="9"/>
      <c r="H4019" s="12"/>
      <c r="I4019" s="9" t="s">
        <v>9883</v>
      </c>
      <c r="J4019" s="25" t="e">
        <f>IF(cst_shinsei_strtower30_prgo05_NINTEI__umu="有",IF(shinsei_strtower30_prgo05_NAME="","",shinsei_strtower30_prgo05_NAME&amp;" ")&amp;IF(shinsei_strtower30_prgo05_VER="","","Ver."&amp;shinsei_strtower30_prgo05_VER&amp;"  "),"")</f>
        <v>#NAME?</v>
      </c>
    </row>
    <row r="4020" spans="2:10" s="10" customFormat="1" ht="18" customHeight="1">
      <c r="C4020" s="12" t="s">
        <v>3981</v>
      </c>
      <c r="D4020" s="12"/>
      <c r="G4020" s="9"/>
      <c r="H4020" s="12"/>
    </row>
    <row r="4021" spans="2:10" s="10" customFormat="1" ht="18" customHeight="1">
      <c r="D4021" s="12" t="s">
        <v>9837</v>
      </c>
      <c r="G4021" s="9"/>
      <c r="H4021" s="12"/>
      <c r="I4021" s="9" t="s">
        <v>9884</v>
      </c>
      <c r="J4021" s="173" t="e">
        <f>IF(cst_shinsei_strtower30_prgo05_NINTEI__umu="無",IF(shinsei_strtower30_prgo05_MAKER_NAME="","",shinsei_strtower30_prgo05_MAKER_NAME&amp;"  "),"")</f>
        <v>#NAME?</v>
      </c>
    </row>
    <row r="4022" spans="2:10" s="10" customFormat="1" ht="18" customHeight="1">
      <c r="D4022" s="12" t="s">
        <v>3972</v>
      </c>
      <c r="G4022" s="9"/>
      <c r="H4022" s="12"/>
      <c r="I4022" s="9" t="s">
        <v>9885</v>
      </c>
      <c r="J4022" s="25" t="e">
        <f>IF(cst_shinsei_strtower30_prgo05_NINTEI__umu="無",IF(shinsei_strtower30_prgo05_NAME="","",shinsei_strtower30_prgo05_NAME&amp;" ")&amp;IF(shinsei_strtower30_prgo05_VER="","","Ver."&amp;shinsei_strtower30_prgo05_VER&amp;"  "),"")</f>
        <v>#NAME?</v>
      </c>
    </row>
    <row r="4023" spans="2:10" s="10" customFormat="1" ht="18" customHeight="1">
      <c r="B4023" s="13" t="s">
        <v>9886</v>
      </c>
      <c r="C4023" s="13"/>
      <c r="D4023" s="13"/>
      <c r="E4023" s="25"/>
      <c r="F4023" s="25"/>
      <c r="G4023" s="9"/>
      <c r="H4023" s="80"/>
      <c r="I4023" s="9"/>
      <c r="J4023" s="80"/>
    </row>
    <row r="4024" spans="2:10" s="10" customFormat="1" ht="18" customHeight="1">
      <c r="C4024" s="12" t="s">
        <v>3970</v>
      </c>
      <c r="D4024" s="12"/>
      <c r="G4024" s="9"/>
      <c r="H4024" s="80"/>
      <c r="I4024" s="166" t="s">
        <v>9887</v>
      </c>
      <c r="J4024" s="74" t="e">
        <f>cst_shinsei_strtower30_prgo01_NAME_VER&amp;cst_shinsei_strtower30_prgo02_NAME_VER&amp;cst_shinsei_strtower30_prgo03_NAME_VER&amp;cst_shinsei_strtower30_prgo04_NAME_VER&amp;cst_shinsei_strtower30_prgo05_NAME_VER</f>
        <v>#NAME?</v>
      </c>
    </row>
    <row r="4025" spans="2:10" s="10" customFormat="1" ht="18" customHeight="1">
      <c r="C4025" s="12" t="s">
        <v>3972</v>
      </c>
      <c r="D4025" s="12"/>
      <c r="G4025" s="9"/>
      <c r="H4025" s="80"/>
      <c r="I4025" s="166" t="s">
        <v>9888</v>
      </c>
      <c r="J4025" s="74" t="e">
        <f>cst_shinsei_strtower30_prgo01_NAME_VER__SP&amp;cst_shinsei_strtower30_prgo02_NAME_VER__SP&amp;cst_shinsei_strtower30_prgo03_NAME_VER__SP&amp;cst_shinsei_strtower30_prgo04_NAME_VER__SP&amp;cst_shinsei_strtower30_prgo05_NAME_VER__SP</f>
        <v>#NAME?</v>
      </c>
    </row>
    <row r="4026" spans="2:10" s="10" customFormat="1" ht="18" customHeight="1">
      <c r="B4026" s="13" t="s">
        <v>4068</v>
      </c>
      <c r="C4026" s="13"/>
      <c r="D4026" s="13"/>
      <c r="E4026" s="25"/>
      <c r="F4026" s="25"/>
      <c r="G4026" s="9"/>
      <c r="H4026" s="80"/>
      <c r="I4026" s="9"/>
      <c r="J4026" s="80"/>
    </row>
    <row r="4027" spans="2:10" s="10" customFormat="1" ht="18" customHeight="1">
      <c r="C4027" s="12" t="s">
        <v>9889</v>
      </c>
      <c r="D4027" s="12"/>
      <c r="G4027" s="9"/>
      <c r="H4027" s="80"/>
      <c r="I4027" s="166" t="s">
        <v>9890</v>
      </c>
      <c r="J4027" s="74" t="e">
        <f>cst_shinsei_strtower30_prgo01_MAKER__NINTEI_ari&amp;cst_shinsei_strtower30_prgo02_MAKER__NINTEI_ari&amp;cst_shinsei_strtower30_prgo03_MAKER__NINTEI_ari&amp;cst_shinsei_strtower30_prgo04_MAKER__NINTEI_ari&amp;cst_shinsei_strtower30_prgo05_MAKER__NINTEI_ari</f>
        <v>#NAME?</v>
      </c>
    </row>
    <row r="4028" spans="2:10" s="10" customFormat="1" ht="18" customHeight="1">
      <c r="C4028" s="12" t="s">
        <v>3972</v>
      </c>
      <c r="D4028" s="12"/>
      <c r="G4028" s="9"/>
      <c r="H4028" s="80"/>
      <c r="I4028" s="166" t="s">
        <v>9891</v>
      </c>
      <c r="J4028" s="173" t="e">
        <f>cst_shinsei_strtower30_prgo01_NAME_VER__NINTEI_ari&amp;cst_shinsei_strtower30_prgo02_NAME_VER__NINTEI_ari&amp;cst_shinsei_strtower30_prgo03_NAME_VER__NINTEI_ari&amp;cst_shinsei_strtower30_prgo04_NAME_VER__NINTEI_ari&amp;cst_shinsei_strtower30_prgo05_NAME_VER__NINTEI_ari</f>
        <v>#NAME?</v>
      </c>
    </row>
    <row r="4029" spans="2:10" s="10" customFormat="1" ht="18" customHeight="1">
      <c r="C4029" s="12" t="s">
        <v>3964</v>
      </c>
      <c r="D4029" s="12"/>
      <c r="G4029" s="9"/>
      <c r="H4029" s="80"/>
      <c r="I4029" s="166" t="s">
        <v>9892</v>
      </c>
      <c r="J4029" s="74" t="e">
        <f>cst_shinsei_strtower30_prgo01_NINTEI_DATE_dsp&amp;cst_shinsei_strtower30_prgo02_NINTEI_DATE_dsp&amp;cst_shinsei_strtower30_prgo03_NINTEI_DATE_dsp&amp;cst_shinsei_strtower30_prgo04_NINTEI_DATE_dsp&amp;cst_shinsei_strtower30_prgo05_NINTEI_DATE_dsp</f>
        <v>#NAME?</v>
      </c>
    </row>
    <row r="4030" spans="2:10" s="10" customFormat="1" ht="18" customHeight="1">
      <c r="B4030" s="13" t="s">
        <v>4072</v>
      </c>
      <c r="C4030" s="13"/>
      <c r="D4030" s="13"/>
      <c r="E4030" s="25"/>
      <c r="F4030" s="25"/>
      <c r="G4030" s="9"/>
      <c r="H4030" s="80"/>
      <c r="I4030" s="9"/>
      <c r="J4030" s="80"/>
    </row>
    <row r="4031" spans="2:10" s="10" customFormat="1" ht="18" customHeight="1">
      <c r="C4031" s="12" t="s">
        <v>3975</v>
      </c>
      <c r="D4031" s="12"/>
      <c r="G4031" s="9"/>
      <c r="H4031" s="80"/>
      <c r="I4031" s="166" t="s">
        <v>9893</v>
      </c>
      <c r="J4031" s="74" t="e">
        <f>cst_shinsei_strtower30_prgo01_MAKER__NINTEI_non&amp;cst_shinsei_strtower30_prgo02_MAKER__NINTEI_non&amp;cst_shinsei_strtower30_prgo03_MAKER__NINTEI_non&amp;cst_shinsei_strtower30_prgo04_MAKER__NINTEI_non&amp;cst_shinsei_strtower30_prgo05_MAKER__NINTEI_non</f>
        <v>#NAME?</v>
      </c>
    </row>
    <row r="4032" spans="2:10" s="10" customFormat="1" ht="18" customHeight="1">
      <c r="C4032" s="12" t="s">
        <v>3972</v>
      </c>
      <c r="D4032" s="12"/>
      <c r="G4032" s="9"/>
      <c r="H4032" s="80"/>
      <c r="I4032" s="166" t="s">
        <v>9894</v>
      </c>
      <c r="J4032" s="173" t="e">
        <f>cst_shinsei_strtower30_prgo01_NAME_VER__NINTEI_non&amp;cst_shinsei_strtower30_prgo02_NAME_VER__NINTEI_non&amp;cst_shinsei_strtower30_prgo03_NAME_VER__NINTEI_non&amp;cst_shinsei_strtower30_prgo04_NAME_VER__NINTEI_non&amp;cst_shinsei_strtower30_prgo05_NAME_VER__NINTEI_non</f>
        <v>#NAME?</v>
      </c>
    </row>
    <row r="4033" spans="1:12" s="10" customFormat="1" ht="18" customHeight="1">
      <c r="B4033" s="12" t="s">
        <v>4075</v>
      </c>
      <c r="G4033" s="9" t="s">
        <v>9895</v>
      </c>
      <c r="H4033" s="20"/>
      <c r="I4033" s="9" t="s">
        <v>9896</v>
      </c>
      <c r="J4033" s="20" t="e">
        <f>IF(shinsei_strtower30_DISK_FLAG="","",IF(shinsei_strtower30_DISK_FLAG=1,"有","無"))</f>
        <v>#NAME?</v>
      </c>
    </row>
    <row r="4034" spans="1:12" s="10" customFormat="1" ht="18" customHeight="1">
      <c r="A4034" s="9"/>
      <c r="B4034" s="9" t="s">
        <v>2955</v>
      </c>
      <c r="C4034" s="9"/>
      <c r="D4034" s="9"/>
      <c r="E4034" s="9"/>
      <c r="F4034" s="9"/>
      <c r="G4034" s="9" t="s">
        <v>8694</v>
      </c>
      <c r="H4034" s="136"/>
      <c r="I4034" s="19" t="s">
        <v>8695</v>
      </c>
      <c r="J4034" s="171" t="e">
        <f>IF(shinsei_strtower30_CHARGE="","",shinsei_strtower30_CHARGE)</f>
        <v>#NAME?</v>
      </c>
      <c r="K4034" s="9" t="s">
        <v>2528</v>
      </c>
      <c r="L4034" s="9" t="s">
        <v>2528</v>
      </c>
    </row>
    <row r="4035" spans="1:12" ht="18" customHeight="1">
      <c r="A4035" s="149"/>
      <c r="B4035" s="149"/>
      <c r="C4035" s="149"/>
      <c r="D4035" s="149"/>
      <c r="E4035" s="12" t="s">
        <v>3907</v>
      </c>
      <c r="F4035" s="12"/>
      <c r="G4035" s="149"/>
      <c r="I4035" s="100" t="s">
        <v>8696</v>
      </c>
      <c r="J4035" s="171" t="e">
        <f>IF(shinsei_strtower30_CHARGE="","",TEXT(shinsei_strtower30_CHARGE,"#,##0_ ")&amp;"円")</f>
        <v>#NAME?</v>
      </c>
      <c r="K4035" s="9"/>
      <c r="L4035" s="9"/>
    </row>
    <row r="4036" spans="1:12" ht="18" customHeight="1">
      <c r="A4036" s="149"/>
      <c r="B4036" s="149" t="s">
        <v>3041</v>
      </c>
      <c r="C4036" s="149"/>
      <c r="D4036" s="149"/>
      <c r="E4036" s="149"/>
      <c r="F4036" s="149"/>
      <c r="G4036" s="149" t="s">
        <v>8697</v>
      </c>
      <c r="H4036" s="136"/>
      <c r="I4036" s="100" t="s">
        <v>8698</v>
      </c>
      <c r="J4036" s="136" t="e">
        <f>IF(shinsei_strtower30_CHARGE_WARIMASHI="","",shinsei_strtower30_CHARGE_WARIMASHI)</f>
        <v>#NAME?</v>
      </c>
      <c r="K4036" s="9" t="s">
        <v>2528</v>
      </c>
      <c r="L4036" s="9" t="s">
        <v>2528</v>
      </c>
    </row>
    <row r="4037" spans="1:12" ht="18" customHeight="1">
      <c r="A4037" s="149"/>
      <c r="B4037" s="149" t="s">
        <v>3043</v>
      </c>
      <c r="C4037" s="149"/>
      <c r="D4037" s="149"/>
      <c r="E4037" s="149"/>
      <c r="F4037" s="149"/>
      <c r="G4037" s="149" t="s">
        <v>8699</v>
      </c>
      <c r="H4037" s="136"/>
      <c r="I4037" s="100" t="s">
        <v>8700</v>
      </c>
      <c r="J4037" s="136" t="e">
        <f>IF(shinsei_strtower30_CHARGE_TOTAL="","",shinsei_strtower30_CHARGE_TOTAL)</f>
        <v>#NAME?</v>
      </c>
      <c r="K4037" s="9" t="s">
        <v>2528</v>
      </c>
      <c r="L4037" s="9" t="s">
        <v>2528</v>
      </c>
    </row>
    <row r="4038" spans="1:12" ht="18" customHeight="1">
      <c r="A4038" s="149"/>
      <c r="B4038" s="149" t="s">
        <v>5637</v>
      </c>
      <c r="C4038" s="149"/>
      <c r="D4038" s="149"/>
      <c r="E4038" s="149"/>
      <c r="F4038" s="149"/>
      <c r="G4038" s="149" t="s">
        <v>8701</v>
      </c>
      <c r="H4038" s="13"/>
      <c r="I4038" s="176" t="s">
        <v>8702</v>
      </c>
      <c r="J4038" s="20" t="e">
        <f>IF(shinsei_strtower30_CHARGE_KEISAN_NOTE="","",shinsei_strtower30_CHARGE_KEISAN_NOTE)</f>
        <v>#NAME?</v>
      </c>
      <c r="K4038" s="10" t="s">
        <v>3862</v>
      </c>
      <c r="L4038" s="10" t="s">
        <v>3879</v>
      </c>
    </row>
    <row r="4039" spans="1:12" ht="18" customHeight="1">
      <c r="A4039" s="149"/>
      <c r="B4039" s="149"/>
      <c r="C4039" s="149"/>
      <c r="D4039" s="149"/>
      <c r="E4039" s="149" t="s">
        <v>5640</v>
      </c>
      <c r="F4039" s="149"/>
      <c r="G4039" s="149"/>
      <c r="I4039" s="100" t="s">
        <v>8703</v>
      </c>
      <c r="J4039" s="20" t="e">
        <f>IF(shinsei_INSPECTION_TYPE="計画変更",IF(shinsei_strtower30_CHARGE="","","延べ面積×1/2により算出"),IF(shinsei_strtower30_CHARGE_KEISAN_NOTE="","",shinsei_strtower30_CHARGE_KEISAN_NOTE))</f>
        <v>#NAME?</v>
      </c>
    </row>
    <row r="4040" spans="1:12" ht="18" customHeight="1">
      <c r="A4040" s="149"/>
      <c r="B4040" s="149" t="s">
        <v>5642</v>
      </c>
      <c r="C4040" s="149"/>
      <c r="D4040" s="149"/>
      <c r="E4040" s="149"/>
      <c r="F4040" s="149"/>
      <c r="G4040" s="149" t="s">
        <v>8704</v>
      </c>
      <c r="H4040" s="13"/>
      <c r="I4040" s="149" t="s">
        <v>7347</v>
      </c>
      <c r="J4040" s="20" t="e">
        <f>IF(shinsei_strtower30_KEISAN_X_ROUTE="","",shinsei_strtower30_KEISAN_X_ROUTE)</f>
        <v>#NAME?</v>
      </c>
    </row>
    <row r="4041" spans="1:12" ht="18" customHeight="1">
      <c r="A4041" s="149"/>
      <c r="B4041" s="149" t="s">
        <v>5645</v>
      </c>
      <c r="C4041" s="149"/>
      <c r="D4041" s="149"/>
      <c r="E4041" s="149"/>
      <c r="F4041" s="149"/>
      <c r="G4041" s="149" t="s">
        <v>7348</v>
      </c>
      <c r="H4041" s="13"/>
      <c r="I4041" s="149" t="s">
        <v>7349</v>
      </c>
      <c r="J4041" s="20" t="e">
        <f>IF(shinsei_strtower30_KEISAN_Y_ROUTE="","",shinsei_strtower30_KEISAN_Y_ROUTE)</f>
        <v>#NAME?</v>
      </c>
    </row>
    <row r="4042" spans="1:12" ht="18" customHeight="1">
      <c r="A4042" s="149"/>
      <c r="B4042" s="149"/>
      <c r="C4042" s="149" t="s">
        <v>3805</v>
      </c>
      <c r="D4042" s="149"/>
      <c r="E4042" s="149"/>
      <c r="F4042" s="149"/>
      <c r="G4042" s="149"/>
      <c r="H4042" s="12"/>
      <c r="I4042" s="149" t="s">
        <v>7350</v>
      </c>
      <c r="J4042" s="20" t="e">
        <f>IF(AND(cst_shinsei_strtower30_KEISAN_X_ROUTE="3",cst_shinsei_strtower30_KEISAN_Y_ROUTE="3"),"■","□")</f>
        <v>#NAME?</v>
      </c>
    </row>
    <row r="4043" spans="1:12" ht="18" customHeight="1">
      <c r="A4043" s="149"/>
      <c r="B4043" s="149" t="s">
        <v>5650</v>
      </c>
      <c r="C4043" s="149"/>
      <c r="D4043" s="149"/>
      <c r="E4043" s="149"/>
      <c r="F4043" s="149"/>
      <c r="G4043" s="149" t="s">
        <v>7351</v>
      </c>
      <c r="H4043" s="13"/>
      <c r="I4043" s="149" t="s">
        <v>7352</v>
      </c>
      <c r="J4043" s="20" t="e">
        <f>IF(shinsei_strtower30_PROGRAM_KIND_SONOTA="","",shinsei_strtower30_PROGRAM_KIND_SONOTA)</f>
        <v>#NAME?</v>
      </c>
    </row>
    <row r="4044" spans="1:12" ht="18" customHeight="1">
      <c r="A4044" s="149"/>
    </row>
    <row r="4047" spans="1:12" ht="18" customHeight="1">
      <c r="E4047" s="100" t="s">
        <v>7353</v>
      </c>
    </row>
  </sheetData>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FF99CC"/>
  </sheetPr>
  <dimension ref="A1:Z31"/>
  <sheetViews>
    <sheetView topLeftCell="A19" zoomScale="90" zoomScaleNormal="90" workbookViewId="0">
      <selection activeCell="A20" sqref="A20"/>
    </sheetView>
  </sheetViews>
  <sheetFormatPr defaultRowHeight="12"/>
  <cols>
    <col min="1" max="1" width="75.625" style="230" customWidth="1"/>
    <col min="2" max="16384" width="9" style="230"/>
  </cols>
  <sheetData>
    <row r="1" spans="1:26" s="218" customFormat="1" ht="13.5" customHeight="1">
      <c r="A1" s="218" t="s">
        <v>8862</v>
      </c>
      <c r="F1" s="219"/>
      <c r="G1" s="219"/>
      <c r="H1" s="219"/>
      <c r="I1" s="219"/>
      <c r="J1" s="219"/>
      <c r="K1" s="219"/>
      <c r="L1" s="219"/>
      <c r="M1" s="219"/>
      <c r="N1" s="219"/>
    </row>
    <row r="2" spans="1:26" s="219" customFormat="1" ht="12.95" customHeight="1"/>
    <row r="3" spans="1:26" s="219" customFormat="1" ht="12.95" customHeight="1">
      <c r="A3" s="220" t="s">
        <v>8863</v>
      </c>
    </row>
    <row r="4" spans="1:26" s="223" customFormat="1" ht="64.5" customHeight="1">
      <c r="A4" s="221" t="s">
        <v>8864</v>
      </c>
      <c r="B4" s="222"/>
      <c r="C4" s="219" t="s">
        <v>1970</v>
      </c>
      <c r="D4" s="219"/>
      <c r="E4" s="219"/>
      <c r="F4" s="219"/>
      <c r="G4" s="219"/>
      <c r="H4" s="219"/>
      <c r="I4" s="219"/>
      <c r="J4" s="219"/>
      <c r="K4" s="219"/>
      <c r="L4" s="219"/>
      <c r="M4" s="219"/>
    </row>
    <row r="5" spans="1:26" s="219" customFormat="1" ht="12.95" customHeight="1">
      <c r="A5" s="220"/>
    </row>
    <row r="6" spans="1:26" s="219" customFormat="1" ht="12.95" customHeight="1">
      <c r="A6" s="220" t="s">
        <v>8865</v>
      </c>
    </row>
    <row r="7" spans="1:26" s="222" customFormat="1" ht="65.25" customHeight="1">
      <c r="A7" s="221" t="s">
        <v>8866</v>
      </c>
      <c r="C7" s="219" t="s">
        <v>1971</v>
      </c>
      <c r="D7" s="219"/>
      <c r="E7" s="219"/>
      <c r="F7" s="219"/>
      <c r="G7" s="219"/>
      <c r="H7" s="219"/>
      <c r="I7" s="219"/>
      <c r="J7" s="219"/>
      <c r="K7" s="219"/>
      <c r="L7" s="219"/>
      <c r="M7" s="219"/>
      <c r="N7" s="223"/>
      <c r="O7" s="223"/>
      <c r="P7" s="223"/>
      <c r="Q7" s="223"/>
      <c r="R7" s="223"/>
      <c r="S7" s="223"/>
      <c r="T7" s="223"/>
      <c r="U7" s="223"/>
      <c r="V7" s="223"/>
      <c r="W7" s="223"/>
      <c r="X7" s="223"/>
      <c r="Y7" s="223"/>
      <c r="Z7" s="223"/>
    </row>
    <row r="8" spans="1:26" s="219" customFormat="1" ht="12.95" customHeight="1">
      <c r="A8" s="220"/>
    </row>
    <row r="9" spans="1:26" s="219" customFormat="1" ht="12.95" customHeight="1">
      <c r="A9" s="220" t="s">
        <v>8867</v>
      </c>
    </row>
    <row r="10" spans="1:26" s="222" customFormat="1" ht="40.5" customHeight="1">
      <c r="A10" s="221" t="s">
        <v>8868</v>
      </c>
      <c r="C10" s="219" t="s">
        <v>1972</v>
      </c>
      <c r="D10" s="219"/>
      <c r="E10" s="219"/>
      <c r="F10" s="219"/>
      <c r="G10" s="219"/>
      <c r="H10" s="219"/>
      <c r="I10" s="219"/>
      <c r="J10" s="219"/>
      <c r="K10" s="219"/>
      <c r="L10" s="219"/>
      <c r="M10" s="219"/>
      <c r="N10" s="223"/>
      <c r="O10" s="223"/>
      <c r="P10" s="223"/>
      <c r="Q10" s="223"/>
      <c r="R10" s="223"/>
      <c r="S10" s="223"/>
      <c r="T10" s="223"/>
      <c r="U10" s="223"/>
      <c r="V10" s="223"/>
      <c r="W10" s="223"/>
      <c r="X10" s="223"/>
      <c r="Y10" s="223"/>
      <c r="Z10" s="223"/>
    </row>
    <row r="11" spans="1:26" s="219" customFormat="1" ht="12.95" customHeight="1">
      <c r="A11" s="220"/>
    </row>
    <row r="12" spans="1:26" s="219" customFormat="1" ht="12.95" customHeight="1">
      <c r="A12" s="220" t="s">
        <v>8869</v>
      </c>
    </row>
    <row r="13" spans="1:26" s="222" customFormat="1" ht="40.5" customHeight="1">
      <c r="A13" s="221" t="s">
        <v>8870</v>
      </c>
      <c r="C13" s="219" t="s">
        <v>1973</v>
      </c>
      <c r="D13" s="219"/>
      <c r="E13" s="219"/>
      <c r="F13" s="219"/>
      <c r="G13" s="219"/>
      <c r="H13" s="219"/>
      <c r="I13" s="219"/>
      <c r="J13" s="219"/>
      <c r="K13" s="219"/>
      <c r="L13" s="219"/>
      <c r="M13" s="219"/>
      <c r="N13" s="223"/>
      <c r="O13" s="223"/>
      <c r="P13" s="223"/>
      <c r="Q13" s="223"/>
      <c r="R13" s="223"/>
      <c r="S13" s="223"/>
      <c r="T13" s="223"/>
      <c r="U13" s="223"/>
      <c r="V13" s="223"/>
      <c r="W13" s="223"/>
      <c r="X13" s="223"/>
      <c r="Y13" s="223"/>
      <c r="Z13" s="223"/>
    </row>
    <row r="14" spans="1:26" s="219" customFormat="1" ht="12.95" customHeight="1">
      <c r="A14" s="220"/>
    </row>
    <row r="15" spans="1:26" s="219" customFormat="1" ht="12.95" customHeight="1">
      <c r="A15" s="220" t="s">
        <v>8871</v>
      </c>
    </row>
    <row r="16" spans="1:26" s="219" customFormat="1" ht="28.5" customHeight="1">
      <c r="A16" s="224" t="s">
        <v>8872</v>
      </c>
      <c r="B16" s="218"/>
      <c r="C16" s="218"/>
      <c r="D16" s="218"/>
      <c r="N16" s="218"/>
      <c r="O16" s="218"/>
      <c r="P16" s="218"/>
      <c r="Q16" s="218"/>
      <c r="R16" s="218"/>
      <c r="S16" s="218"/>
      <c r="T16" s="218"/>
      <c r="U16" s="218"/>
      <c r="V16" s="218"/>
      <c r="W16" s="218"/>
      <c r="X16" s="218"/>
    </row>
    <row r="17" spans="1:24" s="219" customFormat="1" ht="28.5" customHeight="1">
      <c r="A17" s="224" t="s">
        <v>11229</v>
      </c>
      <c r="B17" s="218"/>
      <c r="C17" s="218"/>
      <c r="D17" s="218"/>
      <c r="N17" s="218"/>
      <c r="O17" s="218"/>
      <c r="P17" s="218"/>
      <c r="Q17" s="218"/>
      <c r="R17" s="218"/>
      <c r="S17" s="218"/>
      <c r="T17" s="218"/>
      <c r="U17" s="218"/>
      <c r="V17" s="218"/>
      <c r="W17" s="218"/>
      <c r="X17" s="218"/>
    </row>
    <row r="18" spans="1:24" s="219" customFormat="1" ht="12.95" customHeight="1">
      <c r="A18" s="225" t="str">
        <f>cst_SHINSAKAI&amp;"建築審査会"</f>
        <v>東大阪市建築審査会</v>
      </c>
      <c r="B18" s="226"/>
      <c r="C18" s="218"/>
      <c r="D18" s="218"/>
      <c r="N18" s="226"/>
      <c r="O18" s="226"/>
      <c r="P18" s="226"/>
      <c r="Q18" s="226"/>
      <c r="R18" s="226"/>
      <c r="S18" s="226"/>
      <c r="T18" s="226"/>
      <c r="U18" s="226"/>
      <c r="V18" s="226"/>
      <c r="W18" s="226"/>
      <c r="X18" s="226"/>
    </row>
    <row r="19" spans="1:24" s="219" customFormat="1" ht="53.25" customHeight="1">
      <c r="A19" s="224" t="s">
        <v>8873</v>
      </c>
      <c r="B19" s="218"/>
      <c r="C19" s="218"/>
      <c r="D19" s="218"/>
      <c r="N19" s="227"/>
      <c r="O19" s="227"/>
      <c r="P19" s="227"/>
      <c r="Q19" s="227"/>
      <c r="R19" s="227"/>
      <c r="S19" s="227"/>
      <c r="T19" s="227"/>
      <c r="U19" s="227"/>
      <c r="V19" s="227"/>
      <c r="W19" s="227"/>
      <c r="X19" s="227"/>
    </row>
    <row r="20" spans="1:24" s="219" customFormat="1" ht="53.25" customHeight="1">
      <c r="A20" s="224" t="s">
        <v>11389</v>
      </c>
      <c r="B20" s="218"/>
      <c r="C20" s="218"/>
      <c r="D20" s="218"/>
      <c r="N20" s="227"/>
      <c r="O20" s="227"/>
      <c r="P20" s="227"/>
      <c r="Q20" s="227"/>
      <c r="R20" s="227"/>
      <c r="S20" s="227"/>
      <c r="T20" s="227"/>
      <c r="U20" s="227"/>
      <c r="V20" s="227"/>
      <c r="W20" s="227"/>
      <c r="X20" s="227"/>
    </row>
    <row r="21" spans="1:24" s="219" customFormat="1" ht="12.95" customHeight="1">
      <c r="A21" s="225" t="str">
        <f ca="1">suit_OFFICE_OFFICE_CORP_NAME__notify_date</f>
        <v>株式会社国際確認検査センター</v>
      </c>
      <c r="B21" s="226"/>
      <c r="C21" s="218"/>
      <c r="D21" s="218"/>
      <c r="N21" s="226"/>
      <c r="O21" s="226"/>
      <c r="P21" s="226"/>
      <c r="Q21" s="226"/>
      <c r="R21" s="226"/>
      <c r="S21" s="226"/>
      <c r="T21" s="226"/>
      <c r="U21" s="226"/>
      <c r="V21" s="226"/>
      <c r="W21" s="226"/>
      <c r="X21" s="226"/>
    </row>
    <row r="22" spans="1:24" s="219" customFormat="1" ht="12.95" customHeight="1">
      <c r="A22" s="228" t="s">
        <v>8874</v>
      </c>
      <c r="B22" s="218"/>
      <c r="C22" s="218"/>
      <c r="D22" s="218"/>
      <c r="N22" s="218"/>
      <c r="O22" s="218"/>
      <c r="P22" s="218"/>
      <c r="Q22" s="218"/>
      <c r="R22" s="218"/>
      <c r="S22" s="218"/>
      <c r="T22" s="218"/>
      <c r="U22" s="218"/>
      <c r="V22" s="218"/>
      <c r="W22" s="218"/>
      <c r="X22" s="218"/>
    </row>
    <row r="23" spans="1:24" s="219" customFormat="1" ht="12.95" customHeight="1">
      <c r="A23" s="225" t="str">
        <f ca="1">suit_OFFICE_OFFICE_CORP_NAME__notify_date</f>
        <v>株式会社国際確認検査センター</v>
      </c>
      <c r="B23" s="226"/>
      <c r="C23" s="218"/>
      <c r="D23" s="218"/>
      <c r="N23" s="226"/>
      <c r="O23" s="226"/>
      <c r="P23" s="226"/>
      <c r="Q23" s="226"/>
      <c r="R23" s="226"/>
      <c r="S23" s="226"/>
      <c r="T23" s="226"/>
      <c r="U23" s="226"/>
      <c r="V23" s="226"/>
      <c r="W23" s="226"/>
      <c r="X23" s="226"/>
    </row>
    <row r="24" spans="1:24" s="219" customFormat="1" ht="12.95" customHeight="1">
      <c r="A24" s="228" t="s">
        <v>8875</v>
      </c>
      <c r="B24" s="218"/>
      <c r="C24" s="218"/>
      <c r="D24" s="218"/>
      <c r="N24" s="218"/>
      <c r="O24" s="218"/>
      <c r="P24" s="218"/>
      <c r="Q24" s="218"/>
      <c r="R24" s="218"/>
      <c r="S24" s="218"/>
      <c r="T24" s="218"/>
      <c r="U24" s="218"/>
      <c r="V24" s="218"/>
      <c r="W24" s="218"/>
      <c r="X24" s="218"/>
    </row>
    <row r="25" spans="1:24" s="219" customFormat="1" ht="12.95" customHeight="1">
      <c r="A25" s="225" t="s">
        <v>228</v>
      </c>
      <c r="B25" s="226" t="s">
        <v>8876</v>
      </c>
      <c r="C25" s="218"/>
      <c r="D25" s="218"/>
      <c r="N25" s="226"/>
      <c r="O25" s="226"/>
      <c r="P25" s="226"/>
      <c r="Q25" s="226"/>
      <c r="R25" s="226"/>
      <c r="S25" s="226"/>
      <c r="T25" s="226"/>
      <c r="U25" s="226"/>
      <c r="V25" s="226"/>
      <c r="W25" s="226"/>
      <c r="X25" s="226"/>
    </row>
    <row r="26" spans="1:24" s="219" customFormat="1" ht="43.5" customHeight="1">
      <c r="A26" s="224" t="s">
        <v>11387</v>
      </c>
      <c r="B26" s="218"/>
      <c r="C26" s="218"/>
      <c r="D26" s="218"/>
      <c r="N26" s="227"/>
      <c r="O26" s="227"/>
      <c r="P26" s="227"/>
      <c r="Q26" s="227"/>
      <c r="R26" s="227"/>
      <c r="S26" s="227"/>
      <c r="T26" s="227"/>
      <c r="U26" s="227"/>
      <c r="V26" s="227"/>
      <c r="W26" s="227"/>
      <c r="X26" s="227"/>
    </row>
    <row r="27" spans="1:24" s="219" customFormat="1" ht="72.75" customHeight="1">
      <c r="A27" s="224" t="s">
        <v>8877</v>
      </c>
      <c r="B27" s="218"/>
      <c r="C27" s="218"/>
      <c r="D27" s="218"/>
      <c r="N27" s="227"/>
      <c r="O27" s="227"/>
      <c r="P27" s="227"/>
      <c r="Q27" s="227"/>
      <c r="R27" s="227"/>
      <c r="S27" s="227"/>
      <c r="T27" s="227"/>
      <c r="U27" s="227"/>
      <c r="V27" s="227"/>
      <c r="W27" s="227"/>
      <c r="X27" s="227"/>
    </row>
    <row r="28" spans="1:24" s="219" customFormat="1" ht="12.95" customHeight="1">
      <c r="A28" s="220"/>
    </row>
    <row r="29" spans="1:24" s="219" customFormat="1" ht="12.95" customHeight="1">
      <c r="A29" s="220" t="s">
        <v>8878</v>
      </c>
    </row>
    <row r="30" spans="1:24" s="219" customFormat="1" ht="168" customHeight="1">
      <c r="A30" s="229" t="str">
        <f ca="1">IF(flg_NOTIFY_DATE="1604ge",CONCATENATE($A$17,$A$18,$A$20,$A$21,$A$22,$A$23,$A$24,$A$25,$A$26),CONCATENATE($A$16,$A$18,$A$19,$A$21,$A$22,$A$23,$A$24,$A$25,$A$26,$A$27))</f>
        <v>　なお、この処分に不服があるときは、この通知を受けた日の翌日から起算して３か月以内に東大阪市建築審査会に対して審査請求をすることができます（なお、この通知を受けた日の翌日から起算して３か月以内であつても、処分の日から１年を経過すると審査請求をすることができなくなります。）。また、この通知を受けた日（当該処分につき審査請求をした場合においては、これに対する裁決の送達を受けた日）の翌日から起算して６か月以内に株式会社国際確認検査センターを被告として（訴訟において株式会社国際確認検査センターを代表する者は代表取締役となります。）、処分の取消しの訴えを提起することができます（なお、この通知又は裁決の送達を受けた日の翌日から起算して６か月以内であつても、処分又は裁決の日から１年を経過すると処分の取消しの訴えを提起することができなくなります。）。</v>
      </c>
      <c r="C30" s="219" t="s">
        <v>4904</v>
      </c>
    </row>
    <row r="31" spans="1:24" s="219" customFormat="1" ht="12.95" customHeight="1"/>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rgb="FFFF99CC"/>
  </sheetPr>
  <dimension ref="A1:U101"/>
  <sheetViews>
    <sheetView zoomScale="80" zoomScaleNormal="80" workbookViewId="0">
      <selection activeCell="A4" sqref="A4"/>
    </sheetView>
  </sheetViews>
  <sheetFormatPr defaultRowHeight="18" customHeight="1"/>
  <cols>
    <col min="1" max="1" width="13.625" customWidth="1"/>
    <col min="2" max="2" width="29" customWidth="1"/>
    <col min="3" max="3" width="16.375" style="232" customWidth="1"/>
    <col min="4" max="4" width="10.75" customWidth="1"/>
    <col min="5" max="5" width="9.625" customWidth="1"/>
    <col min="6" max="6" width="10.5" customWidth="1"/>
    <col min="7" max="21" width="9.625" customWidth="1"/>
  </cols>
  <sheetData>
    <row r="1" spans="1:1" ht="18" customHeight="1">
      <c r="A1" t="s">
        <v>8879</v>
      </c>
    </row>
    <row r="3" spans="1:1" ht="18" customHeight="1">
      <c r="A3" t="s">
        <v>8880</v>
      </c>
    </row>
    <row r="4" spans="1:1" ht="18" customHeight="1">
      <c r="A4" t="s">
        <v>8881</v>
      </c>
    </row>
    <row r="5" spans="1:1" ht="18" customHeight="1">
      <c r="A5" t="s">
        <v>8882</v>
      </c>
    </row>
    <row r="6" spans="1:1" ht="18" customHeight="1">
      <c r="A6" t="s">
        <v>8883</v>
      </c>
    </row>
    <row r="9" spans="1:1" ht="18" customHeight="1">
      <c r="A9" t="s">
        <v>8884</v>
      </c>
    </row>
    <row r="10" spans="1:1" ht="18" customHeight="1">
      <c r="A10" t="s">
        <v>8885</v>
      </c>
    </row>
    <row r="11" spans="1:1" ht="18" customHeight="1">
      <c r="A11" t="s">
        <v>8886</v>
      </c>
    </row>
    <row r="12" spans="1:1" ht="18" customHeight="1">
      <c r="A12" t="s">
        <v>8887</v>
      </c>
    </row>
    <row r="13" spans="1:1" ht="18" customHeight="1">
      <c r="A13" t="s">
        <v>8888</v>
      </c>
    </row>
    <row r="16" spans="1:1" ht="18" customHeight="1">
      <c r="A16" t="s">
        <v>8889</v>
      </c>
    </row>
    <row r="17" spans="1:4" ht="18" customHeight="1">
      <c r="A17" t="s">
        <v>8890</v>
      </c>
    </row>
    <row r="18" spans="1:4" ht="18" customHeight="1">
      <c r="A18" t="s">
        <v>8891</v>
      </c>
    </row>
    <row r="19" spans="1:4" ht="18" customHeight="1">
      <c r="A19" t="s">
        <v>8892</v>
      </c>
    </row>
    <row r="20" spans="1:4" ht="18" customHeight="1">
      <c r="A20" t="s">
        <v>8893</v>
      </c>
    </row>
    <row r="23" spans="1:4" s="32" customFormat="1" ht="18" customHeight="1">
      <c r="A23" s="32" t="s">
        <v>8894</v>
      </c>
      <c r="B23" s="32" t="s">
        <v>2756</v>
      </c>
      <c r="C23" s="233" t="s">
        <v>2757</v>
      </c>
      <c r="D23" s="233"/>
    </row>
    <row r="24" spans="1:4" s="32" customFormat="1" ht="18" customHeight="1">
      <c r="A24" s="32" t="s">
        <v>8895</v>
      </c>
      <c r="B24" s="234" t="s">
        <v>8896</v>
      </c>
      <c r="C24" s="235" t="str">
        <f>IF(OR(city_ken="",city_city=""),"",city_ken&amp;city_city&amp;city_town&amp;city_street)</f>
        <v>大阪府東大阪市</v>
      </c>
    </row>
    <row r="25" spans="1:4" s="32" customFormat="1" ht="18" customHeight="1">
      <c r="A25" s="32" t="s">
        <v>4394</v>
      </c>
      <c r="B25" s="32" t="s">
        <v>1443</v>
      </c>
      <c r="C25" s="236" t="str">
        <f>cst_city_FIRE_STATION_ID__NAME</f>
        <v>東大阪市西消防署</v>
      </c>
    </row>
    <row r="26" spans="1:4" s="32" customFormat="1" ht="18" customHeight="1">
      <c r="A26" s="32" t="s">
        <v>8897</v>
      </c>
      <c r="B26" s="32" t="s">
        <v>8898</v>
      </c>
      <c r="C26" s="236" t="str">
        <f>cst_city_FIRE_STATION_ID__DEPART_NAME</f>
        <v>予防課</v>
      </c>
    </row>
    <row r="27" spans="1:4" s="32" customFormat="1" ht="18" customHeight="1">
      <c r="A27" s="32" t="s">
        <v>8899</v>
      </c>
      <c r="B27" s="33" t="s">
        <v>8900</v>
      </c>
      <c r="C27" s="236" t="str">
        <f>cst_city_FIRE_STATION_ID__DEST_NAME</f>
        <v>東大阪市西消防署長</v>
      </c>
    </row>
    <row r="28" spans="1:4" s="32" customFormat="1" ht="18" customHeight="1">
      <c r="A28" s="33" t="s">
        <v>1385</v>
      </c>
      <c r="B28" s="32" t="s">
        <v>8901</v>
      </c>
      <c r="C28" s="237" t="str">
        <f>cst_shinsei_INSPECTION_TYPE</f>
        <v>確認</v>
      </c>
      <c r="D28" s="33"/>
    </row>
    <row r="29" spans="1:4" s="32" customFormat="1" ht="18" customHeight="1">
      <c r="A29" s="33" t="s">
        <v>8902</v>
      </c>
      <c r="B29" s="32" t="s">
        <v>8903</v>
      </c>
      <c r="C29" s="237">
        <f>cst_shinsei_build_STAT_HOU6__firestation</f>
        <v>3</v>
      </c>
      <c r="D29" s="33"/>
    </row>
    <row r="30" spans="1:4" s="32" customFormat="1" ht="18" customHeight="1">
      <c r="A30" s="33" t="s">
        <v>8904</v>
      </c>
      <c r="B30" s="32" t="s">
        <v>8905</v>
      </c>
      <c r="C30" s="236" t="str">
        <f>cst_shinsei_build_YOUTO_CODE</f>
        <v>08458</v>
      </c>
      <c r="D30" s="33"/>
    </row>
    <row r="31" spans="1:4" s="32" customFormat="1" ht="18" customHeight="1">
      <c r="A31" s="33" t="s">
        <v>8906</v>
      </c>
      <c r="C31" s="238">
        <f>cst_shinsei_build_NOBE_MENSEKI_BILL_SHINSEI</f>
        <v>254.07</v>
      </c>
      <c r="D31" s="234"/>
    </row>
    <row r="32" spans="1:4" s="32" customFormat="1" ht="18" customHeight="1">
      <c r="A32" s="33"/>
      <c r="B32" s="238"/>
      <c r="C32" s="234"/>
      <c r="D32" s="33"/>
    </row>
    <row r="33" spans="1:4" ht="18" customHeight="1">
      <c r="C33" s="52"/>
    </row>
    <row r="34" spans="1:4" ht="18" customHeight="1">
      <c r="A34" t="s">
        <v>8907</v>
      </c>
      <c r="C34" s="52"/>
    </row>
    <row r="35" spans="1:4" ht="18" customHeight="1">
      <c r="C35" s="52"/>
    </row>
    <row r="36" spans="1:4" ht="18" customHeight="1">
      <c r="C36" s="52"/>
    </row>
    <row r="37" spans="1:4" ht="18" customHeight="1">
      <c r="C37" s="52"/>
    </row>
    <row r="38" spans="1:4" ht="18" customHeight="1">
      <c r="A38" t="s">
        <v>8908</v>
      </c>
      <c r="C38" s="52"/>
    </row>
    <row r="39" spans="1:4" ht="18" customHeight="1">
      <c r="A39" s="239" t="s">
        <v>8909</v>
      </c>
      <c r="B39" s="240" t="s">
        <v>4394</v>
      </c>
      <c r="C39" s="241" t="s">
        <v>4396</v>
      </c>
    </row>
    <row r="40" spans="1:4" ht="18" customHeight="1">
      <c r="A40" s="242" t="str">
        <f ca="1">IF(cst_FIRE_IrregularJudge=3,"住所チェック要選択",IF(cst_FIRE_IrregularJudge=2,cst_city_FIRE_STATION_ID__DEST_NAME,IF(cst_FIRE_IrregularJudge=0,"選択してください。",IF(cst_FIRE_ConditionJudge="-","条件：判定不可",IF(cst_FIRE_ConditionJudge=0,cst_city_FIRE_STATION_ID__DEST_NAME,IF(OFFSET(cst_FIRE__base_point,cst_FIRE_CityInfo_Num,cst_FIRE_JoukenMovement+3,1,1)="","",OFFSET(cst_FIRE__base_point,cst_FIRE_CityInfo_Num,cst_FIRE_JoukenMovement+3,1,1)))))))</f>
        <v>東大阪市西消防署長</v>
      </c>
      <c r="B40" s="243" t="str">
        <f ca="1">IF(cst_FIRE_IrregularJudge=3,"住所チェック要選択",IF(cst_FIRE_IrregularJudge=2,cst_city_FIRE_STATION_ID__NAME,IF(cst_FIRE_IrregularJudge=0,"選択してください。",IF(cst_FIRE_ConditionJudge="-","条件：判定不可",IF(cst_FIRE_ConditionJudge=0,cst_city_FIRE_STATION_ID__NAME,IF(OFFSET(cst_FIRE__base_point,cst_FIRE_CityInfo_Num,cst_FIRE_JoukenMovement+1,1,1)="","",OFFSET(cst_FIRE__base_point,cst_FIRE_CityInfo_Num,cst_FIRE_JoukenMovement+1,1,1)))))))</f>
        <v>東大阪市西消防署</v>
      </c>
      <c r="C40" s="241" t="str">
        <f ca="1">IF(cst_FIRE_IrregularJudge=3,"住所チェック要選択",IF(cst_FIRE_IrregularJudge=2,cst_city_FIRE_STATION_ID__DEPART_NAME,IF(cst_FIRE_IrregularJudge=0,"選択してください。",IF(cst_FIRE_ConditionJudge="-","条件：判定不可",IF(cst_FIRE_ConditionJudge=0,cst_city_FIRE_STATION_ID__DEPART_NAME,IF(OFFSET(cst_FIRE__base_point,cst_FIRE_CityInfo_Num,cst_FIRE_JoukenMovement+2,1,1)="","",OFFSET(cst_FIRE__base_point,cst_FIRE_CityInfo_Num,cst_FIRE_JoukenMovement+2,1,1)))))))</f>
        <v>予防課</v>
      </c>
      <c r="D40" s="244" t="s">
        <v>8910</v>
      </c>
    </row>
    <row r="41" spans="1:4" ht="18" customHeight="1">
      <c r="A41" s="245" t="str">
        <f ca="1">IF(cst_FIRE_IrregularJudge=0,IF(OFFSET(cst_FIRE__base_point,cst_FIRE_CityInfo_Num,cst_FIRE_JoukenMovement+cst_FIRE_ListKanMovement*2,1,1)="","",OFFSET(cst_FIRE__base_point,cst_FIRE_CityInfo_Num,cst_FIRE_JoukenMovement+cst_FIRE_ListKanMovement*2,1,1)),"")</f>
        <v/>
      </c>
      <c r="B41" s="243" t="str">
        <f ca="1">IF(cst_FIRE_IrregularJudge=0,IF(OFFSET(cst_FIRE__base_point,cst_FIRE_CityInfo_Num,cst_FIRE_JoukenMovement+cst_FIRE_ListKanMovement*2-2,1,1)="","",OFFSET(cst_FIRE__base_point,cst_FIRE_CityInfo_Num,cst_FIRE_JoukenMovement+cst_FIRE_ListKanMovement*2-2,1,1)),"")</f>
        <v/>
      </c>
      <c r="C41" s="246" t="str">
        <f ca="1">IF(cst_FIRE_IrregularJudge=0,IF(OFFSET(cst_FIRE__base_point,cst_FIRE_CityInfo_Num,cst_FIRE_JoukenMovement+cst_FIRE_ListKanMovement*2-1,1,1)="","",OFFSET(cst_FIRE__base_point,cst_FIRE_CityInfo_Num,cst_FIRE_JoukenMovement+cst_FIRE_ListKanMovement*2-1,1,1)),"")</f>
        <v/>
      </c>
    </row>
    <row r="42" spans="1:4" ht="18" customHeight="1">
      <c r="A42" s="245" t="str">
        <f ca="1">IF(cst_FIRE_IrregularJudge=0,IF(OFFSET(cst_FIRE__base_point,cst_FIRE_CityInfo_Num,cst_FIRE_JoukenMovement+cst_FIRE_ListKanMovement*3,1,1)="","",OFFSET(cst_FIRE__base_point,cst_FIRE_CityInfo_Num,cst_FIRE_JoukenMovement+cst_FIRE_ListKanMovement*3,1,1)),"")</f>
        <v/>
      </c>
      <c r="B42" s="243" t="str">
        <f ca="1">IF(cst_FIRE_IrregularJudge=0,IF(OFFSET(cst_FIRE__base_point,cst_FIRE_CityInfo_Num,cst_FIRE_JoukenMovement+cst_FIRE_ListKanMovement*3-2,1,1)="","",OFFSET(cst_FIRE__base_point,cst_FIRE_CityInfo_Num,cst_FIRE_JoukenMovement+cst_FIRE_ListKanMovement*3-2,1,1)),"")</f>
        <v/>
      </c>
      <c r="C42" s="246" t="str">
        <f ca="1">IF(cst_FIRE_IrregularJudge=0,IF(OFFSET(cst_FIRE__base_point,cst_FIRE_CityInfo_Num,cst_FIRE_JoukenMovement+cst_FIRE_ListKanMovement*3-1,1,1)="","",OFFSET(cst_FIRE__base_point,cst_FIRE_CityInfo_Num,cst_FIRE_JoukenMovement+cst_FIRE_ListKanMovement*3-1,1,1)),"")</f>
        <v/>
      </c>
    </row>
    <row r="43" spans="1:4" ht="18" customHeight="1">
      <c r="A43" s="245" t="str">
        <f ca="1">IF(cst_FIRE_IrregularJudge=0,IF(OFFSET(cst_FIRE__base_point,cst_FIRE_CityInfo_Num,cst_FIRE_JoukenMovement+cst_FIRE_ListKanMovement*4,1,1)="","",OFFSET(cst_FIRE__base_point,cst_FIRE_CityInfo_Num,cst_FIRE_JoukenMovement+cst_FIRE_ListKanMovement*4,1,1)),"")</f>
        <v/>
      </c>
      <c r="B43" s="243" t="str">
        <f ca="1">IF(cst_FIRE_IrregularJudge=0,IF(OFFSET(cst_FIRE__base_point,cst_FIRE_CityInfo_Num,cst_FIRE_JoukenMovement+cst_FIRE_ListKanMovement*4-2,1,1)="","",OFFSET(cst_FIRE__base_point,cst_FIRE_CityInfo_Num,cst_FIRE_JoukenMovement+cst_FIRE_ListKanMovement*4-2,1,1)),"")</f>
        <v/>
      </c>
      <c r="C43" s="246" t="str">
        <f ca="1">IF(cst_FIRE_IrregularJudge=0,IF(OFFSET(cst_FIRE__base_point,cst_FIRE_CityInfo_Num,cst_FIRE_JoukenMovement+cst_FIRE_ListKanMovement*4-1,1,1)="","",OFFSET(cst_FIRE__base_point,cst_FIRE_CityInfo_Num,cst_FIRE_JoukenMovement+cst_FIRE_ListKanMovement*4-1,1,1)),"")</f>
        <v/>
      </c>
    </row>
    <row r="44" spans="1:4" ht="18" customHeight="1">
      <c r="A44" s="245" t="str">
        <f ca="1">IF(cst_FIRE_IrregularJudge=0,IF(OFFSET(cst_FIRE__base_point,cst_FIRE_CityInfo_Num,cst_FIRE_JoukenMovement+cst_FIRE_ListKanMovement*5,1,1)="","",OFFSET(cst_FIRE__base_point,cst_FIRE_CityInfo_Num,cst_FIRE_JoukenMovement+cst_FIRE_ListKanMovement*5,1,1)),"")</f>
        <v/>
      </c>
      <c r="B44" s="243" t="str">
        <f ca="1">IF(cst_FIRE_IrregularJudge=0,IF(OFFSET(cst_FIRE__base_point,cst_FIRE_CityInfo_Num,cst_FIRE_JoukenMovement+cst_FIRE_ListKanMovement*5-2,1,1)="","",OFFSET(cst_FIRE__base_point,cst_FIRE_CityInfo_Num,cst_FIRE_JoukenMovement+cst_FIRE_ListKanMovement*5-2,1,1)),"")</f>
        <v/>
      </c>
      <c r="C44" s="246" t="str">
        <f ca="1">IF(cst_FIRE_IrregularJudge=0,IF(OFFSET(cst_FIRE__base_point,cst_FIRE_CityInfo_Num,cst_FIRE_JoukenMovement+cst_FIRE_ListKanMovement*5-1,1,1)="","",OFFSET(cst_FIRE__base_point,cst_FIRE_CityInfo_Num,cst_FIRE_JoukenMovement+cst_FIRE_ListKanMovement*5-1,1,1)),"")</f>
        <v/>
      </c>
    </row>
    <row r="45" spans="1:4" ht="18" customHeight="1">
      <c r="A45" s="245" t="str">
        <f ca="1">IF(cst_FIRE_IrregularJudge=0,IF(OFFSET(cst_FIRE__base_point,cst_FIRE_CityInfo_Num,cst_FIRE_JoukenMovement+cst_FIRE_ListKanMovement*6,1,1)="","",OFFSET(cst_FIRE__base_point,cst_FIRE_CityInfo_Num,cst_FIRE_JoukenMovement+cst_FIRE_ListKanMovement*6,1,1)),"")</f>
        <v/>
      </c>
      <c r="B45" s="243" t="str">
        <f ca="1">IF(cst_FIRE_IrregularJudge=0,IF(OFFSET(cst_FIRE__base_point,cst_FIRE_CityInfo_Num,cst_FIRE_JoukenMovement+cst_FIRE_ListKanMovement*6-2,1,1)="","",OFFSET(cst_FIRE__base_point,cst_FIRE_CityInfo_Num,cst_FIRE_JoukenMovement+cst_FIRE_ListKanMovement*6-2,1,1)),"")</f>
        <v/>
      </c>
      <c r="C45" s="246" t="str">
        <f ca="1">IF(cst_FIRE_IrregularJudge=0,IF(OFFSET(cst_FIRE__base_point,cst_FIRE_CityInfo_Num,cst_FIRE_JoukenMovement+cst_FIRE_ListKanMovement*6-1,1,1)="","",OFFSET(cst_FIRE__base_point,cst_FIRE_CityInfo_Num,cst_FIRE_JoukenMovement+cst_FIRE_ListKanMovement*6-1,1,1)),"")</f>
        <v/>
      </c>
    </row>
    <row r="46" spans="1:4" ht="18" customHeight="1">
      <c r="A46" s="245" t="str">
        <f ca="1">IF(cst_FIRE_IrregularJudge=0,IF(OFFSET(cst_FIRE__base_point,cst_FIRE_CityInfo_Num,cst_FIRE_JoukenMovement+cst_FIRE_ListKanMovement*7,1,1)="","",OFFSET(cst_FIRE__base_point,cst_FIRE_CityInfo_Num,cst_FIRE_JoukenMovement+cst_FIRE_ListKanMovement*7,1,1)),"")</f>
        <v/>
      </c>
      <c r="B46" s="243" t="str">
        <f ca="1">IF(cst_FIRE_IrregularJudge=0,IF(OFFSET(cst_FIRE__base_point,cst_FIRE_CityInfo_Num,cst_FIRE_JoukenMovement+cst_FIRE_ListKanMovement*7-2,1,1)="","",OFFSET(cst_FIRE__base_point,cst_FIRE_CityInfo_Num,cst_FIRE_JoukenMovement+cst_FIRE_ListKanMovement*7-2,1,1)),"")</f>
        <v/>
      </c>
      <c r="C46" s="246" t="str">
        <f ca="1">IF(cst_FIRE_IrregularJudge=0,IF(OFFSET(cst_FIRE__base_point,cst_FIRE_CityInfo_Num,cst_FIRE_JoukenMovement+cst_FIRE_ListKanMovement*7-1,1,1)="","",OFFSET(cst_FIRE__base_point,cst_FIRE_CityInfo_Num,cst_FIRE_JoukenMovement+cst_FIRE_ListKanMovement*7-1,1,1)),"")</f>
        <v/>
      </c>
    </row>
    <row r="47" spans="1:4" ht="18" customHeight="1">
      <c r="A47" s="245" t="str">
        <f ca="1">IF(cst_FIRE_IrregularJudge=0,IF(OFFSET(cst_FIRE__base_point,cst_FIRE_CityInfo_Num,cst_FIRE_JoukenMovement+cst_FIRE_ListKanMovement*8,1,1)="","",OFFSET(cst_FIRE__base_point,cst_FIRE_CityInfo_Num,cst_FIRE_JoukenMovement+cst_FIRE_ListKanMovement*8,1,1)),"")</f>
        <v/>
      </c>
      <c r="B47" s="243" t="str">
        <f ca="1">IF(cst_FIRE_IrregularJudge=0,IF(OFFSET(cst_FIRE__base_point,cst_FIRE_CityInfo_Num,cst_FIRE_JoukenMovement+cst_FIRE_ListKanMovement*8-2,1,1)="","",OFFSET(cst_FIRE__base_point,cst_FIRE_CityInfo_Num,cst_FIRE_JoukenMovement+cst_FIRE_ListKanMovement*8-2,1,1)),"")</f>
        <v/>
      </c>
      <c r="C47" s="246" t="str">
        <f ca="1">IF(cst_FIRE_IrregularJudge=0,IF(OFFSET(cst_FIRE__base_point,cst_FIRE_CityInfo_Num,cst_FIRE_JoukenMovement+cst_FIRE_ListKanMovement*8-1,1,1)="","",OFFSET(cst_FIRE__base_point,cst_FIRE_CityInfo_Num,cst_FIRE_JoukenMovement+cst_FIRE_ListKanMovement*8-1,1,1)),"")</f>
        <v/>
      </c>
    </row>
    <row r="48" spans="1:4" ht="18" customHeight="1">
      <c r="C48" s="52"/>
    </row>
    <row r="49" spans="1:7" ht="18" customHeight="1">
      <c r="C49" s="52"/>
    </row>
    <row r="50" spans="1:7" ht="18" customHeight="1">
      <c r="A50" s="234" t="s">
        <v>8911</v>
      </c>
      <c r="B50" t="s">
        <v>8912</v>
      </c>
      <c r="C50" s="247"/>
    </row>
    <row r="51" spans="1:7" ht="18" customHeight="1">
      <c r="A51" t="s">
        <v>8913</v>
      </c>
      <c r="B51" t="s">
        <v>8914</v>
      </c>
      <c r="C51" s="247"/>
    </row>
    <row r="52" spans="1:7" ht="18" customHeight="1">
      <c r="C52" s="52"/>
    </row>
    <row r="53" spans="1:7" ht="18" customHeight="1">
      <c r="A53" t="s">
        <v>8915</v>
      </c>
      <c r="C53" s="52"/>
    </row>
    <row r="54" spans="1:7" s="32" customFormat="1" ht="18" customHeight="1">
      <c r="A54" s="32" t="s">
        <v>8916</v>
      </c>
      <c r="B54" s="248" t="s">
        <v>8917</v>
      </c>
      <c r="C54" s="249" t="str">
        <f>IF(cst_CityInfo="","CheckError",IF(ISNA(MATCH(cst_CityInfo,cst_FIRE__city_erea,0)),"Error","OK"))</f>
        <v>Error</v>
      </c>
    </row>
    <row r="55" spans="1:7" s="32" customFormat="1" ht="18" customHeight="1">
      <c r="B55" s="234" t="s">
        <v>8918</v>
      </c>
      <c r="C55" s="234"/>
      <c r="G55" s="248"/>
    </row>
    <row r="56" spans="1:7" s="32" customFormat="1" ht="18" customHeight="1">
      <c r="A56" s="32" t="s">
        <v>8919</v>
      </c>
      <c r="B56" s="248" t="s">
        <v>8920</v>
      </c>
      <c r="C56" s="249" t="str">
        <f>IF(cst_FIRE_SystemCheck="OK",MATCH(cst_CityInfo,cst_FIRE__city_erea,0),"")</f>
        <v/>
      </c>
    </row>
    <row r="57" spans="1:7" s="32" customFormat="1" ht="18" customHeight="1">
      <c r="B57" s="234" t="s">
        <v>8921</v>
      </c>
      <c r="C57" s="234"/>
      <c r="G57" s="248"/>
    </row>
    <row r="58" spans="1:7" s="32" customFormat="1" ht="18" customHeight="1">
      <c r="A58" s="32" t="s">
        <v>8922</v>
      </c>
      <c r="B58" s="248" t="s">
        <v>8923</v>
      </c>
      <c r="C58" s="249">
        <f ca="1">IF(cst_FIRE_SystemCheck="CheckError",3,IF(cst_FIRE_SystemCheck="Error",2,IF(OFFSET(cst_FIRE__base_point,cst_FIRE_CityInfo_Num,cst_FIRE_JoukenMovement,1,1)="",0,1)))</f>
        <v>2</v>
      </c>
    </row>
    <row r="59" spans="1:7" s="32" customFormat="1" ht="18" customHeight="1">
      <c r="B59" s="234" t="s">
        <v>8924</v>
      </c>
      <c r="C59" s="234"/>
      <c r="G59" s="248"/>
    </row>
    <row r="60" spans="1:7" s="32" customFormat="1" ht="18" customHeight="1">
      <c r="A60" s="32" t="s">
        <v>8925</v>
      </c>
      <c r="B60" s="248" t="s">
        <v>8926</v>
      </c>
      <c r="C60" s="249" t="str">
        <f ca="1">IF(cst_FIRE_IrregularJudge=1,OFFSET(cst_FIRE__base_point,cst_FIRE_CityInfo_Num,cst_FIRE_JoukenMovement,1,1),"")</f>
        <v/>
      </c>
    </row>
    <row r="61" spans="1:7" s="32" customFormat="1" ht="18" customHeight="1">
      <c r="B61" s="234" t="s">
        <v>8927</v>
      </c>
      <c r="C61" s="234"/>
      <c r="G61" s="248"/>
    </row>
    <row r="62" spans="1:7" s="32" customFormat="1" ht="18" customHeight="1">
      <c r="A62" s="32" t="s">
        <v>8928</v>
      </c>
      <c r="B62" s="250" t="s">
        <v>8929</v>
      </c>
      <c r="C62" s="251">
        <v>2</v>
      </c>
    </row>
    <row r="63" spans="1:7" s="32" customFormat="1" ht="18" customHeight="1">
      <c r="A63" s="32" t="s">
        <v>8930</v>
      </c>
      <c r="B63" s="250" t="s">
        <v>8931</v>
      </c>
      <c r="C63" s="251">
        <v>3</v>
      </c>
    </row>
    <row r="64" spans="1:7" s="32" customFormat="1" ht="18" customHeight="1">
      <c r="A64" s="32" t="s">
        <v>8932</v>
      </c>
      <c r="B64" s="250" t="s">
        <v>8933</v>
      </c>
      <c r="C64" s="251">
        <v>1</v>
      </c>
    </row>
    <row r="65" spans="1:21" s="33" customFormat="1" ht="18" customHeight="1">
      <c r="A65" s="33" t="s">
        <v>8934</v>
      </c>
      <c r="B65" s="252"/>
      <c r="C65" s="253"/>
    </row>
    <row r="66" spans="1:21" s="32" customFormat="1" ht="18" customHeight="1">
      <c r="A66" s="234" t="s">
        <v>8935</v>
      </c>
      <c r="B66" s="234" t="s">
        <v>8936</v>
      </c>
      <c r="C66" s="254" t="str">
        <f ca="1">IF(cst_FIRE_IrregularJudge=3,"",IF(cst_FIRE_IrregularJudge=2,OFFSET(cst_FIRE_CombList_Point,0,1,1,1),IF(cst_FIRE_IrregularJudge=0,IF(cst_FIRE_CombList_value=1,"",OFFSET(cst_FIRE_CombList_Point,cst_FIRE_CombList_value-1,1,1,1)),IF(cst_FIRE_ConditionJudge="-","",IF(cst_FIRE_ConditionJudge=0,OFFSET(cst_FIRE_CombList_Point,0,1,1,1),IF(OFFSET(cst_FIRE__base_point,cst_FIRE_CityInfo_Num,cst_FIRE_JoukenMovement+1,1,1)="","",OFFSET(cst_FIRE__base_point,cst_FIRE_CityInfo_Num,cst_FIRE_JoukenMovement+1,1,1)))))))</f>
        <v>東大阪市西消防署</v>
      </c>
    </row>
    <row r="67" spans="1:21" s="32" customFormat="1" ht="18" customHeight="1">
      <c r="A67" s="234"/>
      <c r="B67" s="234" t="s">
        <v>8937</v>
      </c>
      <c r="C67" s="254" t="str">
        <f ca="1">IF(cst_FIRE_IrregularJudge=3,"消防長様",IF(cst_FIRE_IrregularJudge=2,OFFSET(cst_FIRE_CombList_Point,0,0,1,1)&amp;"様",IF(cst_FIRE_IrregularJudge=0,IF(cst_FIRE_CombList_value=1,"消防長様",OFFSET(cst_FIRE_CombList_Point,cst_FIRE_CombList_value-1,0,1,1)&amp;"様"),IF(cst_FIRE_ConditionJudge="-","消防長様",IF(cst_FIRE_ConditionJudge=0,OFFSET(cst_FIRE_CombList_Point,0,0,1,1)&amp;"様",IF(OFFSET(cst_FIRE__base_point,cst_FIRE_CityInfo_Num,cst_FIRE_JoukenMovement+3,1,1)="","消防長様",OFFSET(cst_FIRE__base_point,cst_FIRE_CityInfo_Num,cst_FIRE_JoukenMovement+3,1,1)&amp;"様"))))))</f>
        <v>東大阪市西消防署長様</v>
      </c>
    </row>
    <row r="68" spans="1:21" s="32" customFormat="1" ht="18" customHeight="1">
      <c r="B68" s="32" t="s">
        <v>8938</v>
      </c>
      <c r="C68" s="255" t="str">
        <f ca="1">IF(cst_city_FIRE_STATION_ID__DEST_NAME_Decision="","",SUBSTITUTE(cst_city_FIRE_STATION_ID__DEST_NAME_Decision,"　",CHAR(10)&amp;CHAR(10)))</f>
        <v>東大阪市西消防署長様</v>
      </c>
    </row>
    <row r="69" spans="1:21" s="32" customFormat="1" ht="18" customHeight="1">
      <c r="C69" s="234"/>
    </row>
    <row r="70" spans="1:21" ht="18" customHeight="1">
      <c r="A70" t="s">
        <v>8939</v>
      </c>
      <c r="C70" s="52"/>
    </row>
    <row r="71" spans="1:21" s="257" customFormat="1" ht="18" customHeight="1">
      <c r="A71" s="256"/>
      <c r="B71" s="256"/>
    </row>
    <row r="72" spans="1:21" ht="18" customHeight="1">
      <c r="A72" s="258"/>
      <c r="B72" s="259" t="s">
        <v>8940</v>
      </c>
      <c r="C72" s="666" t="s">
        <v>8941</v>
      </c>
      <c r="D72" s="663" t="s">
        <v>8941</v>
      </c>
      <c r="E72" s="664"/>
      <c r="F72" s="665"/>
      <c r="G72" s="663" t="s">
        <v>8942</v>
      </c>
      <c r="H72" s="664"/>
      <c r="I72" s="665"/>
      <c r="J72" s="663" t="s">
        <v>8943</v>
      </c>
      <c r="K72" s="664"/>
      <c r="L72" s="665"/>
      <c r="M72" s="663" t="s">
        <v>8944</v>
      </c>
      <c r="N72" s="664"/>
      <c r="O72" s="665"/>
      <c r="P72" s="663" t="s">
        <v>8945</v>
      </c>
      <c r="Q72" s="664"/>
      <c r="R72" s="665"/>
      <c r="S72" s="663" t="s">
        <v>8946</v>
      </c>
      <c r="T72" s="664"/>
      <c r="U72" s="665"/>
    </row>
    <row r="73" spans="1:21" ht="18" customHeight="1">
      <c r="A73" s="260">
        <f>ROW()</f>
        <v>73</v>
      </c>
      <c r="B73" s="261"/>
      <c r="C73" s="667"/>
      <c r="D73" s="262" t="s">
        <v>4394</v>
      </c>
      <c r="E73" s="262" t="s">
        <v>8947</v>
      </c>
      <c r="F73" s="262" t="s">
        <v>8909</v>
      </c>
      <c r="G73" s="262" t="s">
        <v>4394</v>
      </c>
      <c r="H73" s="262" t="s">
        <v>8947</v>
      </c>
      <c r="I73" s="262" t="s">
        <v>8909</v>
      </c>
      <c r="J73" s="262" t="s">
        <v>4394</v>
      </c>
      <c r="K73" s="262" t="s">
        <v>8947</v>
      </c>
      <c r="L73" s="262" t="s">
        <v>8909</v>
      </c>
      <c r="M73" s="262" t="s">
        <v>4394</v>
      </c>
      <c r="N73" s="262" t="s">
        <v>8947</v>
      </c>
      <c r="O73" s="262" t="s">
        <v>8909</v>
      </c>
      <c r="P73" s="262" t="s">
        <v>4394</v>
      </c>
      <c r="Q73" s="262" t="s">
        <v>8947</v>
      </c>
      <c r="R73" s="262" t="s">
        <v>8909</v>
      </c>
      <c r="S73" s="262" t="s">
        <v>4394</v>
      </c>
      <c r="T73" s="262" t="s">
        <v>8947</v>
      </c>
      <c r="U73" s="262" t="s">
        <v>8909</v>
      </c>
    </row>
    <row r="74" spans="1:21" ht="18" customHeight="1">
      <c r="A74" s="232">
        <v>1</v>
      </c>
      <c r="B74" s="263"/>
      <c r="C74" s="264" t="s">
        <v>8948</v>
      </c>
      <c r="D74" s="233"/>
      <c r="E74" s="233"/>
      <c r="F74" s="233"/>
      <c r="G74" s="233"/>
      <c r="H74" s="233"/>
      <c r="I74" s="233"/>
      <c r="J74" s="233"/>
      <c r="K74" s="233"/>
      <c r="L74" s="233"/>
      <c r="M74" s="233"/>
      <c r="N74" s="233"/>
      <c r="O74" s="233"/>
      <c r="P74" s="233"/>
      <c r="Q74" s="233"/>
      <c r="R74" s="233"/>
      <c r="S74" s="233"/>
      <c r="T74" s="233"/>
      <c r="U74" s="233"/>
    </row>
    <row r="75" spans="1:21" ht="18" customHeight="1">
      <c r="A75" s="232">
        <v>2</v>
      </c>
      <c r="B75" s="263" t="s">
        <v>8949</v>
      </c>
      <c r="C75" s="265">
        <f t="shared" ref="C75:C85" si="0">IF(shinsei_build_YOUTO_CODE="","-",IF(OR(shinsei_build_YOUTO_CODE=8010,shinsei_build_YOUTO_CODE="08010",shinsei_build_YOUTO_CODE=8020,shinsei_build_YOUTO_CODE="08020",),1,0))</f>
        <v>0</v>
      </c>
      <c r="D75" t="s">
        <v>8950</v>
      </c>
      <c r="F75" t="s">
        <v>8951</v>
      </c>
    </row>
    <row r="76" spans="1:21" ht="18" customHeight="1">
      <c r="A76" s="232">
        <v>3</v>
      </c>
      <c r="B76" s="263" t="s">
        <v>8952</v>
      </c>
      <c r="C76" s="265">
        <f t="shared" si="0"/>
        <v>0</v>
      </c>
      <c r="D76" t="s">
        <v>8950</v>
      </c>
      <c r="F76" t="s">
        <v>8951</v>
      </c>
    </row>
    <row r="77" spans="1:21" ht="18" customHeight="1">
      <c r="A77" s="232">
        <v>4</v>
      </c>
      <c r="B77" s="263" t="s">
        <v>8953</v>
      </c>
      <c r="C77" s="265">
        <f t="shared" si="0"/>
        <v>0</v>
      </c>
      <c r="D77" t="s">
        <v>8950</v>
      </c>
      <c r="F77" t="s">
        <v>8951</v>
      </c>
    </row>
    <row r="78" spans="1:21" ht="18" customHeight="1">
      <c r="A78" s="232">
        <v>5</v>
      </c>
      <c r="B78" s="263" t="s">
        <v>8954</v>
      </c>
      <c r="C78" s="265">
        <f t="shared" si="0"/>
        <v>0</v>
      </c>
      <c r="D78" t="s">
        <v>8950</v>
      </c>
      <c r="F78" t="s">
        <v>8951</v>
      </c>
    </row>
    <row r="79" spans="1:21" ht="18" customHeight="1">
      <c r="A79" s="232">
        <v>6</v>
      </c>
      <c r="B79" s="263" t="s">
        <v>8955</v>
      </c>
      <c r="C79" s="265">
        <f t="shared" si="0"/>
        <v>0</v>
      </c>
      <c r="D79" t="s">
        <v>8950</v>
      </c>
      <c r="F79" t="s">
        <v>8951</v>
      </c>
    </row>
    <row r="80" spans="1:21" ht="18" customHeight="1">
      <c r="A80" s="232">
        <v>7</v>
      </c>
      <c r="B80" s="263" t="s">
        <v>8956</v>
      </c>
      <c r="C80" s="265">
        <f t="shared" si="0"/>
        <v>0</v>
      </c>
      <c r="D80" t="s">
        <v>8950</v>
      </c>
      <c r="F80" t="s">
        <v>8951</v>
      </c>
    </row>
    <row r="81" spans="1:6" ht="18" customHeight="1">
      <c r="A81" s="232">
        <v>8</v>
      </c>
      <c r="B81" s="263" t="s">
        <v>8957</v>
      </c>
      <c r="C81" s="265">
        <f t="shared" si="0"/>
        <v>0</v>
      </c>
      <c r="D81" t="s">
        <v>8950</v>
      </c>
      <c r="F81" t="s">
        <v>8951</v>
      </c>
    </row>
    <row r="82" spans="1:6" ht="18" customHeight="1">
      <c r="A82" s="232">
        <v>9</v>
      </c>
      <c r="B82" s="263" t="s">
        <v>8958</v>
      </c>
      <c r="C82" s="265">
        <f t="shared" si="0"/>
        <v>0</v>
      </c>
      <c r="D82" t="s">
        <v>8950</v>
      </c>
      <c r="F82" t="s">
        <v>8951</v>
      </c>
    </row>
    <row r="83" spans="1:6" ht="18" customHeight="1">
      <c r="A83" s="232">
        <v>10</v>
      </c>
      <c r="B83" s="263" t="s">
        <v>8959</v>
      </c>
      <c r="C83" s="265">
        <f t="shared" si="0"/>
        <v>0</v>
      </c>
      <c r="D83" t="s">
        <v>8950</v>
      </c>
      <c r="F83" t="s">
        <v>8951</v>
      </c>
    </row>
    <row r="84" spans="1:6" ht="18" customHeight="1">
      <c r="A84" s="232">
        <v>11</v>
      </c>
      <c r="B84" s="263" t="s">
        <v>8960</v>
      </c>
      <c r="C84" s="265">
        <f t="shared" si="0"/>
        <v>0</v>
      </c>
      <c r="D84" t="s">
        <v>8950</v>
      </c>
      <c r="F84" t="s">
        <v>8951</v>
      </c>
    </row>
    <row r="85" spans="1:6" ht="18" customHeight="1">
      <c r="A85" s="232">
        <v>12</v>
      </c>
      <c r="B85" s="263" t="s">
        <v>8961</v>
      </c>
      <c r="C85" s="265">
        <f t="shared" si="0"/>
        <v>0</v>
      </c>
      <c r="D85" t="s">
        <v>8950</v>
      </c>
      <c r="F85" t="s">
        <v>8951</v>
      </c>
    </row>
    <row r="86" spans="1:6" ht="18" customHeight="1">
      <c r="A86" s="232">
        <v>13</v>
      </c>
      <c r="B86" s="263"/>
    </row>
    <row r="87" spans="1:6" ht="18" customHeight="1">
      <c r="A87" s="232">
        <v>14</v>
      </c>
      <c r="B87" s="263"/>
      <c r="C87" s="56" t="s">
        <v>8962</v>
      </c>
    </row>
    <row r="88" spans="1:6" ht="18" customHeight="1">
      <c r="A88" s="232">
        <v>15</v>
      </c>
      <c r="B88" s="263" t="s">
        <v>8963</v>
      </c>
      <c r="C88" s="265">
        <f>IF(shinsei_INSPECTION_TYPE="計画変更",0,IF(OR(cst_shinsei_build_STAT_HOU6__firestation="",shinsei_build_NOBE_MENSEKI_BILL_SHINSEI=""),"-",IF(OR(cst_shinsei_build_STAT_HOU6__firestation=4,shinsei_build_NOBE_MENSEKI_BILL_SHINSEI&gt;=3000),1,0)))</f>
        <v>0</v>
      </c>
      <c r="D88" t="s">
        <v>8964</v>
      </c>
      <c r="F88" t="s">
        <v>8965</v>
      </c>
    </row>
    <row r="89" spans="1:6" ht="18" customHeight="1">
      <c r="A89" s="232">
        <v>16</v>
      </c>
      <c r="B89" s="263"/>
    </row>
    <row r="90" spans="1:6" ht="18" customHeight="1">
      <c r="A90" s="232">
        <v>17</v>
      </c>
      <c r="B90" s="263"/>
    </row>
    <row r="91" spans="1:6" ht="18" customHeight="1">
      <c r="A91" s="232">
        <v>18</v>
      </c>
      <c r="B91" s="263"/>
    </row>
    <row r="92" spans="1:6" ht="18" customHeight="1">
      <c r="A92" s="232">
        <v>19</v>
      </c>
      <c r="B92" s="263"/>
    </row>
    <row r="93" spans="1:6" ht="18" customHeight="1">
      <c r="A93" s="232">
        <v>20</v>
      </c>
      <c r="B93" s="263"/>
    </row>
    <row r="94" spans="1:6" ht="18" customHeight="1">
      <c r="A94" s="232">
        <v>21</v>
      </c>
      <c r="B94" s="263"/>
    </row>
    <row r="95" spans="1:6" ht="18" customHeight="1">
      <c r="A95" s="232">
        <v>22</v>
      </c>
      <c r="B95" s="263"/>
    </row>
    <row r="96" spans="1:6" ht="18" customHeight="1">
      <c r="A96" s="232">
        <v>23</v>
      </c>
      <c r="B96" s="263"/>
    </row>
    <row r="97" spans="1:2" ht="18" customHeight="1">
      <c r="A97" s="232">
        <v>24</v>
      </c>
      <c r="B97" s="263"/>
    </row>
    <row r="98" spans="1:2" ht="18" customHeight="1">
      <c r="A98" s="232">
        <v>25</v>
      </c>
      <c r="B98" s="263"/>
    </row>
    <row r="99" spans="1:2" ht="18" customHeight="1">
      <c r="A99" s="232">
        <v>26</v>
      </c>
      <c r="B99" s="263"/>
    </row>
    <row r="100" spans="1:2" ht="18" customHeight="1">
      <c r="A100" s="232">
        <v>27</v>
      </c>
      <c r="B100" s="266"/>
    </row>
    <row r="101" spans="1:2" ht="18" customHeight="1">
      <c r="A101" s="56"/>
    </row>
  </sheetData>
  <mergeCells count="7">
    <mergeCell ref="S72:U72"/>
    <mergeCell ref="C72:C73"/>
    <mergeCell ref="D72:F72"/>
    <mergeCell ref="G72:I72"/>
    <mergeCell ref="J72:L72"/>
    <mergeCell ref="M72:O72"/>
    <mergeCell ref="P72:R72"/>
  </mergeCells>
  <phoneticPr fontId="2"/>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Drop Down 1">
              <controlPr defaultSize="0" autoLine="0" autoPict="0">
                <anchor moveWithCells="1">
                  <from>
                    <xdr:col>0</xdr:col>
                    <xdr:colOff>28575</xdr:colOff>
                    <xdr:row>34</xdr:row>
                    <xdr:rowOff>19050</xdr:rowOff>
                  </from>
                  <to>
                    <xdr:col>1</xdr:col>
                    <xdr:colOff>771525</xdr:colOff>
                    <xdr:row>35</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rgb="FFFF99CC"/>
  </sheetPr>
  <dimension ref="A2:S310"/>
  <sheetViews>
    <sheetView topLeftCell="A150" zoomScale="85" zoomScaleNormal="85" workbookViewId="0">
      <selection activeCell="F167" sqref="F167"/>
    </sheetView>
  </sheetViews>
  <sheetFormatPr defaultColWidth="9.625" defaultRowHeight="18" customHeight="1"/>
  <cols>
    <col min="1" max="1" width="4.375" style="166" customWidth="1"/>
    <col min="2" max="2" width="4.375" style="277" customWidth="1"/>
    <col min="3" max="3" width="22.5" style="174" customWidth="1"/>
    <col min="4" max="4" width="16.375" style="278" customWidth="1"/>
    <col min="5" max="5" width="16.5" style="279" customWidth="1"/>
    <col min="6" max="6" width="30" style="166" customWidth="1"/>
    <col min="7" max="7" width="21.875" style="166" customWidth="1"/>
    <col min="8" max="9" width="12.625" style="166" customWidth="1"/>
    <col min="10" max="10" width="2.875" style="166" customWidth="1"/>
    <col min="11" max="11" width="12.625" style="166" customWidth="1"/>
    <col min="12" max="18" width="2.875" style="166" customWidth="1"/>
    <col min="19" max="16384" width="9.625" style="166"/>
  </cols>
  <sheetData>
    <row r="2" spans="1:7" s="100" customFormat="1" ht="18" customHeight="1">
      <c r="A2" s="268" t="s">
        <v>8966</v>
      </c>
      <c r="B2" s="268"/>
      <c r="C2" s="268"/>
    </row>
    <row r="3" spans="1:7" s="100" customFormat="1" ht="18" customHeight="1">
      <c r="A3" s="269"/>
      <c r="B3" s="270"/>
      <c r="F3" s="116"/>
      <c r="G3" s="116"/>
    </row>
    <row r="4" spans="1:7" s="100" customFormat="1" ht="18" customHeight="1">
      <c r="B4" s="48" t="s">
        <v>8967</v>
      </c>
      <c r="D4" s="100" t="s">
        <v>1631</v>
      </c>
      <c r="E4" s="176" t="str">
        <f>cst_shinsei_STRUCTRESULT_NOTIFY_KOUFU_NAME</f>
        <v/>
      </c>
    </row>
    <row r="5" spans="1:7" s="100" customFormat="1" ht="18" customHeight="1">
      <c r="A5" s="269"/>
      <c r="B5" s="270" t="s">
        <v>1632</v>
      </c>
      <c r="D5" s="100" t="s">
        <v>8968</v>
      </c>
      <c r="E5" s="176">
        <f>shinsei_TEKIHAN_KIKAN_CODE</f>
        <v>0</v>
      </c>
      <c r="F5" s="116"/>
      <c r="G5" s="116"/>
    </row>
    <row r="6" spans="1:7" s="100" customFormat="1" ht="18" customHeight="1">
      <c r="A6" s="269"/>
      <c r="B6" s="270"/>
      <c r="F6" s="116"/>
      <c r="G6" s="116"/>
    </row>
    <row r="7" spans="1:7" s="47" customFormat="1" ht="18" customHeight="1">
      <c r="B7" s="47" t="s">
        <v>8969</v>
      </c>
      <c r="C7" s="116"/>
      <c r="E7" s="271"/>
      <c r="F7" s="116"/>
    </row>
    <row r="8" spans="1:7" s="47" customFormat="1" ht="18" customHeight="1">
      <c r="C8" s="116"/>
      <c r="E8" s="271"/>
      <c r="F8" s="116"/>
    </row>
    <row r="9" spans="1:7" s="47" customFormat="1" ht="18" customHeight="1">
      <c r="B9" s="47" t="s">
        <v>8970</v>
      </c>
      <c r="C9" s="116"/>
      <c r="D9" s="272" t="s">
        <v>8971</v>
      </c>
      <c r="E9" s="271"/>
      <c r="F9" s="116"/>
    </row>
    <row r="10" spans="1:7" s="47" customFormat="1" ht="18" customHeight="1">
      <c r="B10" s="47" t="s">
        <v>8972</v>
      </c>
      <c r="C10" s="116"/>
      <c r="D10" s="273" t="s">
        <v>8973</v>
      </c>
      <c r="E10" s="271"/>
      <c r="F10" s="116"/>
    </row>
    <row r="11" spans="1:7" s="47" customFormat="1" ht="18" customHeight="1">
      <c r="C11" s="116"/>
      <c r="E11" s="271"/>
      <c r="F11" s="116"/>
    </row>
    <row r="12" spans="1:7" s="47" customFormat="1" ht="18" customHeight="1">
      <c r="B12" s="116" t="s">
        <v>8974</v>
      </c>
      <c r="C12" s="116"/>
      <c r="E12" s="271"/>
      <c r="F12" s="116" t="s">
        <v>8975</v>
      </c>
      <c r="G12" s="273" t="str">
        <f>IF(ISERROR(INDEX(cst_JUDGE_OFFICE__erea__SIGN,MATCH(shinsei_TEKIHAN_KIKAN_CODE,cst_JUDGE_OFFICE__erea__SEARCH_VALUE,0))),"","cst_JUDGE_OFFICE_date_erea__"&amp;INDEX(cst_JUDGE_OFFICE__erea__SIGN,MATCH(shinsei_TEKIHAN_KIKAN_CODE,cst_JUDGE_OFFICE__erea__SEARCH_VALUE,0)))</f>
        <v/>
      </c>
    </row>
    <row r="13" spans="1:7" s="47" customFormat="1" ht="18" customHeight="1">
      <c r="B13" s="47" t="s">
        <v>8976</v>
      </c>
      <c r="C13" s="116"/>
      <c r="E13" s="271"/>
      <c r="F13" s="116" t="s">
        <v>8977</v>
      </c>
      <c r="G13" s="273" t="str">
        <f>IF(ISERROR(INDEX(cst_JUDGE_OFFICE__erea__SIGN,MATCH(shinsei_TEKIHAN_KIKAN_CODE,cst_JUDGE_OFFICE__erea__SEARCH_VALUE,0))),"","cst_JUDGE_OFFICE_"&amp;INDEX(cst_JUDGE_OFFICE__erea__SIGN,MATCH(shinsei_TEKIHAN_KIKAN_CODE,cst_JUDGE_OFFICE__erea__SEARCH_VALUE,0)))</f>
        <v/>
      </c>
    </row>
    <row r="14" spans="1:7" s="47" customFormat="1" ht="18" customHeight="1">
      <c r="B14" s="47" t="s">
        <v>8978</v>
      </c>
      <c r="C14" s="116"/>
      <c r="E14" s="271"/>
      <c r="F14" s="116" t="s">
        <v>8979</v>
      </c>
      <c r="G14" s="272" t="str">
        <f ca="1">IF(cst_JUDGE_OFFICE_READ___base_point="",cst_shinsei_STRUCTRESULT_NOTIFY_KOUFU_NAME,IF(OFFSET(INDIRECT(cst_JUDGE_OFFICE_READ___base_point),0,0,1,1)="",cst_shinsei_STRUCTRESULT_NOTIFY_KOUFU_NAME,OFFSET(INDIRECT(cst_JUDGE_OFFICE_READ___base_point),0,0,1,1)))</f>
        <v/>
      </c>
    </row>
    <row r="15" spans="1:7" s="47" customFormat="1" ht="18" customHeight="1">
      <c r="C15" s="116"/>
      <c r="E15" s="271"/>
      <c r="F15" s="116"/>
    </row>
    <row r="16" spans="1:7" s="100" customFormat="1" ht="18" customHeight="1">
      <c r="A16" s="269">
        <v>1</v>
      </c>
      <c r="B16" s="270" t="s">
        <v>8980</v>
      </c>
      <c r="G16" s="274">
        <f ca="1">IF(shinsei_STRPROVO_NOTIFY_DATE="",TODAY(),shinsei_STRPROVO_NOTIFY_DATE)</f>
        <v>44348</v>
      </c>
    </row>
    <row r="17" spans="1:7" s="100" customFormat="1" ht="18" customHeight="1">
      <c r="A17" s="269"/>
      <c r="B17" s="270" t="s">
        <v>8981</v>
      </c>
      <c r="F17" s="116" t="s">
        <v>8982</v>
      </c>
      <c r="G17" s="272" t="str">
        <f ca="1">IF(cst_JUDGE_OFFICE_READ___base_point="","",IF(OFFSET(INDIRECT(cst_JUDGE_OFFICE_READ___base_point),MATCH(G16,INDIRECT(cst_JUDGE_OFFICE_READ___date_erea),1)-1,3,1,1)="","",OFFSET(INDIRECT(cst_JUDGE_OFFICE_READ___base_point),MATCH(G16,INDIRECT(cst_JUDGE_OFFICE_READ___date_erea),1)-1,3,1,1)))</f>
        <v/>
      </c>
    </row>
    <row r="18" spans="1:7" s="100" customFormat="1" ht="18" customHeight="1">
      <c r="A18" s="269"/>
      <c r="B18" s="270" t="s">
        <v>8983</v>
      </c>
      <c r="F18" s="116" t="s">
        <v>8984</v>
      </c>
      <c r="G18" s="273" t="str">
        <f ca="1">cst_JUDGE_OFFICE_CORP&amp;IF(cst_JUDGE_OFFICE_DAIHYOUSHA__jizentuuti="","御中","  "&amp;cst_JUDGE_OFFICE_DAIHYOUSHA__jizentuuti&amp;" 様")</f>
        <v>御中</v>
      </c>
    </row>
    <row r="19" spans="1:7" s="100" customFormat="1" ht="18" customHeight="1">
      <c r="A19" s="269"/>
      <c r="B19" s="275" t="s">
        <v>8985</v>
      </c>
      <c r="F19" s="116" t="s">
        <v>8986</v>
      </c>
      <c r="G19" s="276" t="str">
        <f ca="1">cst_JUDGE_OFFICE_CORP&amp;IF(cst_JUDGE_OFFICE_DAIHYOUSHA__jizentuuti="","御中",CHAR(10)&amp;"　"&amp;cst_JUDGE_OFFICE_DAIHYOUSHA__jizentuuti&amp;" 様")</f>
        <v>御中</v>
      </c>
    </row>
    <row r="20" spans="1:7" s="100" customFormat="1" ht="18" customHeight="1">
      <c r="A20" s="269"/>
      <c r="B20" s="270" t="s">
        <v>8987</v>
      </c>
      <c r="F20" s="116" t="s">
        <v>8988</v>
      </c>
      <c r="G20" s="272" t="str">
        <f ca="1">IF(cst_JUDGE_OFFICE_READ___base_point="","",IF(OFFSET(INDIRECT(cst_JUDGE_OFFICE_READ___base_point),MATCH(G16,INDIRECT(cst_JUDGE_OFFICE_READ___date_erea),1)-1,4,1,1)="","",OFFSET(INDIRECT(cst_JUDGE_OFFICE_READ___base_point),MATCH(G16,INDIRECT(cst_JUDGE_OFFICE_READ___date_erea),1)-1,4,1,1)))</f>
        <v/>
      </c>
    </row>
    <row r="21" spans="1:7" s="100" customFormat="1" ht="18" customHeight="1">
      <c r="A21" s="269"/>
      <c r="B21" s="270" t="s">
        <v>8989</v>
      </c>
      <c r="F21" s="116" t="s">
        <v>8990</v>
      </c>
      <c r="G21" s="273" t="str">
        <f ca="1">cst_JUDGE_OFFICE_CORP&amp;IF(cst_JUDGE_OFFICE_KOUZOUSEKININSHA__jizentuuti="","御中","  "&amp;cst_JUDGE_OFFICE_KOUZOUSEKININSHA__jizentuuti&amp;" 様")</f>
        <v>御中</v>
      </c>
    </row>
    <row r="22" spans="1:7" s="100" customFormat="1" ht="18" customHeight="1">
      <c r="A22" s="269"/>
      <c r="B22" s="275" t="s">
        <v>8991</v>
      </c>
      <c r="F22" s="116" t="s">
        <v>8992</v>
      </c>
      <c r="G22" s="276" t="str">
        <f ca="1">cst_JUDGE_OFFICE_CORP&amp;IF(cst_JUDGE_OFFICE_KOUZOUSEKININSHA__jizentuuti="","御中",CHAR(10)&amp;"　"&amp;cst_JUDGE_OFFICE_KOUZOUSEKININSHA__jizentuuti&amp;" 様")</f>
        <v>御中</v>
      </c>
    </row>
    <row r="23" spans="1:7" s="100" customFormat="1" ht="18" customHeight="1">
      <c r="A23" s="269"/>
      <c r="B23" s="270"/>
      <c r="F23" s="116"/>
      <c r="G23" s="116"/>
    </row>
    <row r="24" spans="1:7" s="100" customFormat="1" ht="18" customHeight="1">
      <c r="A24" s="269">
        <v>2</v>
      </c>
      <c r="B24" s="270" t="s">
        <v>1642</v>
      </c>
      <c r="G24" s="274">
        <f ca="1">IF(shinsei_STRIRAI_DATE="",TODAY(),shinsei_STRIRAI_DATE)</f>
        <v>44348</v>
      </c>
    </row>
    <row r="25" spans="1:7" s="100" customFormat="1" ht="18" customHeight="1">
      <c r="A25" s="269"/>
      <c r="B25" s="270" t="s">
        <v>8981</v>
      </c>
      <c r="F25" s="116" t="s">
        <v>8993</v>
      </c>
      <c r="G25" s="272" t="str">
        <f ca="1">IF(cst_JUDGE_OFFICE_READ___base_point="","",IF(OFFSET(INDIRECT(cst_JUDGE_OFFICE_READ___base_point),MATCH(G24,INDIRECT(cst_JUDGE_OFFICE_READ___date_erea),1)-1,3,1,1)="","",OFFSET(INDIRECT(cst_JUDGE_OFFICE_READ___base_point),MATCH(G24,INDIRECT(cst_JUDGE_OFFICE_READ___date_erea),1)-1,3,1,1)))</f>
        <v/>
      </c>
    </row>
    <row r="26" spans="1:7" s="100" customFormat="1" ht="18" customHeight="1">
      <c r="A26" s="269"/>
      <c r="B26" s="270" t="s">
        <v>8983</v>
      </c>
      <c r="F26" s="116" t="s">
        <v>8994</v>
      </c>
      <c r="G26" s="273" t="str">
        <f ca="1">cst_JUDGE_OFFICE_CORP&amp;IF(cst_JUDGE_OFFICE_DAIHYOUSHA__irai="","御中","  "&amp;cst_JUDGE_OFFICE_DAIHYOUSHA__irai&amp;" 様")</f>
        <v>御中</v>
      </c>
    </row>
    <row r="27" spans="1:7" s="100" customFormat="1" ht="18" customHeight="1">
      <c r="A27" s="269"/>
      <c r="B27" s="275" t="s">
        <v>8985</v>
      </c>
      <c r="F27" s="116" t="s">
        <v>8995</v>
      </c>
      <c r="G27" s="276" t="str">
        <f ca="1">cst_JUDGE_OFFICE_CORP&amp;IF(cst_JUDGE_OFFICE_DAIHYOUSHA__irai="","御中",CHAR(10)&amp;"　"&amp;cst_JUDGE_OFFICE_DAIHYOUSHA__irai&amp;" 様")</f>
        <v>御中</v>
      </c>
    </row>
    <row r="28" spans="1:7" s="100" customFormat="1" ht="18" customHeight="1">
      <c r="A28" s="269"/>
      <c r="B28" s="270" t="s">
        <v>8987</v>
      </c>
      <c r="F28" s="116" t="s">
        <v>8996</v>
      </c>
      <c r="G28" s="272" t="str">
        <f ca="1">IF(cst_JUDGE_OFFICE_READ___base_point="","",IF(OFFSET(INDIRECT(cst_JUDGE_OFFICE_READ___base_point),MATCH(G24,INDIRECT(cst_JUDGE_OFFICE_READ___date_erea),1)-1,4,1,1)="","",OFFSET(INDIRECT(cst_JUDGE_OFFICE_READ___base_point),MATCH(G24,INDIRECT(cst_JUDGE_OFFICE_READ___date_erea),1)-1,4,1,1)))</f>
        <v/>
      </c>
    </row>
    <row r="29" spans="1:7" s="100" customFormat="1" ht="18" customHeight="1">
      <c r="A29" s="269"/>
      <c r="B29" s="270" t="s">
        <v>8989</v>
      </c>
      <c r="F29" s="116" t="s">
        <v>8997</v>
      </c>
      <c r="G29" s="273" t="str">
        <f ca="1">cst_JUDGE_OFFICE_CORP&amp;IF(cst_JUDGE_OFFICE_KOUZOUSEKININSHA__irai="","御中","  "&amp;cst_JUDGE_OFFICE_KOUZOUSEKININSHA__irai&amp;" 様")</f>
        <v>御中</v>
      </c>
    </row>
    <row r="30" spans="1:7" s="100" customFormat="1" ht="18" customHeight="1">
      <c r="A30" s="269"/>
      <c r="B30" s="275" t="s">
        <v>8991</v>
      </c>
      <c r="F30" s="116" t="s">
        <v>8998</v>
      </c>
      <c r="G30" s="276" t="str">
        <f ca="1">cst_JUDGE_OFFICE_CORP&amp;IF(cst_JUDGE_OFFICE_KOUZOUSEKININSHA__irai="","御中",CHAR(10)&amp;"　"&amp;cst_JUDGE_OFFICE_KOUZOUSEKININSHA__irai&amp;" 様")</f>
        <v>御中</v>
      </c>
    </row>
    <row r="31" spans="1:7" s="100" customFormat="1" ht="18" customHeight="1">
      <c r="A31" s="269"/>
      <c r="B31" s="270"/>
      <c r="F31" s="116"/>
      <c r="G31" s="116"/>
    </row>
    <row r="32" spans="1:7" s="100" customFormat="1" ht="18" customHeight="1">
      <c r="A32" s="269">
        <v>3</v>
      </c>
      <c r="B32" s="270" t="s">
        <v>8999</v>
      </c>
      <c r="G32" s="274">
        <f ca="1">IF(shinsei_STR_EXCEEDED_DATE="",TODAY(),shinsei_STR_EXCEEDED_DATE)</f>
        <v>44348</v>
      </c>
    </row>
    <row r="33" spans="1:7" s="100" customFormat="1" ht="18" customHeight="1">
      <c r="A33" s="269"/>
      <c r="B33" s="270" t="s">
        <v>8981</v>
      </c>
      <c r="F33" s="116" t="s">
        <v>9000</v>
      </c>
      <c r="G33" s="272" t="str">
        <f ca="1">IF(cst_JUDGE_OFFICE_READ___base_point="","",IF(OFFSET(INDIRECT(cst_JUDGE_OFFICE_READ___base_point),MATCH(G32,INDIRECT(cst_JUDGE_OFFICE_READ___date_erea),1)-1,3,1,1)="","",OFFSET(INDIRECT(cst_JUDGE_OFFICE_READ___base_point),MATCH(G32,INDIRECT(cst_JUDGE_OFFICE_READ___date_erea),1)-1,3,1,1)))</f>
        <v/>
      </c>
    </row>
    <row r="34" spans="1:7" s="100" customFormat="1" ht="18" customHeight="1">
      <c r="A34" s="269"/>
      <c r="B34" s="270" t="s">
        <v>8983</v>
      </c>
      <c r="F34" s="116" t="s">
        <v>9001</v>
      </c>
      <c r="G34" s="273" t="str">
        <f ca="1">cst_JUDGE_OFFICE_CORP&amp;IF(cst_JUDGE_OFFICE_DAIHYOUSHA__enchou="","御中","  "&amp;cst_JUDGE_OFFICE_DAIHYOUSHA__enchou&amp;" 様")</f>
        <v>御中</v>
      </c>
    </row>
    <row r="35" spans="1:7" s="100" customFormat="1" ht="18" customHeight="1">
      <c r="A35" s="269"/>
      <c r="B35" s="275" t="s">
        <v>8985</v>
      </c>
      <c r="F35" s="116" t="s">
        <v>9002</v>
      </c>
      <c r="G35" s="276" t="str">
        <f ca="1">cst_JUDGE_OFFICE_CORP&amp;IF(cst_JUDGE_OFFICE_DAIHYOUSHA__enchou="","御中",CHAR(10)&amp;"　"&amp;cst_JUDGE_OFFICE_DAIHYOUSHA__enchou&amp;" 様")</f>
        <v>御中</v>
      </c>
    </row>
    <row r="36" spans="1:7" s="100" customFormat="1" ht="18" customHeight="1">
      <c r="A36" s="269"/>
      <c r="B36" s="270" t="s">
        <v>8987</v>
      </c>
      <c r="F36" s="116" t="s">
        <v>9003</v>
      </c>
      <c r="G36" s="272" t="str">
        <f ca="1">IF(cst_JUDGE_OFFICE_READ___base_point="","",IF(OFFSET(INDIRECT(cst_JUDGE_OFFICE_READ___base_point),MATCH(G32,INDIRECT(cst_JUDGE_OFFICE_READ___date_erea),1)-1,4,1,1)="","",OFFSET(INDIRECT(cst_JUDGE_OFFICE_READ___base_point),MATCH(G32,INDIRECT(cst_JUDGE_OFFICE_READ___date_erea),1)-1,4,1,1)))</f>
        <v/>
      </c>
    </row>
    <row r="37" spans="1:7" s="100" customFormat="1" ht="18" customHeight="1">
      <c r="A37" s="269"/>
      <c r="B37" s="270" t="s">
        <v>8989</v>
      </c>
      <c r="F37" s="116" t="s">
        <v>9004</v>
      </c>
      <c r="G37" s="273" t="str">
        <f ca="1">cst_JUDGE_OFFICE_CORP&amp;IF(cst_JUDGE_OFFICE_KOUZOUSEKININSHA__enchou="","御中","  "&amp;cst_JUDGE_OFFICE_KOUZOUSEKININSHA__enchou&amp;" 様")</f>
        <v>御中</v>
      </c>
    </row>
    <row r="38" spans="1:7" s="100" customFormat="1" ht="18" customHeight="1">
      <c r="A38" s="269"/>
      <c r="B38" s="275" t="s">
        <v>8991</v>
      </c>
      <c r="F38" s="116" t="s">
        <v>9005</v>
      </c>
      <c r="G38" s="276" t="str">
        <f ca="1">cst_JUDGE_OFFICE_CORP&amp;IF(cst_JUDGE_OFFICE_KOUZOUSEKININSHA__enchou="","御中",CHAR(10)&amp;"　"&amp;cst_JUDGE_OFFICE_KOUZOUSEKININSHA__enchou&amp;" 様")</f>
        <v>御中</v>
      </c>
    </row>
    <row r="39" spans="1:7" s="100" customFormat="1" ht="18" customHeight="1">
      <c r="A39" s="269"/>
      <c r="B39" s="270"/>
      <c r="F39" s="116"/>
      <c r="G39" s="116"/>
    </row>
    <row r="40" spans="1:7" s="100" customFormat="1" ht="18" customHeight="1">
      <c r="A40" s="269">
        <v>4</v>
      </c>
      <c r="B40" s="270" t="s">
        <v>9006</v>
      </c>
      <c r="G40" s="274">
        <f ca="1">IF(shinsei_STRTORISAGE_TEISYUTU_DATE="",TODAY(),shinsei_STRTORISAGE_TEISYUTU_DATE)</f>
        <v>44348</v>
      </c>
    </row>
    <row r="41" spans="1:7" s="100" customFormat="1" ht="18" customHeight="1">
      <c r="A41" s="269"/>
      <c r="B41" s="270" t="s">
        <v>8981</v>
      </c>
      <c r="F41" s="116" t="s">
        <v>9007</v>
      </c>
      <c r="G41" s="272" t="str">
        <f ca="1">IF(cst_JUDGE_OFFICE_READ___base_point="","",IF(OFFSET(INDIRECT(cst_JUDGE_OFFICE_READ___base_point),MATCH(G40,INDIRECT(cst_JUDGE_OFFICE_READ___date_erea),1)-1,3,1,1)="","",OFFSET(INDIRECT(cst_JUDGE_OFFICE_READ___base_point),MATCH(G40,INDIRECT(cst_JUDGE_OFFICE_READ___date_erea),1)-1,3,1,1)))</f>
        <v/>
      </c>
    </row>
    <row r="42" spans="1:7" s="100" customFormat="1" ht="18" customHeight="1">
      <c r="A42" s="269"/>
      <c r="B42" s="270" t="s">
        <v>8983</v>
      </c>
      <c r="F42" s="116" t="s">
        <v>9008</v>
      </c>
      <c r="G42" s="273" t="str">
        <f ca="1">cst_JUDGE_OFFICE_CORP&amp;IF(cst_JUDGE_OFFICE_DAIHYOUSHA__torisage="","御中","  "&amp;cst_JUDGE_OFFICE_DAIHYOUSHA__torisage&amp;" 様")</f>
        <v>御中</v>
      </c>
    </row>
    <row r="43" spans="1:7" s="100" customFormat="1" ht="18" customHeight="1">
      <c r="A43" s="269"/>
      <c r="B43" s="275" t="s">
        <v>8985</v>
      </c>
      <c r="F43" s="116" t="s">
        <v>9009</v>
      </c>
      <c r="G43" s="276" t="str">
        <f ca="1">cst_JUDGE_OFFICE_CORP&amp;IF(cst_JUDGE_OFFICE_DAIHYOUSHA__torisage="","御中",CHAR(10)&amp;"　"&amp;cst_JUDGE_OFFICE_DAIHYOUSHA__torisage&amp;" 様")</f>
        <v>御中</v>
      </c>
    </row>
    <row r="44" spans="1:7" s="100" customFormat="1" ht="18" customHeight="1">
      <c r="A44" s="269"/>
      <c r="B44" s="270" t="s">
        <v>8987</v>
      </c>
      <c r="F44" s="116" t="s">
        <v>9010</v>
      </c>
      <c r="G44" s="272" t="str">
        <f ca="1">IF(cst_JUDGE_OFFICE_READ___base_point="","",IF(OFFSET(INDIRECT(cst_JUDGE_OFFICE_READ___base_point),MATCH(G40,INDIRECT(cst_JUDGE_OFFICE_READ___date_erea),1)-1,4,1,1)="","",OFFSET(INDIRECT(cst_JUDGE_OFFICE_READ___base_point),MATCH(G40,INDIRECT(cst_JUDGE_OFFICE_READ___date_erea),1)-1,4,1,1)))</f>
        <v/>
      </c>
    </row>
    <row r="45" spans="1:7" s="100" customFormat="1" ht="18" customHeight="1">
      <c r="A45" s="269"/>
      <c r="B45" s="270" t="s">
        <v>8989</v>
      </c>
      <c r="F45" s="116" t="s">
        <v>9011</v>
      </c>
      <c r="G45" s="273" t="str">
        <f ca="1">cst_JUDGE_OFFICE_CORP&amp;IF(cst_JUDGE_OFFICE_KOUZOUSEKININSHA__torisage="","御中","  "&amp;cst_JUDGE_OFFICE_KOUZOUSEKININSHA__torisage&amp;" 様")</f>
        <v>御中</v>
      </c>
    </row>
    <row r="46" spans="1:7" s="100" customFormat="1" ht="18" customHeight="1">
      <c r="A46" s="269"/>
      <c r="B46" s="275" t="s">
        <v>8991</v>
      </c>
      <c r="F46" s="116" t="s">
        <v>9012</v>
      </c>
      <c r="G46" s="276" t="str">
        <f ca="1">cst_JUDGE_OFFICE_CORP&amp;IF(cst_JUDGE_OFFICE_KOUZOUSEKININSHA__enchou="","御中",CHAR(10)&amp;"　"&amp;cst_JUDGE_OFFICE_KOUZOUSEKININSHA__enchou&amp;" 様")</f>
        <v>御中</v>
      </c>
    </row>
    <row r="47" spans="1:7" s="100" customFormat="1" ht="18" customHeight="1">
      <c r="A47" s="269"/>
      <c r="B47" s="270"/>
      <c r="F47" s="116"/>
      <c r="G47" s="116"/>
    </row>
    <row r="48" spans="1:7" s="100" customFormat="1" ht="18" customHeight="1">
      <c r="A48" s="269">
        <v>5</v>
      </c>
      <c r="B48" s="270" t="s">
        <v>9013</v>
      </c>
      <c r="G48" s="274">
        <f ca="1">IF(cst_shinsei_STRUCTTUIKA_NOTIFT_DATE="",TODAY(),cst_shinsei_STRUCTTUIKA_NOTIFT_DATE)</f>
        <v>44348</v>
      </c>
    </row>
    <row r="49" spans="1:7" ht="18" customHeight="1">
      <c r="A49" s="277"/>
      <c r="B49" s="270" t="s">
        <v>8981</v>
      </c>
      <c r="D49" s="166"/>
      <c r="E49" s="166"/>
      <c r="F49" s="116" t="s">
        <v>9014</v>
      </c>
      <c r="G49" s="272" t="str">
        <f ca="1">IF(cst_JUDGE_OFFICE_READ___base_point="","",IF(OFFSET(INDIRECT(cst_JUDGE_OFFICE_READ___base_point),MATCH(G48,INDIRECT(cst_JUDGE_OFFICE_READ___date_erea),1)-1,3,1,1)="","",OFFSET(INDIRECT(cst_JUDGE_OFFICE_READ___base_point),MATCH(G48,INDIRECT(cst_JUDGE_OFFICE_READ___date_erea),1)-1,3,1,1)))</f>
        <v/>
      </c>
    </row>
    <row r="50" spans="1:7" s="100" customFormat="1" ht="18" customHeight="1">
      <c r="A50" s="269"/>
      <c r="B50" s="270" t="s">
        <v>8983</v>
      </c>
      <c r="F50" s="116" t="s">
        <v>9015</v>
      </c>
      <c r="G50" s="273" t="str">
        <f ca="1">cst_JUDGE_OFFICE_CORP&amp;IF(cst_JUDGE_OFFICE_DAIHYOUSHA__tuikatosho="","御中","  "&amp;cst_JUDGE_OFFICE_DAIHYOUSHA__tuikatosho&amp;" 様")</f>
        <v>御中</v>
      </c>
    </row>
    <row r="51" spans="1:7" s="100" customFormat="1" ht="18" customHeight="1">
      <c r="A51" s="269"/>
      <c r="B51" s="275" t="s">
        <v>8985</v>
      </c>
      <c r="F51" s="116" t="s">
        <v>9016</v>
      </c>
      <c r="G51" s="276" t="str">
        <f ca="1">cst_JUDGE_OFFICE_CORP&amp;IF(cst_JUDGE_OFFICE_DAIHYOUSHA__tuikatosho="","御中",CHAR(10)&amp;"　"&amp;cst_JUDGE_OFFICE_DAIHYOUSHA__tuikatosho&amp;" 様")</f>
        <v>御中</v>
      </c>
    </row>
    <row r="52" spans="1:7" ht="18" customHeight="1">
      <c r="A52" s="277"/>
      <c r="B52" s="270" t="s">
        <v>8987</v>
      </c>
      <c r="D52" s="166"/>
      <c r="E52" s="166"/>
      <c r="F52" s="116" t="s">
        <v>9017</v>
      </c>
      <c r="G52" s="272" t="str">
        <f ca="1">IF(cst_JUDGE_OFFICE_READ___base_point="","",IF(OFFSET(INDIRECT(cst_JUDGE_OFFICE_READ___base_point),MATCH(G48,INDIRECT(cst_JUDGE_OFFICE_READ___date_erea),1)-1,4,1,1)="","",OFFSET(INDIRECT(cst_JUDGE_OFFICE_READ___base_point),MATCH(G48,INDIRECT(cst_JUDGE_OFFICE_READ___date_erea),1)-1,4,1,1)))</f>
        <v/>
      </c>
    </row>
    <row r="53" spans="1:7" s="100" customFormat="1" ht="18" customHeight="1">
      <c r="A53" s="269"/>
      <c r="B53" s="270" t="s">
        <v>8989</v>
      </c>
      <c r="F53" s="116" t="s">
        <v>9018</v>
      </c>
      <c r="G53" s="273" t="str">
        <f ca="1">cst_JUDGE_OFFICE_CORP&amp;IF(cst_JUDGE_OFFICE_KOUZOUSEKININSHA__tuikatosho="","御中","  "&amp;cst_JUDGE_OFFICE_KOUZOUSEKININSHA__tuikatosho&amp;" 様")</f>
        <v>御中</v>
      </c>
    </row>
    <row r="54" spans="1:7" s="100" customFormat="1" ht="18" customHeight="1">
      <c r="A54" s="269"/>
      <c r="B54" s="275" t="s">
        <v>8991</v>
      </c>
      <c r="F54" s="116" t="s">
        <v>9019</v>
      </c>
      <c r="G54" s="276" t="str">
        <f ca="1">cst_JUDGE_OFFICE_CORP&amp;IF(cst_JUDGE_OFFICE_KOUZOUSEKININSHA__tuikatosho="","御中",CHAR(10)&amp;"　"&amp;cst_JUDGE_OFFICE_KOUZOUSEKININSHA__tuikatosho&amp;" 様")</f>
        <v>御中</v>
      </c>
    </row>
    <row r="56" spans="1:7" ht="18" customHeight="1">
      <c r="A56" s="269">
        <v>6</v>
      </c>
      <c r="B56" s="230" t="s">
        <v>9020</v>
      </c>
      <c r="E56" s="278"/>
      <c r="F56" s="278"/>
      <c r="G56" s="274">
        <f ca="1">IF(cst_shinsei__STRUCTNOTIFT_HENKOU_NOTIFT_DATE="",TODAY(),cst_shinsei__STRUCTNOTIFT_HENKOU_NOTIFT_DATE)</f>
        <v>44348</v>
      </c>
    </row>
    <row r="57" spans="1:7" ht="18" customHeight="1">
      <c r="B57" s="270" t="s">
        <v>8981</v>
      </c>
      <c r="F57" s="116" t="s">
        <v>9021</v>
      </c>
      <c r="G57" s="272" t="str">
        <f ca="1">IF(cst_JUDGE_OFFICE_READ___base_point="","",IF(OFFSET(INDIRECT(cst_JUDGE_OFFICE_READ___base_point),MATCH(G56,INDIRECT(cst_JUDGE_OFFICE_READ___date_erea),1)-1,3,1,1)="","",OFFSET(INDIRECT(cst_JUDGE_OFFICE_READ___base_point),MATCH(G56,INDIRECT(cst_JUDGE_OFFICE_READ___date_erea),1)-1,3,1,1)))</f>
        <v/>
      </c>
    </row>
    <row r="58" spans="1:7" ht="18" customHeight="1">
      <c r="B58" s="270" t="s">
        <v>8983</v>
      </c>
      <c r="F58" s="116" t="s">
        <v>9022</v>
      </c>
      <c r="G58" s="273" t="str">
        <f ca="1">cst_JUDGE_OFFICE_CORP&amp;IF(cst_JUDGE_OFFICE_DAIHYOUSHA__tuikatosho_henkou="","御中","  "&amp;cst_JUDGE_OFFICE_DAIHYOUSHA__tuikatosho_henkou&amp;" 様")</f>
        <v>御中</v>
      </c>
    </row>
    <row r="59" spans="1:7" ht="18" customHeight="1">
      <c r="B59" s="275" t="s">
        <v>8985</v>
      </c>
      <c r="F59" s="116" t="s">
        <v>9023</v>
      </c>
      <c r="G59" s="276" t="str">
        <f ca="1">cst_JUDGE_OFFICE_CORP&amp;IF(cst_JUDGE_OFFICE_DAIHYOUSHA__tuikatosho_henkou="","御中",CHAR(10)&amp;"　"&amp;cst_JUDGE_OFFICE_DAIHYOUSHA__tuikatosho_henkou&amp;" 様")</f>
        <v>御中</v>
      </c>
    </row>
    <row r="60" spans="1:7" ht="18" customHeight="1">
      <c r="B60" s="270" t="s">
        <v>8987</v>
      </c>
      <c r="F60" s="116" t="s">
        <v>9024</v>
      </c>
      <c r="G60" s="272" t="str">
        <f ca="1">IF(cst_JUDGE_OFFICE_READ___base_point="","",IF(OFFSET(INDIRECT(cst_JUDGE_OFFICE_READ___base_point),MATCH(G56,INDIRECT(cst_JUDGE_OFFICE_READ___date_erea),1)-1,4,1,1)="","",OFFSET(INDIRECT(cst_JUDGE_OFFICE_READ___base_point),MATCH(G56,INDIRECT(cst_JUDGE_OFFICE_READ___date_erea),1)-1,4,1,1)))</f>
        <v/>
      </c>
    </row>
    <row r="61" spans="1:7" ht="18" customHeight="1">
      <c r="B61" s="270" t="s">
        <v>8989</v>
      </c>
      <c r="F61" s="116" t="s">
        <v>9025</v>
      </c>
      <c r="G61" s="273" t="str">
        <f ca="1">cst_JUDGE_OFFICE_CORP&amp;IF(cst_JUDGE_OFFICE_KOUZOUSEKININSHA__tuikatosho_henkou="","御中","  "&amp;cst_JUDGE_OFFICE_KOUZOUSEKININSHA__tuikatosho_henkou&amp;" 様")</f>
        <v>御中</v>
      </c>
    </row>
    <row r="62" spans="1:7" ht="18" customHeight="1">
      <c r="B62" s="275" t="s">
        <v>8991</v>
      </c>
      <c r="F62" s="116" t="s">
        <v>9026</v>
      </c>
      <c r="G62" s="276" t="str">
        <f ca="1">cst_JUDGE_OFFICE_CORP&amp;IF(cst_JUDGE_OFFICE_KOUZOUSEKININSHA__tuikatosho_henkou="","御中",CHAR(10)&amp;"　"&amp;cst_JUDGE_OFFICE_KOUZOUSEKININSHA__tuikatosho_henkou&amp;" 様")</f>
        <v>御中</v>
      </c>
    </row>
    <row r="64" spans="1:7" s="100" customFormat="1" ht="18" customHeight="1">
      <c r="A64" s="269">
        <v>7</v>
      </c>
      <c r="B64" s="270" t="s">
        <v>9027</v>
      </c>
      <c r="G64" s="274">
        <f ca="1">IF(cst_shinsei_xy_REPORT_DATE="",TODAY(),cst_shinsei_xy_REPORT_DATE)</f>
        <v>44348</v>
      </c>
    </row>
    <row r="65" spans="1:7" s="100" customFormat="1" ht="18" customHeight="1">
      <c r="A65" s="269"/>
      <c r="B65" s="270" t="s">
        <v>8981</v>
      </c>
      <c r="F65" s="116" t="s">
        <v>9028</v>
      </c>
      <c r="G65" s="272" t="str">
        <f ca="1">IF(cst_JUDGE_OFFICE_READ___base_point="","",IF(OFFSET(INDIRECT(cst_JUDGE_OFFICE_READ___base_point),MATCH(G64,INDIRECT(cst_JUDGE_OFFICE_READ___date_erea),1)-1,3,1,1)="","",OFFSET(INDIRECT(cst_JUDGE_OFFICE_READ___base_point),MATCH(G64,INDIRECT(cst_JUDGE_OFFICE_READ___date_erea),1)-1,3,1,1)))</f>
        <v/>
      </c>
    </row>
    <row r="66" spans="1:7" s="100" customFormat="1" ht="18" customHeight="1">
      <c r="A66" s="269"/>
      <c r="B66" s="270" t="s">
        <v>9029</v>
      </c>
      <c r="F66" s="116" t="s">
        <v>9030</v>
      </c>
      <c r="G66" s="273" t="str">
        <f ca="1">cst_JUDGE_OFFICE_CORP&amp;IF(cst_JUDGE_OFFICE_DAIHYOUSHA__HOUKOKU__disp="","御中","  "&amp;cst_JUDGE_OFFICE_DAIHYOUSHA__HOUKOKU__disp&amp;" 様")</f>
        <v>御中</v>
      </c>
    </row>
    <row r="67" spans="1:7" s="100" customFormat="1" ht="18" customHeight="1">
      <c r="A67" s="269"/>
      <c r="B67" s="275" t="s">
        <v>9031</v>
      </c>
      <c r="F67" s="116" t="s">
        <v>9032</v>
      </c>
      <c r="G67" s="276" t="str">
        <f ca="1">cst_JUDGE_OFFICE_CORP&amp;IF(cst_JUDGE_OFFICE_DAIHYOUSHA__HOUKOKU__disp="","御中",CHAR(10)&amp;"　"&amp;cst_JUDGE_OFFICE_DAIHYOUSHA__HOUKOKU__disp&amp;" 様")</f>
        <v>御中</v>
      </c>
    </row>
    <row r="68" spans="1:7" s="100" customFormat="1" ht="18" customHeight="1">
      <c r="A68" s="269"/>
      <c r="B68" s="270" t="s">
        <v>9033</v>
      </c>
      <c r="F68" s="116" t="s">
        <v>9034</v>
      </c>
      <c r="G68" s="272" t="str">
        <f ca="1">IF(cst_JUDGE_OFFICE_READ___base_point="","",IF(OFFSET(INDIRECT(cst_JUDGE_OFFICE_READ___base_point),MATCH(G64,INDIRECT(cst_JUDGE_OFFICE_READ___date_erea),1)-1,3,1,1)="","",OFFSET(INDIRECT(cst_JUDGE_OFFICE_READ___base_point),MATCH(G64,INDIRECT(cst_JUDGE_OFFICE_READ___date_erea),1)-1,3,1,1)))</f>
        <v/>
      </c>
    </row>
    <row r="69" spans="1:7" s="100" customFormat="1" ht="18" customHeight="1">
      <c r="A69" s="269"/>
      <c r="B69" s="270" t="s">
        <v>8983</v>
      </c>
      <c r="F69" s="116" t="s">
        <v>9035</v>
      </c>
      <c r="G69" s="273" t="str">
        <f ca="1">cst_JUDGE_OFFICE_CORP&amp;IF(cst_JUDGE_OFFICE_DAIHYOUSHA__HOUKOKU="","","  "&amp;cst_JUDGE_OFFICE_DAIHYOUSHA__HOUKOKU)</f>
        <v/>
      </c>
    </row>
    <row r="70" spans="1:7" s="100" customFormat="1" ht="18" customHeight="1">
      <c r="A70" s="269"/>
      <c r="B70" s="275" t="s">
        <v>8985</v>
      </c>
      <c r="F70" s="116" t="s">
        <v>9036</v>
      </c>
      <c r="G70" s="276" t="str">
        <f ca="1">cst_JUDGE_OFFICE_CORP&amp;IF(cst_JUDGE_OFFICE_DAIHYOUSHA__HOUKOKU="","",CHAR(10)&amp;"　"&amp;cst_JUDGE_OFFICE_DAIHYOUSHA__HOUKOKU)</f>
        <v/>
      </c>
    </row>
    <row r="71" spans="1:7" s="100" customFormat="1" ht="18" customHeight="1">
      <c r="A71" s="269"/>
      <c r="B71" s="270"/>
      <c r="F71" s="116"/>
      <c r="G71" s="116"/>
    </row>
    <row r="72" spans="1:7" ht="18" customHeight="1">
      <c r="A72" s="166" t="s">
        <v>9037</v>
      </c>
    </row>
    <row r="73" spans="1:7" ht="18" customHeight="1">
      <c r="A73" s="174" t="s">
        <v>9038</v>
      </c>
      <c r="B73" s="166"/>
      <c r="D73" s="280" t="s">
        <v>9039</v>
      </c>
      <c r="E73" s="281"/>
    </row>
    <row r="74" spans="1:7" ht="18" customHeight="1">
      <c r="A74" s="277"/>
      <c r="B74" s="174" t="s">
        <v>9040</v>
      </c>
    </row>
    <row r="75" spans="1:7" ht="18" customHeight="1">
      <c r="A75" s="174" t="s">
        <v>9041</v>
      </c>
      <c r="B75" s="166"/>
      <c r="D75" s="166" t="s">
        <v>9042</v>
      </c>
      <c r="E75" s="281"/>
    </row>
    <row r="76" spans="1:7" ht="18" customHeight="1">
      <c r="A76" s="277"/>
      <c r="B76" s="174"/>
    </row>
    <row r="77" spans="1:7" ht="18" customHeight="1">
      <c r="A77" s="174" t="s">
        <v>9043</v>
      </c>
      <c r="B77" s="166"/>
      <c r="D77" s="174" t="s">
        <v>9044</v>
      </c>
      <c r="E77" s="282"/>
    </row>
    <row r="78" spans="1:7" ht="18" customHeight="1">
      <c r="A78" s="277"/>
      <c r="B78" s="174" t="s">
        <v>9045</v>
      </c>
    </row>
    <row r="79" spans="1:7" ht="18" customHeight="1">
      <c r="A79" s="174" t="s">
        <v>9046</v>
      </c>
      <c r="B79" s="166"/>
      <c r="D79" s="174" t="s">
        <v>9047</v>
      </c>
      <c r="E79" s="281"/>
    </row>
    <row r="80" spans="1:7" ht="18" customHeight="1">
      <c r="A80" s="277"/>
      <c r="B80" s="174" t="s">
        <v>9046</v>
      </c>
      <c r="D80" s="174"/>
      <c r="E80" s="166"/>
    </row>
    <row r="81" spans="1:11" ht="18" customHeight="1">
      <c r="A81" s="166" t="s">
        <v>9048</v>
      </c>
      <c r="D81" s="166"/>
      <c r="E81" s="166"/>
    </row>
    <row r="82" spans="1:11" ht="18" customHeight="1">
      <c r="D82" s="174" t="s">
        <v>9049</v>
      </c>
      <c r="E82" s="281"/>
    </row>
    <row r="83" spans="1:11" ht="18" customHeight="1">
      <c r="D83" s="174" t="s">
        <v>9050</v>
      </c>
      <c r="E83" s="281"/>
    </row>
    <row r="84" spans="1:11" ht="18" customHeight="1">
      <c r="D84" s="174"/>
    </row>
    <row r="86" spans="1:11" s="277" customFormat="1" ht="18" customHeight="1" thickBot="1">
      <c r="A86" s="283">
        <f>ROW()</f>
        <v>86</v>
      </c>
      <c r="B86" s="284" t="s">
        <v>9051</v>
      </c>
      <c r="C86" s="285" t="s">
        <v>9052</v>
      </c>
      <c r="D86" s="286" t="s">
        <v>9053</v>
      </c>
      <c r="E86" s="287" t="s">
        <v>2586</v>
      </c>
      <c r="F86" s="288" t="s">
        <v>9054</v>
      </c>
      <c r="G86" s="288" t="s">
        <v>10156</v>
      </c>
      <c r="H86" s="288" t="s">
        <v>2760</v>
      </c>
      <c r="I86" s="288" t="s">
        <v>10157</v>
      </c>
      <c r="J86" s="283"/>
      <c r="K86" s="289" t="s">
        <v>10158</v>
      </c>
    </row>
    <row r="87" spans="1:11" ht="18" customHeight="1">
      <c r="A87" s="668">
        <f>(ROW()-82)/5</f>
        <v>1</v>
      </c>
      <c r="B87" s="290" t="s">
        <v>10159</v>
      </c>
      <c r="C87" s="291" t="s">
        <v>11478</v>
      </c>
      <c r="D87" s="292">
        <v>1</v>
      </c>
      <c r="E87" s="293">
        <v>39253</v>
      </c>
      <c r="F87" s="294" t="s">
        <v>10666</v>
      </c>
      <c r="G87" s="294" t="s">
        <v>10667</v>
      </c>
      <c r="H87" s="294"/>
      <c r="I87" s="294" t="s">
        <v>10668</v>
      </c>
      <c r="J87" s="424">
        <f>IF(ISERROR(SEARCH(I87,cst_shinsei_STRUCTRESULT_NOTIFY_KOUFU_NAME,1)),IF(ISERROR(SEARCH(I88,cst_shinsei_STRUCTRESULT_NOTIFY_KOUFU_NAME,1)),0,1),1)</f>
        <v>0</v>
      </c>
      <c r="K87" s="425" t="s">
        <v>10669</v>
      </c>
    </row>
    <row r="88" spans="1:11" ht="18" customHeight="1">
      <c r="A88" s="669"/>
      <c r="B88" s="296"/>
      <c r="C88" s="297"/>
      <c r="D88" s="292">
        <v>2</v>
      </c>
      <c r="E88" s="293">
        <v>40745</v>
      </c>
      <c r="F88" s="534" t="s">
        <v>10670</v>
      </c>
      <c r="G88" s="298" t="s">
        <v>10667</v>
      </c>
      <c r="H88" s="298"/>
      <c r="I88" s="298" t="s">
        <v>10671</v>
      </c>
      <c r="J88" s="427"/>
      <c r="K88" s="300"/>
    </row>
    <row r="89" spans="1:11" ht="18" customHeight="1">
      <c r="A89" s="669"/>
      <c r="B89" s="296"/>
      <c r="C89" s="297"/>
      <c r="D89" s="292">
        <v>3</v>
      </c>
      <c r="E89" s="293">
        <v>42534</v>
      </c>
      <c r="F89" s="298" t="s">
        <v>11352</v>
      </c>
      <c r="G89" s="298" t="s">
        <v>10667</v>
      </c>
      <c r="H89" s="298"/>
      <c r="I89" s="298" t="s">
        <v>10672</v>
      </c>
      <c r="J89" s="427"/>
      <c r="K89" s="300"/>
    </row>
    <row r="90" spans="1:11" ht="18" customHeight="1">
      <c r="A90" s="669"/>
      <c r="B90" s="296"/>
      <c r="C90" s="297"/>
      <c r="D90" s="292">
        <v>4</v>
      </c>
      <c r="E90" s="293"/>
      <c r="F90" s="298"/>
      <c r="G90" s="298"/>
      <c r="H90" s="298"/>
      <c r="I90" s="298"/>
      <c r="J90" s="427"/>
      <c r="K90" s="300"/>
    </row>
    <row r="91" spans="1:11" ht="18" customHeight="1">
      <c r="A91" s="670"/>
      <c r="B91" s="301"/>
      <c r="C91" s="302"/>
      <c r="D91" s="303" t="s">
        <v>10162</v>
      </c>
      <c r="E91" s="304"/>
      <c r="F91" s="305"/>
      <c r="G91" s="305"/>
      <c r="H91" s="305"/>
      <c r="I91" s="305"/>
      <c r="J91" s="428"/>
      <c r="K91" s="307"/>
    </row>
    <row r="92" spans="1:11" ht="18" customHeight="1">
      <c r="A92" s="668">
        <f>A87+1</f>
        <v>2</v>
      </c>
      <c r="B92" s="308" t="s">
        <v>10163</v>
      </c>
      <c r="C92" s="291" t="s">
        <v>11479</v>
      </c>
      <c r="D92" s="309">
        <v>1</v>
      </c>
      <c r="E92" s="293">
        <v>39253</v>
      </c>
      <c r="F92" s="294" t="s">
        <v>9370</v>
      </c>
      <c r="G92" s="294" t="s">
        <v>9371</v>
      </c>
      <c r="H92" s="294"/>
      <c r="I92" s="294" t="s">
        <v>9372</v>
      </c>
      <c r="J92" s="424">
        <f>IF(ISERROR(SEARCH(I92,cst_shinsei_STRUCTRESULT_NOTIFY_KOUFU_NAME,1)),IF(ISERROR(SEARCH(I93,cst_shinsei_STRUCTRESULT_NOTIFY_KOUFU_NAME,1)),0,1),1)</f>
        <v>0</v>
      </c>
      <c r="K92" s="310" t="s">
        <v>9373</v>
      </c>
    </row>
    <row r="93" spans="1:11" ht="18" customHeight="1">
      <c r="A93" s="669"/>
      <c r="B93" s="296"/>
      <c r="C93" s="297"/>
      <c r="D93" s="292">
        <v>2</v>
      </c>
      <c r="E93" s="293">
        <v>41718</v>
      </c>
      <c r="F93" s="298" t="s">
        <v>9374</v>
      </c>
      <c r="G93" s="298" t="s">
        <v>9375</v>
      </c>
      <c r="H93" s="298"/>
      <c r="I93" s="298" t="s">
        <v>9376</v>
      </c>
      <c r="J93" s="427"/>
      <c r="K93" s="300"/>
    </row>
    <row r="94" spans="1:11" ht="18" customHeight="1">
      <c r="A94" s="669"/>
      <c r="B94" s="296"/>
      <c r="C94" s="297"/>
      <c r="D94" s="292">
        <v>3</v>
      </c>
      <c r="E94" s="293">
        <v>43009</v>
      </c>
      <c r="F94" s="298" t="s">
        <v>11426</v>
      </c>
      <c r="G94" s="298" t="s">
        <v>9375</v>
      </c>
      <c r="H94" s="298"/>
      <c r="I94" s="298"/>
      <c r="J94" s="427"/>
      <c r="K94" s="300"/>
    </row>
    <row r="95" spans="1:11" ht="18" customHeight="1">
      <c r="A95" s="669"/>
      <c r="B95" s="296"/>
      <c r="C95" s="297"/>
      <c r="D95" s="292">
        <v>4</v>
      </c>
      <c r="E95" s="293"/>
      <c r="F95" s="298"/>
      <c r="G95" s="298"/>
      <c r="H95" s="298"/>
      <c r="I95" s="298"/>
      <c r="J95" s="427"/>
      <c r="K95" s="300"/>
    </row>
    <row r="96" spans="1:11" ht="18" customHeight="1">
      <c r="A96" s="670"/>
      <c r="B96" s="301"/>
      <c r="C96" s="302"/>
      <c r="D96" s="303" t="s">
        <v>10162</v>
      </c>
      <c r="E96" s="304"/>
      <c r="F96" s="305"/>
      <c r="G96" s="305"/>
      <c r="H96" s="305"/>
      <c r="I96" s="305"/>
      <c r="J96" s="428"/>
      <c r="K96" s="307"/>
    </row>
    <row r="97" spans="1:11" ht="18" customHeight="1">
      <c r="A97" s="668">
        <f>A92+1</f>
        <v>3</v>
      </c>
      <c r="B97" s="308" t="s">
        <v>10164</v>
      </c>
      <c r="C97" s="291" t="s">
        <v>11480</v>
      </c>
      <c r="D97" s="309">
        <v>1</v>
      </c>
      <c r="E97" s="293">
        <v>39253</v>
      </c>
      <c r="F97" s="294" t="s">
        <v>9377</v>
      </c>
      <c r="G97" s="294" t="s">
        <v>11195</v>
      </c>
      <c r="H97" s="294"/>
      <c r="I97" s="294" t="s">
        <v>9378</v>
      </c>
      <c r="J97" s="424">
        <f>IF(ISERROR(SEARCH(I97,cst_shinsei_STRUCTRESULT_NOTIFY_KOUFU_NAME,1)),IF(ISERROR(SEARCH(I98,cst_shinsei_STRUCTRESULT_NOTIFY_KOUFU_NAME,1)),0,1),1)</f>
        <v>0</v>
      </c>
      <c r="K97" s="310" t="s">
        <v>9379</v>
      </c>
    </row>
    <row r="98" spans="1:11" ht="18" customHeight="1">
      <c r="A98" s="669"/>
      <c r="B98" s="296"/>
      <c r="C98" s="297"/>
      <c r="D98" s="292">
        <v>2</v>
      </c>
      <c r="E98" s="293">
        <v>42160</v>
      </c>
      <c r="F98" s="298" t="s">
        <v>11194</v>
      </c>
      <c r="G98" s="298" t="s">
        <v>11195</v>
      </c>
      <c r="H98" s="298"/>
      <c r="I98" s="298" t="s">
        <v>9380</v>
      </c>
      <c r="J98" s="427"/>
      <c r="K98" s="300"/>
    </row>
    <row r="99" spans="1:11" ht="18" customHeight="1">
      <c r="A99" s="669"/>
      <c r="B99" s="296"/>
      <c r="C99" s="297"/>
      <c r="D99" s="292">
        <v>3</v>
      </c>
      <c r="E99" s="293"/>
      <c r="F99" s="298"/>
      <c r="G99" s="298"/>
      <c r="H99" s="298"/>
      <c r="I99" s="298"/>
      <c r="J99" s="427"/>
      <c r="K99" s="300"/>
    </row>
    <row r="100" spans="1:11" ht="18" customHeight="1">
      <c r="A100" s="669"/>
      <c r="B100" s="296"/>
      <c r="C100" s="297"/>
      <c r="D100" s="292">
        <v>4</v>
      </c>
      <c r="E100" s="293"/>
      <c r="F100" s="298"/>
      <c r="G100" s="298"/>
      <c r="H100" s="298"/>
      <c r="I100" s="298"/>
      <c r="J100" s="427"/>
      <c r="K100" s="300"/>
    </row>
    <row r="101" spans="1:11" ht="18" customHeight="1">
      <c r="A101" s="670"/>
      <c r="B101" s="301"/>
      <c r="C101" s="302"/>
      <c r="D101" s="303" t="s">
        <v>10162</v>
      </c>
      <c r="E101" s="304"/>
      <c r="F101" s="305"/>
      <c r="G101" s="305"/>
      <c r="H101" s="305"/>
      <c r="I101" s="305"/>
      <c r="J101" s="428"/>
      <c r="K101" s="307"/>
    </row>
    <row r="102" spans="1:11" ht="18" customHeight="1">
      <c r="A102" s="668">
        <f t="shared" ref="A102" si="0">A97+1</f>
        <v>4</v>
      </c>
      <c r="B102" s="308" t="s">
        <v>10165</v>
      </c>
      <c r="C102" s="291" t="s">
        <v>11481</v>
      </c>
      <c r="D102" s="309">
        <v>1</v>
      </c>
      <c r="E102" s="293">
        <v>39253</v>
      </c>
      <c r="F102" s="294" t="s">
        <v>9381</v>
      </c>
      <c r="G102" s="294" t="s">
        <v>9382</v>
      </c>
      <c r="H102" s="294"/>
      <c r="I102" s="294" t="s">
        <v>9383</v>
      </c>
      <c r="J102" s="424">
        <f>IF(ISERROR(SEARCH(I102,cst_shinsei_STRUCTRESULT_NOTIFY_KOUFU_NAME,1)),IF(ISERROR(SEARCH(I103,cst_shinsei_STRUCTRESULT_NOTIFY_KOUFU_NAME,1)),0,1),1)</f>
        <v>0</v>
      </c>
      <c r="K102" s="310" t="s">
        <v>9384</v>
      </c>
    </row>
    <row r="103" spans="1:11" ht="18" customHeight="1">
      <c r="A103" s="669"/>
      <c r="B103" s="296"/>
      <c r="C103" s="297"/>
      <c r="D103" s="292">
        <v>2</v>
      </c>
      <c r="E103" s="293">
        <v>41414</v>
      </c>
      <c r="F103" s="298" t="s">
        <v>9385</v>
      </c>
      <c r="G103" s="298" t="s">
        <v>9382</v>
      </c>
      <c r="H103" s="298"/>
      <c r="I103" s="298" t="s">
        <v>9386</v>
      </c>
      <c r="J103" s="427"/>
      <c r="K103" s="300"/>
    </row>
    <row r="104" spans="1:11" ht="18" customHeight="1">
      <c r="A104" s="669"/>
      <c r="B104" s="296"/>
      <c r="C104" s="297"/>
      <c r="D104" s="292">
        <v>3</v>
      </c>
      <c r="E104" s="293">
        <v>43251</v>
      </c>
      <c r="F104" s="298" t="s">
        <v>11464</v>
      </c>
      <c r="G104" s="298" t="s">
        <v>9382</v>
      </c>
      <c r="H104" s="298"/>
      <c r="I104" s="298" t="s">
        <v>9386</v>
      </c>
      <c r="J104" s="427"/>
      <c r="K104" s="300"/>
    </row>
    <row r="105" spans="1:11" ht="18" customHeight="1">
      <c r="A105" s="669"/>
      <c r="B105" s="296"/>
      <c r="C105" s="297"/>
      <c r="D105" s="292">
        <v>4</v>
      </c>
      <c r="E105" s="293"/>
      <c r="F105" s="298"/>
      <c r="G105" s="298"/>
      <c r="H105" s="298"/>
      <c r="I105" s="298"/>
      <c r="J105" s="427"/>
      <c r="K105" s="300"/>
    </row>
    <row r="106" spans="1:11" ht="18" customHeight="1">
      <c r="A106" s="670"/>
      <c r="B106" s="301"/>
      <c r="C106" s="302"/>
      <c r="D106" s="303" t="s">
        <v>10162</v>
      </c>
      <c r="E106" s="304"/>
      <c r="F106" s="305"/>
      <c r="G106" s="305"/>
      <c r="H106" s="305"/>
      <c r="I106" s="305"/>
      <c r="J106" s="428"/>
      <c r="K106" s="307"/>
    </row>
    <row r="107" spans="1:11" ht="18" customHeight="1">
      <c r="A107" s="668">
        <f t="shared" ref="A107" si="1">A102+1</f>
        <v>5</v>
      </c>
      <c r="B107" s="308" t="s">
        <v>10166</v>
      </c>
      <c r="C107" s="291" t="s">
        <v>11482</v>
      </c>
      <c r="D107" s="309">
        <v>1</v>
      </c>
      <c r="E107" s="293">
        <v>39253</v>
      </c>
      <c r="F107" s="294" t="s">
        <v>9387</v>
      </c>
      <c r="G107" s="294" t="s">
        <v>9388</v>
      </c>
      <c r="H107" s="294"/>
      <c r="I107" s="294" t="s">
        <v>9389</v>
      </c>
      <c r="J107" s="424">
        <f>IF(ISERROR(SEARCH(I107,cst_shinsei_STRUCTRESULT_NOTIFY_KOUFU_NAME,1)),IF(ISERROR(SEARCH(I108,cst_shinsei_STRUCTRESULT_NOTIFY_KOUFU_NAME,1)),0,1),1)</f>
        <v>0</v>
      </c>
      <c r="K107" s="310" t="s">
        <v>9390</v>
      </c>
    </row>
    <row r="108" spans="1:11" ht="18" customHeight="1">
      <c r="A108" s="669"/>
      <c r="B108" s="296"/>
      <c r="C108" s="297"/>
      <c r="D108" s="292">
        <v>2</v>
      </c>
      <c r="E108" s="293">
        <v>41365</v>
      </c>
      <c r="F108" s="298" t="s">
        <v>9391</v>
      </c>
      <c r="G108" s="298" t="s">
        <v>9388</v>
      </c>
      <c r="H108" s="298"/>
      <c r="I108" s="298" t="s">
        <v>9392</v>
      </c>
      <c r="J108" s="427"/>
      <c r="K108" s="300"/>
    </row>
    <row r="109" spans="1:11" ht="18" customHeight="1">
      <c r="A109" s="669"/>
      <c r="B109" s="296"/>
      <c r="C109" s="297"/>
      <c r="D109" s="292">
        <v>3</v>
      </c>
      <c r="E109" s="293">
        <v>42244</v>
      </c>
      <c r="F109" s="298" t="s">
        <v>11219</v>
      </c>
      <c r="G109" s="298" t="s">
        <v>9388</v>
      </c>
      <c r="H109" s="298"/>
      <c r="I109" s="298"/>
      <c r="J109" s="427"/>
      <c r="K109" s="300"/>
    </row>
    <row r="110" spans="1:11" ht="18" customHeight="1">
      <c r="A110" s="669"/>
      <c r="B110" s="296"/>
      <c r="C110" s="297"/>
      <c r="D110" s="292">
        <v>4</v>
      </c>
      <c r="E110" s="293"/>
      <c r="F110" s="298"/>
      <c r="G110" s="298"/>
      <c r="H110" s="298"/>
      <c r="I110" s="298"/>
      <c r="J110" s="427"/>
      <c r="K110" s="300"/>
    </row>
    <row r="111" spans="1:11" ht="18" customHeight="1">
      <c r="A111" s="670"/>
      <c r="B111" s="301"/>
      <c r="C111" s="302"/>
      <c r="D111" s="303" t="s">
        <v>10162</v>
      </c>
      <c r="E111" s="304"/>
      <c r="F111" s="305"/>
      <c r="G111" s="305"/>
      <c r="H111" s="305"/>
      <c r="I111" s="305"/>
      <c r="J111" s="428"/>
      <c r="K111" s="307"/>
    </row>
    <row r="112" spans="1:11" ht="18" customHeight="1">
      <c r="A112" s="668">
        <f>A107+1</f>
        <v>6</v>
      </c>
      <c r="B112" s="308" t="s">
        <v>10167</v>
      </c>
      <c r="C112" s="291" t="s">
        <v>11483</v>
      </c>
      <c r="D112" s="309">
        <v>1</v>
      </c>
      <c r="E112" s="293">
        <v>39253</v>
      </c>
      <c r="F112" s="294" t="s">
        <v>9393</v>
      </c>
      <c r="G112" s="294" t="s">
        <v>9394</v>
      </c>
      <c r="H112" s="294"/>
      <c r="I112" s="294" t="s">
        <v>9395</v>
      </c>
      <c r="J112" s="424">
        <f>IF(ISERROR(SEARCH(I112,cst_shinsei_STRUCTRESULT_NOTIFY_KOUFU_NAME,1)),IF(ISERROR(SEARCH(I113,cst_shinsei_STRUCTRESULT_NOTIFY_KOUFU_NAME,1)),0,1),1)</f>
        <v>0</v>
      </c>
      <c r="K112" s="310" t="s">
        <v>9396</v>
      </c>
    </row>
    <row r="113" spans="1:11" ht="18" customHeight="1">
      <c r="A113" s="669"/>
      <c r="B113" s="296"/>
      <c r="C113" s="297"/>
      <c r="D113" s="292">
        <v>2</v>
      </c>
      <c r="E113" s="293">
        <v>40695</v>
      </c>
      <c r="F113" s="426" t="s">
        <v>9394</v>
      </c>
      <c r="G113" s="426" t="s">
        <v>9394</v>
      </c>
      <c r="H113" s="298"/>
      <c r="I113" s="298" t="s">
        <v>9397</v>
      </c>
      <c r="J113" s="427"/>
      <c r="K113" s="300"/>
    </row>
    <row r="114" spans="1:11" ht="18" customHeight="1">
      <c r="A114" s="669"/>
      <c r="B114" s="296"/>
      <c r="C114" s="297"/>
      <c r="D114" s="292">
        <v>3</v>
      </c>
      <c r="E114" s="293"/>
      <c r="F114" s="298"/>
      <c r="G114" s="298"/>
      <c r="H114" s="298"/>
      <c r="I114" s="298"/>
      <c r="J114" s="427"/>
      <c r="K114" s="300"/>
    </row>
    <row r="115" spans="1:11" ht="18" customHeight="1">
      <c r="A115" s="669"/>
      <c r="B115" s="296"/>
      <c r="C115" s="297"/>
      <c r="D115" s="292">
        <v>4</v>
      </c>
      <c r="E115" s="293"/>
      <c r="F115" s="298"/>
      <c r="G115" s="298"/>
      <c r="H115" s="298"/>
      <c r="I115" s="298"/>
      <c r="J115" s="427"/>
      <c r="K115" s="300"/>
    </row>
    <row r="116" spans="1:11" ht="18" customHeight="1">
      <c r="A116" s="670"/>
      <c r="B116" s="301"/>
      <c r="C116" s="302"/>
      <c r="D116" s="303" t="s">
        <v>10162</v>
      </c>
      <c r="E116" s="304"/>
      <c r="F116" s="305"/>
      <c r="G116" s="305"/>
      <c r="H116" s="305"/>
      <c r="I116" s="305"/>
      <c r="J116" s="428"/>
      <c r="K116" s="307"/>
    </row>
    <row r="117" spans="1:11" ht="18" customHeight="1">
      <c r="A117" s="668">
        <f>A112+1</f>
        <v>7</v>
      </c>
      <c r="B117" s="308" t="s">
        <v>10168</v>
      </c>
      <c r="C117" s="291" t="s">
        <v>11484</v>
      </c>
      <c r="D117" s="309">
        <v>1</v>
      </c>
      <c r="E117" s="293">
        <v>39253</v>
      </c>
      <c r="F117" s="294" t="s">
        <v>9398</v>
      </c>
      <c r="G117" s="294" t="s">
        <v>9399</v>
      </c>
      <c r="H117" s="294"/>
      <c r="I117" s="294" t="s">
        <v>9400</v>
      </c>
      <c r="J117" s="424">
        <f>IF(ISERROR(SEARCH(I117,cst_shinsei_STRUCTRESULT_NOTIFY_KOUFU_NAME,1)),IF(ISERROR(SEARCH(I118,cst_shinsei_STRUCTRESULT_NOTIFY_KOUFU_NAME,1)),0,1),1)</f>
        <v>0</v>
      </c>
      <c r="K117" s="310" t="s">
        <v>9401</v>
      </c>
    </row>
    <row r="118" spans="1:11" ht="18" customHeight="1">
      <c r="A118" s="669"/>
      <c r="B118" s="296"/>
      <c r="C118" s="297"/>
      <c r="D118" s="292">
        <v>2</v>
      </c>
      <c r="E118" s="293">
        <v>40330</v>
      </c>
      <c r="F118" s="298" t="s">
        <v>9402</v>
      </c>
      <c r="G118" s="298" t="s">
        <v>9399</v>
      </c>
      <c r="H118" s="298"/>
      <c r="I118" s="298" t="s">
        <v>9403</v>
      </c>
      <c r="J118" s="427"/>
      <c r="K118" s="300"/>
    </row>
    <row r="119" spans="1:11" ht="18" customHeight="1">
      <c r="A119" s="669"/>
      <c r="B119" s="296"/>
      <c r="C119" s="297"/>
      <c r="D119" s="292">
        <v>3</v>
      </c>
      <c r="E119" s="293">
        <v>41060</v>
      </c>
      <c r="F119" s="298" t="s">
        <v>9404</v>
      </c>
      <c r="G119" s="298" t="s">
        <v>9399</v>
      </c>
      <c r="H119" s="298"/>
      <c r="I119" s="298"/>
      <c r="J119" s="427"/>
      <c r="K119" s="300"/>
    </row>
    <row r="120" spans="1:11" ht="18" customHeight="1">
      <c r="A120" s="669"/>
      <c r="B120" s="296"/>
      <c r="C120" s="297"/>
      <c r="D120" s="292">
        <v>4</v>
      </c>
      <c r="E120" s="293">
        <v>42184</v>
      </c>
      <c r="F120" s="298" t="s">
        <v>11393</v>
      </c>
      <c r="G120" s="298" t="s">
        <v>9399</v>
      </c>
      <c r="H120" s="298"/>
      <c r="I120" s="298"/>
      <c r="J120" s="427"/>
      <c r="K120" s="300"/>
    </row>
    <row r="121" spans="1:11" ht="18" customHeight="1">
      <c r="A121" s="669"/>
      <c r="B121" s="296"/>
      <c r="C121" s="297"/>
      <c r="D121" s="292">
        <v>5</v>
      </c>
      <c r="E121" s="293">
        <v>43280</v>
      </c>
      <c r="F121" s="298" t="s">
        <v>11467</v>
      </c>
      <c r="G121" s="298"/>
      <c r="H121" s="298"/>
      <c r="I121" s="298"/>
      <c r="J121" s="427"/>
      <c r="K121" s="300"/>
    </row>
    <row r="122" spans="1:11" ht="18" customHeight="1">
      <c r="A122" s="670"/>
      <c r="B122" s="301"/>
      <c r="C122" s="302"/>
      <c r="D122" s="303" t="s">
        <v>10162</v>
      </c>
      <c r="E122" s="304"/>
      <c r="F122" s="305"/>
      <c r="G122" s="305"/>
      <c r="H122" s="305"/>
      <c r="I122" s="305"/>
      <c r="J122" s="428"/>
      <c r="K122" s="307"/>
    </row>
    <row r="123" spans="1:11" ht="18" customHeight="1">
      <c r="A123" s="668">
        <f>A117+1</f>
        <v>8</v>
      </c>
      <c r="B123" s="308" t="s">
        <v>10169</v>
      </c>
      <c r="C123" s="291" t="s">
        <v>11485</v>
      </c>
      <c r="D123" s="309">
        <v>1</v>
      </c>
      <c r="E123" s="293">
        <v>39904</v>
      </c>
      <c r="F123" s="298" t="s">
        <v>9405</v>
      </c>
      <c r="G123" s="298" t="s">
        <v>9405</v>
      </c>
      <c r="H123" s="294"/>
      <c r="I123" s="294" t="s">
        <v>9406</v>
      </c>
      <c r="J123" s="424">
        <f>IF(ISERROR(SEARCH(I123,cst_shinsei_STRUCTRESULT_NOTIFY_KOUFU_NAME,1)),IF(ISERROR(SEARCH(I124,cst_shinsei_STRUCTRESULT_NOTIFY_KOUFU_NAME,1)),0,1),1)</f>
        <v>0</v>
      </c>
      <c r="K123" s="310" t="s">
        <v>9407</v>
      </c>
    </row>
    <row r="124" spans="1:11" ht="18" customHeight="1">
      <c r="A124" s="669"/>
      <c r="B124" s="296"/>
      <c r="C124" s="297"/>
      <c r="D124" s="292">
        <v>2</v>
      </c>
      <c r="E124" s="293">
        <v>40634</v>
      </c>
      <c r="F124" s="298" t="s">
        <v>9408</v>
      </c>
      <c r="G124" s="298" t="s">
        <v>9408</v>
      </c>
      <c r="H124" s="298"/>
      <c r="I124" s="298" t="s">
        <v>9409</v>
      </c>
      <c r="J124" s="427"/>
      <c r="K124" s="300"/>
    </row>
    <row r="125" spans="1:11" ht="18" customHeight="1">
      <c r="A125" s="669"/>
      <c r="B125" s="296"/>
      <c r="C125" s="297"/>
      <c r="D125" s="292">
        <v>3</v>
      </c>
      <c r="E125" s="293">
        <v>41000</v>
      </c>
      <c r="F125" s="298" t="s">
        <v>9410</v>
      </c>
      <c r="G125" s="298" t="s">
        <v>9410</v>
      </c>
      <c r="H125" s="298"/>
      <c r="I125" s="298"/>
      <c r="J125" s="427"/>
      <c r="K125" s="300"/>
    </row>
    <row r="126" spans="1:11" ht="18" customHeight="1">
      <c r="A126" s="669"/>
      <c r="B126" s="296"/>
      <c r="C126" s="297"/>
      <c r="D126" s="292">
        <v>4</v>
      </c>
      <c r="E126" s="293">
        <v>41365</v>
      </c>
      <c r="F126" s="298" t="s">
        <v>9411</v>
      </c>
      <c r="G126" s="298" t="s">
        <v>9411</v>
      </c>
      <c r="H126" s="298"/>
      <c r="I126" s="298"/>
      <c r="J126" s="427"/>
      <c r="K126" s="300"/>
    </row>
    <row r="127" spans="1:11" ht="18" customHeight="1">
      <c r="A127" s="669"/>
      <c r="B127" s="296"/>
      <c r="C127" s="297"/>
      <c r="D127" s="292">
        <v>5</v>
      </c>
      <c r="E127" s="293">
        <v>42095</v>
      </c>
      <c r="F127" s="298" t="s">
        <v>69</v>
      </c>
      <c r="G127" s="298" t="s">
        <v>69</v>
      </c>
      <c r="H127" s="298"/>
      <c r="I127" s="298"/>
      <c r="J127" s="427"/>
      <c r="K127" s="300"/>
    </row>
    <row r="128" spans="1:11" ht="18" customHeight="1">
      <c r="A128" s="669"/>
      <c r="B128" s="296"/>
      <c r="C128" s="297"/>
      <c r="D128" s="292">
        <v>6</v>
      </c>
      <c r="E128" s="293">
        <v>42461</v>
      </c>
      <c r="F128" s="298" t="s">
        <v>11356</v>
      </c>
      <c r="G128" s="298" t="s">
        <v>11357</v>
      </c>
      <c r="H128" s="298"/>
      <c r="I128" s="298"/>
      <c r="J128" s="427"/>
      <c r="K128" s="300"/>
    </row>
    <row r="129" spans="1:11" ht="18" customHeight="1">
      <c r="A129" s="670"/>
      <c r="B129" s="301"/>
      <c r="C129" s="302"/>
      <c r="D129" s="303" t="s">
        <v>10162</v>
      </c>
      <c r="E129" s="304"/>
      <c r="F129" s="298"/>
      <c r="G129" s="298"/>
      <c r="H129" s="305"/>
      <c r="I129" s="305"/>
      <c r="J129" s="428"/>
      <c r="K129" s="307"/>
    </row>
    <row r="130" spans="1:11" ht="18" customHeight="1">
      <c r="A130" s="668">
        <f>A123+1</f>
        <v>9</v>
      </c>
      <c r="B130" s="308" t="s">
        <v>10170</v>
      </c>
      <c r="C130" s="291" t="s">
        <v>11486</v>
      </c>
      <c r="D130" s="309">
        <v>1</v>
      </c>
      <c r="E130" s="293">
        <v>39253</v>
      </c>
      <c r="F130" s="294" t="s">
        <v>9412</v>
      </c>
      <c r="G130" s="294" t="s">
        <v>9413</v>
      </c>
      <c r="H130" s="294"/>
      <c r="I130" s="294" t="s">
        <v>9414</v>
      </c>
      <c r="J130" s="424">
        <f>IF(ISERROR(SEARCH(I130,cst_shinsei_STRUCTRESULT_NOTIFY_KOUFU_NAME,1)),IF(ISERROR(SEARCH(I131,cst_shinsei_STRUCTRESULT_NOTIFY_KOUFU_NAME,1)),0,1),1)</f>
        <v>0</v>
      </c>
      <c r="K130" s="310" t="s">
        <v>9415</v>
      </c>
    </row>
    <row r="131" spans="1:11" ht="18" customHeight="1">
      <c r="A131" s="669"/>
      <c r="B131" s="296"/>
      <c r="C131" s="297"/>
      <c r="D131" s="292">
        <v>2</v>
      </c>
      <c r="E131" s="293">
        <v>41730</v>
      </c>
      <c r="F131" s="298" t="s">
        <v>9416</v>
      </c>
      <c r="G131" s="298" t="s">
        <v>11264</v>
      </c>
      <c r="H131" s="298"/>
      <c r="I131" s="298" t="s">
        <v>9417</v>
      </c>
      <c r="J131" s="427"/>
      <c r="K131" s="300"/>
    </row>
    <row r="132" spans="1:11" ht="18" customHeight="1">
      <c r="A132" s="669"/>
      <c r="B132" s="296"/>
      <c r="C132" s="297"/>
      <c r="D132" s="292">
        <v>3</v>
      </c>
      <c r="E132" s="293">
        <v>42461</v>
      </c>
      <c r="F132" s="298" t="s">
        <v>11263</v>
      </c>
      <c r="G132" s="298" t="s">
        <v>11264</v>
      </c>
      <c r="H132" s="298"/>
      <c r="I132" s="298"/>
      <c r="J132" s="427"/>
      <c r="K132" s="300"/>
    </row>
    <row r="133" spans="1:11" ht="18" customHeight="1">
      <c r="A133" s="669"/>
      <c r="B133" s="296"/>
      <c r="C133" s="297"/>
      <c r="D133" s="292">
        <v>4</v>
      </c>
      <c r="E133" s="293"/>
      <c r="F133" s="298"/>
      <c r="G133" s="298"/>
      <c r="H133" s="298"/>
      <c r="I133" s="298"/>
      <c r="J133" s="427"/>
      <c r="K133" s="300"/>
    </row>
    <row r="134" spans="1:11" ht="18" customHeight="1">
      <c r="A134" s="670"/>
      <c r="B134" s="301"/>
      <c r="C134" s="302"/>
      <c r="D134" s="303" t="s">
        <v>10162</v>
      </c>
      <c r="E134" s="304"/>
      <c r="F134" s="305"/>
      <c r="G134" s="305"/>
      <c r="H134" s="305"/>
      <c r="I134" s="305"/>
      <c r="J134" s="428"/>
      <c r="K134" s="307"/>
    </row>
    <row r="135" spans="1:11" ht="18" customHeight="1">
      <c r="A135" s="668">
        <f>A130+1</f>
        <v>10</v>
      </c>
      <c r="B135" s="308" t="s">
        <v>10171</v>
      </c>
      <c r="C135" s="291" t="s">
        <v>9418</v>
      </c>
      <c r="D135" s="309">
        <v>1</v>
      </c>
      <c r="E135" s="293">
        <v>39253</v>
      </c>
      <c r="F135" s="294" t="s">
        <v>9419</v>
      </c>
      <c r="G135" s="294"/>
      <c r="H135" s="294"/>
      <c r="I135" s="294" t="s">
        <v>10394</v>
      </c>
      <c r="J135" s="424">
        <f>IF(ISERROR(SEARCH(I135,cst_shinsei_STRUCTRESULT_NOTIFY_KOUFU_NAME,1)),IF(ISERROR(SEARCH(I136,cst_shinsei_STRUCTRESULT_NOTIFY_KOUFU_NAME,1)),0,1),1)</f>
        <v>0</v>
      </c>
      <c r="K135" s="310" t="s">
        <v>10394</v>
      </c>
    </row>
    <row r="136" spans="1:11" ht="18" customHeight="1">
      <c r="A136" s="669"/>
      <c r="B136" s="296"/>
      <c r="C136" s="297"/>
      <c r="D136" s="292">
        <v>2</v>
      </c>
      <c r="E136" s="293"/>
      <c r="F136" s="298"/>
      <c r="G136" s="298"/>
      <c r="H136" s="298"/>
      <c r="I136" s="298" t="s">
        <v>9420</v>
      </c>
      <c r="J136" s="427"/>
      <c r="K136" s="300"/>
    </row>
    <row r="137" spans="1:11" ht="18" customHeight="1">
      <c r="A137" s="669"/>
      <c r="B137" s="296"/>
      <c r="C137" s="297"/>
      <c r="D137" s="292">
        <v>3</v>
      </c>
      <c r="E137" s="293"/>
      <c r="F137" s="298"/>
      <c r="G137" s="298"/>
      <c r="H137" s="298"/>
      <c r="I137" s="298"/>
      <c r="J137" s="427"/>
      <c r="K137" s="300"/>
    </row>
    <row r="138" spans="1:11" ht="18" customHeight="1">
      <c r="A138" s="669"/>
      <c r="B138" s="296"/>
      <c r="C138" s="297"/>
      <c r="D138" s="292">
        <v>4</v>
      </c>
      <c r="E138" s="293"/>
      <c r="F138" s="298"/>
      <c r="G138" s="298"/>
      <c r="H138" s="298"/>
      <c r="I138" s="298"/>
      <c r="J138" s="427"/>
      <c r="K138" s="300"/>
    </row>
    <row r="139" spans="1:11" ht="18" customHeight="1">
      <c r="A139" s="670"/>
      <c r="B139" s="301"/>
      <c r="C139" s="302"/>
      <c r="D139" s="303" t="s">
        <v>10162</v>
      </c>
      <c r="E139" s="304"/>
      <c r="F139" s="305"/>
      <c r="G139" s="305"/>
      <c r="H139" s="305"/>
      <c r="I139" s="305"/>
      <c r="J139" s="428"/>
      <c r="K139" s="307"/>
    </row>
    <row r="140" spans="1:11" ht="18" customHeight="1">
      <c r="A140" s="668">
        <f>A135+1</f>
        <v>11</v>
      </c>
      <c r="B140" s="308" t="s">
        <v>10172</v>
      </c>
      <c r="C140" s="291" t="s">
        <v>11487</v>
      </c>
      <c r="D140" s="309">
        <v>1</v>
      </c>
      <c r="E140" s="293">
        <v>39253</v>
      </c>
      <c r="F140" s="294" t="s">
        <v>9421</v>
      </c>
      <c r="G140" s="294" t="s">
        <v>9422</v>
      </c>
      <c r="H140" s="294"/>
      <c r="I140" s="294" t="s">
        <v>9423</v>
      </c>
      <c r="J140" s="424">
        <f>IF(ISERROR(SEARCH(I140,cst_shinsei_STRUCTRESULT_NOTIFY_KOUFU_NAME,1)),IF(ISERROR(SEARCH(I141,cst_shinsei_STRUCTRESULT_NOTIFY_KOUFU_NAME,1)),0,1),1)</f>
        <v>0</v>
      </c>
      <c r="K140" s="310" t="s">
        <v>9424</v>
      </c>
    </row>
    <row r="141" spans="1:11" ht="18" customHeight="1">
      <c r="A141" s="669"/>
      <c r="B141" s="296"/>
      <c r="C141" s="297"/>
      <c r="D141" s="292">
        <v>2</v>
      </c>
      <c r="E141" s="293">
        <v>40330</v>
      </c>
      <c r="F141" s="298" t="s">
        <v>9425</v>
      </c>
      <c r="G141" s="298" t="s">
        <v>9422</v>
      </c>
      <c r="H141" s="298"/>
      <c r="I141" s="298" t="s">
        <v>9426</v>
      </c>
      <c r="J141" s="427"/>
      <c r="K141" s="300"/>
    </row>
    <row r="142" spans="1:11" ht="18" customHeight="1">
      <c r="A142" s="669"/>
      <c r="B142" s="296"/>
      <c r="C142" s="297"/>
      <c r="D142" s="292">
        <v>3</v>
      </c>
      <c r="E142" s="293">
        <v>41783</v>
      </c>
      <c r="F142" s="298" t="s">
        <v>9427</v>
      </c>
      <c r="G142" s="298" t="s">
        <v>9422</v>
      </c>
      <c r="H142" s="298"/>
      <c r="I142" s="298"/>
      <c r="J142" s="427"/>
      <c r="K142" s="300"/>
    </row>
    <row r="143" spans="1:11" ht="18" customHeight="1">
      <c r="A143" s="669"/>
      <c r="B143" s="296"/>
      <c r="C143" s="297"/>
      <c r="D143" s="292">
        <v>4</v>
      </c>
      <c r="E143" s="293">
        <v>41974</v>
      </c>
      <c r="F143" s="298" t="s">
        <v>9428</v>
      </c>
      <c r="G143" s="298" t="s">
        <v>9429</v>
      </c>
      <c r="H143" s="298"/>
      <c r="I143" s="298"/>
      <c r="J143" s="427"/>
      <c r="K143" s="300"/>
    </row>
    <row r="144" spans="1:11" ht="18" customHeight="1">
      <c r="A144" s="669"/>
      <c r="B144" s="296"/>
      <c r="C144" s="297"/>
      <c r="D144" s="292"/>
      <c r="E144" s="293">
        <v>43251</v>
      </c>
      <c r="F144" s="298" t="s">
        <v>11508</v>
      </c>
      <c r="G144" s="298" t="s">
        <v>9429</v>
      </c>
      <c r="H144" s="298"/>
      <c r="I144" s="298"/>
      <c r="J144" s="427"/>
      <c r="K144" s="300"/>
    </row>
    <row r="145" spans="1:11" ht="18" customHeight="1">
      <c r="A145" s="670"/>
      <c r="B145" s="301"/>
      <c r="C145" s="302"/>
      <c r="D145" s="303" t="s">
        <v>10162</v>
      </c>
      <c r="E145" s="304"/>
      <c r="F145" s="305"/>
      <c r="G145" s="305"/>
      <c r="H145" s="305"/>
      <c r="I145" s="305"/>
      <c r="J145" s="428"/>
      <c r="K145" s="307"/>
    </row>
    <row r="146" spans="1:11" ht="18" customHeight="1">
      <c r="A146" s="668">
        <f>A140+1</f>
        <v>12</v>
      </c>
      <c r="B146" s="308" t="s">
        <v>10173</v>
      </c>
      <c r="C146" s="291" t="s">
        <v>10396</v>
      </c>
      <c r="D146" s="309">
        <v>1</v>
      </c>
      <c r="E146" s="293">
        <v>39253</v>
      </c>
      <c r="F146" s="294" t="s">
        <v>9430</v>
      </c>
      <c r="G146" s="294" t="s">
        <v>9431</v>
      </c>
      <c r="H146" s="294"/>
      <c r="I146" s="294" t="s">
        <v>9432</v>
      </c>
      <c r="J146" s="424">
        <f>IF(ISERROR(SEARCH(I146,cst_shinsei_STRUCTRESULT_NOTIFY_KOUFU_NAME,1)),IF(ISERROR(SEARCH(I147,cst_shinsei_STRUCTRESULT_NOTIFY_KOUFU_NAME,1)),0,1),1)</f>
        <v>0</v>
      </c>
      <c r="K146" s="310" t="s">
        <v>9432</v>
      </c>
    </row>
    <row r="147" spans="1:11" ht="18" customHeight="1">
      <c r="A147" s="669"/>
      <c r="B147" s="296"/>
      <c r="C147" s="297"/>
      <c r="D147" s="292">
        <v>2</v>
      </c>
      <c r="E147" s="293">
        <v>40717</v>
      </c>
      <c r="F147" s="298" t="s">
        <v>9433</v>
      </c>
      <c r="G147" s="298" t="s">
        <v>9431</v>
      </c>
      <c r="H147" s="298"/>
      <c r="I147" s="298" t="s">
        <v>9434</v>
      </c>
      <c r="J147" s="427"/>
      <c r="K147" s="300"/>
    </row>
    <row r="148" spans="1:11" ht="18" customHeight="1">
      <c r="A148" s="669"/>
      <c r="B148" s="296"/>
      <c r="C148" s="297"/>
      <c r="D148" s="292">
        <v>3</v>
      </c>
      <c r="E148" s="293">
        <v>41180</v>
      </c>
      <c r="F148" s="298" t="s">
        <v>9435</v>
      </c>
      <c r="G148" s="298" t="s">
        <v>9431</v>
      </c>
      <c r="H148" s="298"/>
      <c r="I148" s="298"/>
      <c r="J148" s="427"/>
      <c r="K148" s="300"/>
    </row>
    <row r="149" spans="1:11" ht="18" customHeight="1">
      <c r="A149" s="669"/>
      <c r="B149" s="296"/>
      <c r="C149" s="297"/>
      <c r="D149" s="292">
        <v>4</v>
      </c>
      <c r="E149" s="293">
        <v>41820</v>
      </c>
      <c r="F149" s="298" t="s">
        <v>9436</v>
      </c>
      <c r="G149" s="298" t="s">
        <v>9431</v>
      </c>
      <c r="H149" s="298"/>
      <c r="I149" s="298"/>
      <c r="J149" s="427"/>
      <c r="K149" s="300"/>
    </row>
    <row r="150" spans="1:11" ht="18" customHeight="1">
      <c r="A150" s="669"/>
      <c r="B150" s="296"/>
      <c r="C150" s="297"/>
      <c r="D150" s="292">
        <v>5</v>
      </c>
      <c r="E150" s="293">
        <v>42915</v>
      </c>
      <c r="F150" s="298" t="s">
        <v>11414</v>
      </c>
      <c r="G150" s="298" t="s">
        <v>9431</v>
      </c>
      <c r="H150" s="298"/>
      <c r="I150" s="298"/>
      <c r="J150" s="427"/>
      <c r="K150" s="300"/>
    </row>
    <row r="151" spans="1:11" ht="18" customHeight="1">
      <c r="A151" s="669"/>
      <c r="B151" s="296"/>
      <c r="C151" s="297"/>
      <c r="D151" s="292">
        <v>6</v>
      </c>
      <c r="E151" s="293">
        <v>43278</v>
      </c>
      <c r="F151" s="298" t="s">
        <v>11469</v>
      </c>
      <c r="G151" s="298" t="s">
        <v>9431</v>
      </c>
      <c r="H151" s="298"/>
      <c r="I151" s="298"/>
      <c r="J151" s="427"/>
      <c r="K151" s="300"/>
    </row>
    <row r="152" spans="1:11" ht="18" customHeight="1">
      <c r="A152" s="670"/>
      <c r="B152" s="301"/>
      <c r="C152" s="302"/>
      <c r="D152" s="303" t="s">
        <v>10162</v>
      </c>
      <c r="E152" s="304"/>
      <c r="F152" s="305"/>
      <c r="G152" s="305"/>
      <c r="H152" s="305"/>
      <c r="I152" s="305"/>
      <c r="J152" s="428"/>
      <c r="K152" s="307"/>
    </row>
    <row r="153" spans="1:11" ht="18" customHeight="1">
      <c r="A153" s="668">
        <f>A146+1</f>
        <v>13</v>
      </c>
      <c r="B153" s="308" t="s">
        <v>10174</v>
      </c>
      <c r="C153" s="291" t="s">
        <v>10397</v>
      </c>
      <c r="D153" s="309">
        <v>1</v>
      </c>
      <c r="E153" s="293">
        <v>39253</v>
      </c>
      <c r="F153" s="294" t="s">
        <v>9437</v>
      </c>
      <c r="G153" s="294" t="s">
        <v>9437</v>
      </c>
      <c r="H153" s="294"/>
      <c r="I153" s="294" t="s">
        <v>9438</v>
      </c>
      <c r="J153" s="424">
        <f>IF(ISERROR(SEARCH(I153,cst_shinsei_STRUCTRESULT_NOTIFY_KOUFU_NAME,1)),IF(ISERROR(SEARCH(I154,cst_shinsei_STRUCTRESULT_NOTIFY_KOUFU_NAME,1)),0,1),1)</f>
        <v>0</v>
      </c>
      <c r="K153" s="310" t="s">
        <v>9439</v>
      </c>
    </row>
    <row r="154" spans="1:11" ht="18" customHeight="1">
      <c r="A154" s="669"/>
      <c r="B154" s="296"/>
      <c r="C154" s="297"/>
      <c r="D154" s="292">
        <v>2</v>
      </c>
      <c r="E154" s="293"/>
      <c r="F154" s="298"/>
      <c r="G154" s="298"/>
      <c r="H154" s="298"/>
      <c r="I154" s="298" t="s">
        <v>9439</v>
      </c>
      <c r="J154" s="427"/>
      <c r="K154" s="300"/>
    </row>
    <row r="155" spans="1:11" ht="18" customHeight="1">
      <c r="A155" s="669"/>
      <c r="B155" s="296"/>
      <c r="C155" s="297"/>
      <c r="D155" s="292">
        <v>3</v>
      </c>
      <c r="E155" s="293"/>
      <c r="F155" s="298"/>
      <c r="G155" s="298"/>
      <c r="H155" s="298"/>
      <c r="I155" s="298"/>
      <c r="J155" s="427"/>
      <c r="K155" s="300"/>
    </row>
    <row r="156" spans="1:11" ht="18" customHeight="1">
      <c r="A156" s="669"/>
      <c r="B156" s="296"/>
      <c r="C156" s="297"/>
      <c r="D156" s="292">
        <v>4</v>
      </c>
      <c r="E156" s="293"/>
      <c r="F156" s="298"/>
      <c r="G156" s="298"/>
      <c r="H156" s="298"/>
      <c r="I156" s="298"/>
      <c r="J156" s="427"/>
      <c r="K156" s="300"/>
    </row>
    <row r="157" spans="1:11" ht="18" customHeight="1">
      <c r="A157" s="670"/>
      <c r="B157" s="301"/>
      <c r="C157" s="302"/>
      <c r="D157" s="303" t="s">
        <v>10162</v>
      </c>
      <c r="E157" s="304"/>
      <c r="F157" s="305"/>
      <c r="G157" s="305"/>
      <c r="H157" s="305"/>
      <c r="I157" s="305"/>
      <c r="J157" s="428"/>
      <c r="K157" s="307"/>
    </row>
    <row r="158" spans="1:11" ht="18" customHeight="1">
      <c r="A158" s="668">
        <f>A153+1</f>
        <v>14</v>
      </c>
      <c r="B158" s="308" t="s">
        <v>10175</v>
      </c>
      <c r="C158" s="291" t="s">
        <v>11488</v>
      </c>
      <c r="D158" s="309">
        <v>1</v>
      </c>
      <c r="E158" s="293">
        <v>39994</v>
      </c>
      <c r="F158" s="298" t="s">
        <v>9440</v>
      </c>
      <c r="G158" s="294" t="s">
        <v>9441</v>
      </c>
      <c r="H158" s="294"/>
      <c r="I158" s="294" t="s">
        <v>9442</v>
      </c>
      <c r="J158" s="424">
        <f>IF(ISERROR(SEARCH(I158,cst_shinsei_STRUCTRESULT_NOTIFY_KOUFU_NAME,1)),IF(ISERROR(SEARCH(I159,cst_shinsei_STRUCTRESULT_NOTIFY_KOUFU_NAME,1)),0,1),1)</f>
        <v>0</v>
      </c>
      <c r="K158" s="310" t="s">
        <v>9443</v>
      </c>
    </row>
    <row r="159" spans="1:11" ht="18" customHeight="1">
      <c r="A159" s="669"/>
      <c r="B159" s="296"/>
      <c r="C159" s="297"/>
      <c r="D159" s="292">
        <v>2</v>
      </c>
      <c r="E159" s="293">
        <v>40695</v>
      </c>
      <c r="F159" s="298" t="s">
        <v>9444</v>
      </c>
      <c r="G159" s="298" t="s">
        <v>9441</v>
      </c>
      <c r="H159" s="298"/>
      <c r="I159" s="298" t="s">
        <v>9445</v>
      </c>
      <c r="J159" s="427"/>
      <c r="K159" s="300"/>
    </row>
    <row r="160" spans="1:11" ht="18" customHeight="1">
      <c r="A160" s="669"/>
      <c r="B160" s="296"/>
      <c r="C160" s="297"/>
      <c r="D160" s="292">
        <v>3</v>
      </c>
      <c r="E160" s="293">
        <v>40848</v>
      </c>
      <c r="F160" s="298" t="s">
        <v>9446</v>
      </c>
      <c r="G160" s="298" t="s">
        <v>9441</v>
      </c>
      <c r="H160" s="298"/>
      <c r="I160" s="298"/>
      <c r="J160" s="427"/>
      <c r="K160" s="300"/>
    </row>
    <row r="161" spans="1:19" ht="18" customHeight="1">
      <c r="A161" s="669"/>
      <c r="B161" s="296"/>
      <c r="C161" s="297"/>
      <c r="D161" s="292">
        <v>4</v>
      </c>
      <c r="E161" s="293">
        <v>41453</v>
      </c>
      <c r="F161" s="298" t="s">
        <v>9447</v>
      </c>
      <c r="G161" s="298" t="s">
        <v>9441</v>
      </c>
      <c r="H161" s="298"/>
      <c r="I161" s="298"/>
      <c r="J161" s="427"/>
      <c r="K161" s="300"/>
    </row>
    <row r="162" spans="1:19" ht="18" customHeight="1">
      <c r="A162" s="669"/>
      <c r="B162" s="296"/>
      <c r="C162" s="297"/>
      <c r="D162" s="292">
        <v>5</v>
      </c>
      <c r="E162" s="293">
        <v>42909</v>
      </c>
      <c r="F162" s="298" t="s">
        <v>11412</v>
      </c>
      <c r="G162" s="298" t="s">
        <v>9441</v>
      </c>
      <c r="H162" s="298"/>
      <c r="I162" s="298"/>
      <c r="J162" s="427"/>
      <c r="K162" s="300"/>
    </row>
    <row r="163" spans="1:19" ht="18" customHeight="1">
      <c r="A163" s="670"/>
      <c r="B163" s="301"/>
      <c r="C163" s="302"/>
      <c r="D163" s="303" t="s">
        <v>10162</v>
      </c>
      <c r="E163" s="304"/>
      <c r="F163" s="305"/>
      <c r="G163" s="305"/>
      <c r="H163" s="305"/>
      <c r="I163" s="305"/>
      <c r="J163" s="428"/>
      <c r="K163" s="307"/>
    </row>
    <row r="164" spans="1:19" ht="18" customHeight="1">
      <c r="A164" s="668">
        <f>A158+1</f>
        <v>15</v>
      </c>
      <c r="B164" s="308" t="s">
        <v>10176</v>
      </c>
      <c r="C164" s="291" t="s">
        <v>11489</v>
      </c>
      <c r="D164" s="309">
        <v>1</v>
      </c>
      <c r="E164" s="293">
        <v>39253</v>
      </c>
      <c r="F164" s="294" t="s">
        <v>9448</v>
      </c>
      <c r="G164" s="294" t="s">
        <v>9422</v>
      </c>
      <c r="H164" s="294"/>
      <c r="I164" s="294" t="s">
        <v>9449</v>
      </c>
      <c r="J164" s="424">
        <f>IF(ISERROR(SEARCH(I164,cst_shinsei_STRUCTRESULT_NOTIFY_KOUFU_NAME,1)),IF(ISERROR(SEARCH(I165,cst_shinsei_STRUCTRESULT_NOTIFY_KOUFU_NAME,1)),0,1),1)</f>
        <v>0</v>
      </c>
      <c r="K164" s="310" t="s">
        <v>9450</v>
      </c>
    </row>
    <row r="165" spans="1:19" ht="18" customHeight="1">
      <c r="A165" s="669"/>
      <c r="B165" s="296"/>
      <c r="C165" s="297"/>
      <c r="D165" s="292">
        <v>2</v>
      </c>
      <c r="E165" s="293">
        <v>42370</v>
      </c>
      <c r="F165" s="298" t="s">
        <v>11224</v>
      </c>
      <c r="G165" s="298" t="s">
        <v>9429</v>
      </c>
      <c r="H165" s="298"/>
      <c r="I165" s="298" t="s">
        <v>9451</v>
      </c>
      <c r="J165" s="427"/>
      <c r="K165" s="300"/>
    </row>
    <row r="166" spans="1:19" ht="18" customHeight="1">
      <c r="A166" s="669"/>
      <c r="B166" s="296"/>
      <c r="C166" s="297"/>
      <c r="D166" s="292">
        <v>3</v>
      </c>
      <c r="E166" s="293">
        <v>44197</v>
      </c>
      <c r="F166" s="298" t="s">
        <v>11765</v>
      </c>
      <c r="G166" s="298" t="s">
        <v>9422</v>
      </c>
      <c r="H166" s="298"/>
      <c r="I166" s="298"/>
      <c r="J166" s="427"/>
      <c r="K166" s="300"/>
    </row>
    <row r="167" spans="1:19" ht="18" customHeight="1">
      <c r="A167" s="669"/>
      <c r="B167" s="296"/>
      <c r="C167" s="297"/>
      <c r="D167" s="292">
        <v>4</v>
      </c>
      <c r="E167" s="293"/>
      <c r="F167" s="298"/>
      <c r="G167" s="298"/>
      <c r="H167" s="298"/>
      <c r="I167" s="298"/>
      <c r="J167" s="427"/>
      <c r="K167" s="300"/>
    </row>
    <row r="168" spans="1:19" ht="18" customHeight="1">
      <c r="A168" s="670"/>
      <c r="B168" s="301"/>
      <c r="C168" s="302"/>
      <c r="D168" s="303" t="s">
        <v>10162</v>
      </c>
      <c r="E168" s="304"/>
      <c r="F168" s="305"/>
      <c r="G168" s="305"/>
      <c r="H168" s="305"/>
      <c r="I168" s="305"/>
      <c r="J168" s="428"/>
      <c r="K168" s="307"/>
    </row>
    <row r="169" spans="1:19" ht="18" customHeight="1">
      <c r="A169" s="668">
        <f>A164+1</f>
        <v>16</v>
      </c>
      <c r="B169" s="308" t="s">
        <v>10177</v>
      </c>
      <c r="C169" s="291" t="s">
        <v>11490</v>
      </c>
      <c r="D169" s="309">
        <v>1</v>
      </c>
      <c r="E169" s="293">
        <v>39253</v>
      </c>
      <c r="F169" s="294" t="s">
        <v>10160</v>
      </c>
      <c r="G169" s="294" t="s">
        <v>10161</v>
      </c>
      <c r="H169" s="294"/>
      <c r="I169" s="294" t="s">
        <v>9452</v>
      </c>
      <c r="J169" s="424">
        <f>IF(ISERROR(SEARCH(I169,cst_shinsei_STRUCTRESULT_NOTIFY_KOUFU_NAME,1)),IF(ISERROR(SEARCH(I170,cst_shinsei_STRUCTRESULT_NOTIFY_KOUFU_NAME,1)),0,1),1)</f>
        <v>0</v>
      </c>
      <c r="K169" s="310" t="s">
        <v>9452</v>
      </c>
    </row>
    <row r="170" spans="1:19" ht="18" customHeight="1">
      <c r="A170" s="669"/>
      <c r="B170" s="296"/>
      <c r="C170" s="297"/>
      <c r="D170" s="292">
        <v>2</v>
      </c>
      <c r="E170" s="536">
        <v>43056</v>
      </c>
      <c r="F170" s="537"/>
      <c r="G170" s="537"/>
      <c r="H170" s="298"/>
      <c r="I170" s="298" t="s">
        <v>9452</v>
      </c>
      <c r="J170" s="427"/>
      <c r="K170" s="300"/>
      <c r="S170" s="166" t="s">
        <v>11437</v>
      </c>
    </row>
    <row r="171" spans="1:19" ht="18" customHeight="1">
      <c r="A171" s="669"/>
      <c r="B171" s="296"/>
      <c r="C171" s="297"/>
      <c r="D171" s="292">
        <v>3</v>
      </c>
      <c r="E171" s="293"/>
      <c r="F171" s="298"/>
      <c r="G171" s="298"/>
      <c r="H171" s="298"/>
      <c r="I171" s="298"/>
      <c r="J171" s="427"/>
      <c r="K171" s="300"/>
    </row>
    <row r="172" spans="1:19" ht="18" customHeight="1">
      <c r="A172" s="669"/>
      <c r="B172" s="296"/>
      <c r="C172" s="297"/>
      <c r="D172" s="292">
        <v>4</v>
      </c>
      <c r="E172" s="293"/>
      <c r="F172" s="298"/>
      <c r="G172" s="298"/>
      <c r="H172" s="298"/>
      <c r="I172" s="298"/>
      <c r="J172" s="427"/>
      <c r="K172" s="300"/>
    </row>
    <row r="173" spans="1:19" ht="18" customHeight="1">
      <c r="A173" s="670"/>
      <c r="B173" s="301"/>
      <c r="C173" s="302"/>
      <c r="D173" s="303" t="s">
        <v>10162</v>
      </c>
      <c r="E173" s="304"/>
      <c r="F173" s="305"/>
      <c r="G173" s="305"/>
      <c r="H173" s="305"/>
      <c r="I173" s="305"/>
      <c r="J173" s="428"/>
      <c r="K173" s="307"/>
    </row>
    <row r="174" spans="1:19" ht="18" customHeight="1">
      <c r="A174" s="668">
        <f>A169+1</f>
        <v>17</v>
      </c>
      <c r="B174" s="308" t="s">
        <v>10178</v>
      </c>
      <c r="C174" s="291" t="s">
        <v>10211</v>
      </c>
      <c r="D174" s="309">
        <v>1</v>
      </c>
      <c r="E174" s="293">
        <v>39253</v>
      </c>
      <c r="F174" s="294" t="s">
        <v>9453</v>
      </c>
      <c r="G174" s="294" t="s">
        <v>9454</v>
      </c>
      <c r="H174" s="294"/>
      <c r="I174" s="294" t="s">
        <v>9455</v>
      </c>
      <c r="J174" s="424">
        <f>IF(ISERROR(SEARCH(I174,cst_shinsei_STRUCTRESULT_NOTIFY_KOUFU_NAME,1)),IF(ISERROR(SEARCH(I175,cst_shinsei_STRUCTRESULT_NOTIFY_KOUFU_NAME,1)),0,1),1)</f>
        <v>0</v>
      </c>
      <c r="K174" s="310" t="s">
        <v>9456</v>
      </c>
    </row>
    <row r="175" spans="1:19" ht="18" customHeight="1">
      <c r="A175" s="669"/>
      <c r="B175" s="296"/>
      <c r="C175" s="297"/>
      <c r="D175" s="292">
        <v>2</v>
      </c>
      <c r="E175" s="293"/>
      <c r="F175" s="298"/>
      <c r="G175" s="298"/>
      <c r="H175" s="298"/>
      <c r="I175" s="298" t="s">
        <v>9457</v>
      </c>
      <c r="J175" s="427"/>
      <c r="K175" s="300"/>
    </row>
    <row r="176" spans="1:19" ht="18" customHeight="1">
      <c r="A176" s="669"/>
      <c r="B176" s="296"/>
      <c r="C176" s="297"/>
      <c r="D176" s="292">
        <v>3</v>
      </c>
      <c r="E176" s="293"/>
      <c r="F176" s="298"/>
      <c r="G176" s="298"/>
      <c r="H176" s="298"/>
      <c r="I176" s="298"/>
      <c r="J176" s="427"/>
      <c r="K176" s="300"/>
    </row>
    <row r="177" spans="1:11" ht="18" customHeight="1">
      <c r="A177" s="669"/>
      <c r="B177" s="296"/>
      <c r="C177" s="297"/>
      <c r="D177" s="292">
        <v>4</v>
      </c>
      <c r="E177" s="293"/>
      <c r="F177" s="298"/>
      <c r="G177" s="298"/>
      <c r="H177" s="298"/>
      <c r="I177" s="298"/>
      <c r="J177" s="427"/>
      <c r="K177" s="300"/>
    </row>
    <row r="178" spans="1:11" ht="18" customHeight="1">
      <c r="A178" s="670"/>
      <c r="B178" s="301"/>
      <c r="C178" s="302"/>
      <c r="D178" s="303" t="s">
        <v>10162</v>
      </c>
      <c r="E178" s="304"/>
      <c r="F178" s="305"/>
      <c r="G178" s="305"/>
      <c r="H178" s="305"/>
      <c r="I178" s="305"/>
      <c r="J178" s="428"/>
      <c r="K178" s="307"/>
    </row>
    <row r="179" spans="1:11" ht="18" customHeight="1">
      <c r="A179" s="668">
        <f>A174+1</f>
        <v>18</v>
      </c>
      <c r="B179" s="308" t="s">
        <v>10179</v>
      </c>
      <c r="C179" s="291" t="s">
        <v>11491</v>
      </c>
      <c r="D179" s="309">
        <v>1</v>
      </c>
      <c r="E179" s="293">
        <v>39253</v>
      </c>
      <c r="F179" s="294" t="s">
        <v>9458</v>
      </c>
      <c r="G179" s="294" t="s">
        <v>9422</v>
      </c>
      <c r="H179" s="294"/>
      <c r="I179" s="294" t="s">
        <v>9459</v>
      </c>
      <c r="J179" s="424">
        <f>IF(ISERROR(SEARCH(I179,cst_shinsei_STRUCTRESULT_NOTIFY_KOUFU_NAME,1)),IF(ISERROR(SEARCH(I180,cst_shinsei_STRUCTRESULT_NOTIFY_KOUFU_NAME,1)),0,1),1)</f>
        <v>0</v>
      </c>
      <c r="K179" s="310" t="s">
        <v>9460</v>
      </c>
    </row>
    <row r="180" spans="1:11" ht="18" customHeight="1">
      <c r="A180" s="669"/>
      <c r="B180" s="296"/>
      <c r="C180" s="297"/>
      <c r="D180" s="292">
        <v>2</v>
      </c>
      <c r="E180" s="293"/>
      <c r="F180" s="298"/>
      <c r="G180" s="298"/>
      <c r="H180" s="298"/>
      <c r="I180" s="298" t="s">
        <v>9461</v>
      </c>
      <c r="J180" s="427"/>
      <c r="K180" s="300"/>
    </row>
    <row r="181" spans="1:11" ht="18" customHeight="1">
      <c r="A181" s="669"/>
      <c r="B181" s="296"/>
      <c r="C181" s="297"/>
      <c r="D181" s="292">
        <v>3</v>
      </c>
      <c r="E181" s="293"/>
      <c r="F181" s="298"/>
      <c r="G181" s="298"/>
      <c r="H181" s="298"/>
      <c r="I181" s="298"/>
      <c r="J181" s="427"/>
      <c r="K181" s="300"/>
    </row>
    <row r="182" spans="1:11" ht="18" customHeight="1">
      <c r="A182" s="669"/>
      <c r="B182" s="296"/>
      <c r="C182" s="297"/>
      <c r="D182" s="292">
        <v>4</v>
      </c>
      <c r="E182" s="293"/>
      <c r="F182" s="298"/>
      <c r="G182" s="298"/>
      <c r="H182" s="298"/>
      <c r="I182" s="298"/>
      <c r="J182" s="427"/>
      <c r="K182" s="300"/>
    </row>
    <row r="183" spans="1:11" ht="18" customHeight="1">
      <c r="A183" s="670"/>
      <c r="B183" s="301"/>
      <c r="C183" s="302"/>
      <c r="D183" s="303" t="s">
        <v>10162</v>
      </c>
      <c r="E183" s="304"/>
      <c r="F183" s="305"/>
      <c r="G183" s="305"/>
      <c r="H183" s="305"/>
      <c r="I183" s="305"/>
      <c r="J183" s="428"/>
      <c r="K183" s="307"/>
    </row>
    <row r="184" spans="1:11" ht="18" customHeight="1">
      <c r="A184" s="668">
        <f>A179+1</f>
        <v>19</v>
      </c>
      <c r="B184" s="308" t="s">
        <v>10180</v>
      </c>
      <c r="C184" s="291" t="s">
        <v>11492</v>
      </c>
      <c r="D184" s="309">
        <v>1</v>
      </c>
      <c r="E184" s="293">
        <v>39253</v>
      </c>
      <c r="F184" s="294" t="s">
        <v>9462</v>
      </c>
      <c r="G184" s="294" t="s">
        <v>9422</v>
      </c>
      <c r="H184" s="294"/>
      <c r="I184" s="294" t="s">
        <v>9463</v>
      </c>
      <c r="J184" s="424">
        <f>IF(ISERROR(SEARCH(I184,cst_shinsei_STRUCTRESULT_NOTIFY_KOUFU_NAME,1)),IF(ISERROR(SEARCH(I185,cst_shinsei_STRUCTRESULT_NOTIFY_KOUFU_NAME,1)),0,1),1)</f>
        <v>0</v>
      </c>
      <c r="K184" s="310" t="s">
        <v>9464</v>
      </c>
    </row>
    <row r="185" spans="1:11" ht="18" customHeight="1">
      <c r="A185" s="669"/>
      <c r="B185" s="296"/>
      <c r="C185" s="297"/>
      <c r="D185" s="292">
        <v>2</v>
      </c>
      <c r="E185" s="293">
        <v>40330</v>
      </c>
      <c r="F185" s="298" t="s">
        <v>9465</v>
      </c>
      <c r="G185" s="298" t="s">
        <v>9422</v>
      </c>
      <c r="H185" s="298"/>
      <c r="I185" s="298" t="s">
        <v>9466</v>
      </c>
      <c r="J185" s="427"/>
      <c r="K185" s="300"/>
    </row>
    <row r="186" spans="1:11" ht="18" customHeight="1">
      <c r="A186" s="669"/>
      <c r="B186" s="296"/>
      <c r="C186" s="297"/>
      <c r="D186" s="292">
        <v>3</v>
      </c>
      <c r="E186" s="293">
        <v>43699</v>
      </c>
      <c r="F186" s="298" t="s">
        <v>11631</v>
      </c>
      <c r="G186" s="298"/>
      <c r="H186" s="298"/>
      <c r="I186" s="298"/>
      <c r="J186" s="427"/>
      <c r="K186" s="300"/>
    </row>
    <row r="187" spans="1:11" ht="18" customHeight="1">
      <c r="A187" s="669"/>
      <c r="B187" s="296"/>
      <c r="C187" s="297"/>
      <c r="D187" s="292">
        <v>4</v>
      </c>
      <c r="E187" s="293"/>
      <c r="F187" s="298"/>
      <c r="G187" s="298"/>
      <c r="H187" s="298"/>
      <c r="I187" s="298"/>
      <c r="J187" s="427"/>
      <c r="K187" s="300"/>
    </row>
    <row r="188" spans="1:11" ht="18" customHeight="1">
      <c r="A188" s="670"/>
      <c r="B188" s="301"/>
      <c r="C188" s="302"/>
      <c r="D188" s="303" t="s">
        <v>10162</v>
      </c>
      <c r="E188" s="304"/>
      <c r="F188" s="305"/>
      <c r="G188" s="305"/>
      <c r="H188" s="305"/>
      <c r="I188" s="305"/>
      <c r="J188" s="428"/>
      <c r="K188" s="307"/>
    </row>
    <row r="189" spans="1:11" ht="18" customHeight="1">
      <c r="A189" s="668">
        <f>A184+1</f>
        <v>20</v>
      </c>
      <c r="B189" s="308" t="s">
        <v>10181</v>
      </c>
      <c r="C189" s="291" t="s">
        <v>10404</v>
      </c>
      <c r="D189" s="309">
        <v>1</v>
      </c>
      <c r="E189" s="293">
        <v>39253</v>
      </c>
      <c r="F189" s="294" t="s">
        <v>9467</v>
      </c>
      <c r="G189" s="294" t="s">
        <v>9468</v>
      </c>
      <c r="H189" s="294"/>
      <c r="I189" s="294" t="s">
        <v>9469</v>
      </c>
      <c r="J189" s="424">
        <f>IF(ISERROR(SEARCH(I189,cst_shinsei_STRUCTRESULT_NOTIFY_KOUFU_NAME,1)),IF(ISERROR(SEARCH(I190,cst_shinsei_STRUCTRESULT_NOTIFY_KOUFU_NAME,1)),0,1),1)</f>
        <v>0</v>
      </c>
      <c r="K189" s="310" t="s">
        <v>9470</v>
      </c>
    </row>
    <row r="190" spans="1:11" ht="18" customHeight="1">
      <c r="A190" s="669"/>
      <c r="B190" s="296"/>
      <c r="C190" s="297"/>
      <c r="D190" s="292">
        <v>2</v>
      </c>
      <c r="E190" s="293">
        <v>40269</v>
      </c>
      <c r="F190" s="298" t="s">
        <v>9467</v>
      </c>
      <c r="G190" s="298" t="s">
        <v>9468</v>
      </c>
      <c r="H190" s="298"/>
      <c r="I190" s="298" t="s">
        <v>9471</v>
      </c>
      <c r="J190" s="427"/>
      <c r="K190" s="300"/>
    </row>
    <row r="191" spans="1:11" ht="18" customHeight="1">
      <c r="A191" s="669"/>
      <c r="B191" s="296"/>
      <c r="C191" s="297"/>
      <c r="D191" s="292">
        <v>3</v>
      </c>
      <c r="E191" s="293">
        <v>42186</v>
      </c>
      <c r="F191" s="298" t="s">
        <v>11196</v>
      </c>
      <c r="G191" s="298" t="s">
        <v>9468</v>
      </c>
      <c r="H191" s="298"/>
      <c r="I191" s="298"/>
      <c r="J191" s="427"/>
      <c r="K191" s="300"/>
    </row>
    <row r="192" spans="1:11" ht="18" customHeight="1">
      <c r="A192" s="669"/>
      <c r="B192" s="296"/>
      <c r="C192" s="297"/>
      <c r="D192" s="292">
        <v>4</v>
      </c>
      <c r="E192" s="293"/>
      <c r="F192" s="298"/>
      <c r="G192" s="298"/>
      <c r="H192" s="298"/>
      <c r="I192" s="298"/>
      <c r="J192" s="427"/>
      <c r="K192" s="300"/>
    </row>
    <row r="193" spans="1:11" ht="18" customHeight="1">
      <c r="A193" s="670"/>
      <c r="B193" s="301"/>
      <c r="C193" s="302"/>
      <c r="D193" s="303" t="s">
        <v>10162</v>
      </c>
      <c r="E193" s="304"/>
      <c r="F193" s="305"/>
      <c r="G193" s="305"/>
      <c r="H193" s="305"/>
      <c r="I193" s="305"/>
      <c r="J193" s="428"/>
      <c r="K193" s="307"/>
    </row>
    <row r="194" spans="1:11" ht="18" customHeight="1">
      <c r="A194" s="668">
        <f>A189+1</f>
        <v>21</v>
      </c>
      <c r="B194" s="308" t="s">
        <v>10182</v>
      </c>
      <c r="C194" s="291" t="s">
        <v>11493</v>
      </c>
      <c r="D194" s="309">
        <v>1</v>
      </c>
      <c r="E194" s="293">
        <v>39253</v>
      </c>
      <c r="F194" s="294" t="s">
        <v>9472</v>
      </c>
      <c r="G194" s="294" t="s">
        <v>9473</v>
      </c>
      <c r="H194" s="294"/>
      <c r="I194" s="294" t="s">
        <v>9474</v>
      </c>
      <c r="J194" s="424">
        <f>IF(ISERROR(SEARCH(I194,cst_shinsei_STRUCTRESULT_NOTIFY_KOUFU_NAME,1)),IF(ISERROR(SEARCH(I195,cst_shinsei_STRUCTRESULT_NOTIFY_KOUFU_NAME,1)),0,1),1)</f>
        <v>0</v>
      </c>
      <c r="K194" s="310" t="s">
        <v>9475</v>
      </c>
    </row>
    <row r="195" spans="1:11" ht="18" customHeight="1">
      <c r="A195" s="669"/>
      <c r="B195" s="296"/>
      <c r="C195" s="297"/>
      <c r="D195" s="292">
        <v>2</v>
      </c>
      <c r="E195" s="293">
        <v>41507</v>
      </c>
      <c r="F195" s="298" t="s">
        <v>9476</v>
      </c>
      <c r="G195" s="298" t="s">
        <v>9473</v>
      </c>
      <c r="H195" s="298"/>
      <c r="I195" s="298" t="s">
        <v>9477</v>
      </c>
      <c r="J195" s="427"/>
      <c r="K195" s="300"/>
    </row>
    <row r="196" spans="1:11" ht="18" customHeight="1">
      <c r="A196" s="669"/>
      <c r="B196" s="296"/>
      <c r="C196" s="297"/>
      <c r="D196" s="292">
        <v>3</v>
      </c>
      <c r="E196" s="293"/>
      <c r="F196" s="298"/>
      <c r="G196" s="298"/>
      <c r="H196" s="298"/>
      <c r="I196" s="298"/>
      <c r="J196" s="427"/>
      <c r="K196" s="300"/>
    </row>
    <row r="197" spans="1:11" ht="18" customHeight="1">
      <c r="A197" s="669"/>
      <c r="B197" s="296"/>
      <c r="C197" s="297"/>
      <c r="D197" s="292">
        <v>4</v>
      </c>
      <c r="E197" s="293"/>
      <c r="F197" s="298"/>
      <c r="G197" s="298"/>
      <c r="H197" s="298"/>
      <c r="I197" s="298"/>
      <c r="J197" s="427"/>
      <c r="K197" s="300"/>
    </row>
    <row r="198" spans="1:11" ht="18" customHeight="1">
      <c r="A198" s="670"/>
      <c r="B198" s="301"/>
      <c r="C198" s="302"/>
      <c r="D198" s="303" t="s">
        <v>10162</v>
      </c>
      <c r="E198" s="304"/>
      <c r="F198" s="305"/>
      <c r="G198" s="305"/>
      <c r="H198" s="305"/>
      <c r="I198" s="305"/>
      <c r="J198" s="428"/>
      <c r="K198" s="307"/>
    </row>
    <row r="199" spans="1:11" ht="18" customHeight="1">
      <c r="A199" s="668">
        <f>A194+1</f>
        <v>22</v>
      </c>
      <c r="B199" s="308" t="s">
        <v>10183</v>
      </c>
      <c r="C199" s="291" t="s">
        <v>11494</v>
      </c>
      <c r="D199" s="309">
        <v>1</v>
      </c>
      <c r="E199" s="293">
        <v>39253</v>
      </c>
      <c r="F199" s="294"/>
      <c r="G199" s="294"/>
      <c r="H199" s="294"/>
      <c r="I199" s="294" t="s">
        <v>9478</v>
      </c>
      <c r="J199" s="424">
        <f>IF(ISERROR(SEARCH(I199,cst_shinsei_STRUCTRESULT_NOTIFY_KOUFU_NAME,1)),IF(ISERROR(SEARCH(I200,cst_shinsei_STRUCTRESULT_NOTIFY_KOUFU_NAME,1)),0,1),1)</f>
        <v>0</v>
      </c>
      <c r="K199" s="310" t="s">
        <v>9479</v>
      </c>
    </row>
    <row r="200" spans="1:11" ht="18" customHeight="1">
      <c r="A200" s="669"/>
      <c r="B200" s="296"/>
      <c r="C200" s="297"/>
      <c r="D200" s="292">
        <v>2</v>
      </c>
      <c r="E200" s="293"/>
      <c r="F200" s="298"/>
      <c r="G200" s="298"/>
      <c r="H200" s="298"/>
      <c r="I200" s="298" t="s">
        <v>9480</v>
      </c>
      <c r="J200" s="427"/>
      <c r="K200" s="300"/>
    </row>
    <row r="201" spans="1:11" ht="18" customHeight="1">
      <c r="A201" s="669"/>
      <c r="B201" s="296"/>
      <c r="C201" s="297"/>
      <c r="D201" s="292">
        <v>3</v>
      </c>
      <c r="E201" s="293"/>
      <c r="F201" s="298"/>
      <c r="G201" s="298"/>
      <c r="H201" s="298"/>
      <c r="I201" s="298"/>
      <c r="J201" s="427"/>
      <c r="K201" s="300"/>
    </row>
    <row r="202" spans="1:11" ht="18" customHeight="1">
      <c r="A202" s="669"/>
      <c r="B202" s="296"/>
      <c r="C202" s="297"/>
      <c r="D202" s="292">
        <v>4</v>
      </c>
      <c r="E202" s="293"/>
      <c r="F202" s="298"/>
      <c r="G202" s="298"/>
      <c r="H202" s="298"/>
      <c r="I202" s="298"/>
      <c r="J202" s="427"/>
      <c r="K202" s="300"/>
    </row>
    <row r="203" spans="1:11" ht="18" customHeight="1">
      <c r="A203" s="670"/>
      <c r="B203" s="301"/>
      <c r="C203" s="302"/>
      <c r="D203" s="303" t="s">
        <v>10162</v>
      </c>
      <c r="E203" s="304"/>
      <c r="F203" s="305"/>
      <c r="G203" s="305"/>
      <c r="H203" s="305"/>
      <c r="I203" s="305"/>
      <c r="J203" s="428"/>
      <c r="K203" s="307"/>
    </row>
    <row r="204" spans="1:11" ht="18" customHeight="1">
      <c r="A204" s="668">
        <f>A199+1</f>
        <v>23</v>
      </c>
      <c r="B204" s="308" t="s">
        <v>10184</v>
      </c>
      <c r="C204" s="291" t="s">
        <v>11495</v>
      </c>
      <c r="D204" s="309">
        <v>1</v>
      </c>
      <c r="E204" s="293">
        <v>39253</v>
      </c>
      <c r="F204" s="294" t="s">
        <v>9481</v>
      </c>
      <c r="G204" s="294"/>
      <c r="H204" s="294"/>
      <c r="I204" s="294" t="s">
        <v>9482</v>
      </c>
      <c r="J204" s="424">
        <f>IF(ISERROR(SEARCH(I204,cst_shinsei_STRUCTRESULT_NOTIFY_KOUFU_NAME,1)),IF(ISERROR(SEARCH(I205,cst_shinsei_STRUCTRESULT_NOTIFY_KOUFU_NAME,1)),0,1),1)</f>
        <v>0</v>
      </c>
      <c r="K204" s="310" t="s">
        <v>9483</v>
      </c>
    </row>
    <row r="205" spans="1:11" ht="18" customHeight="1">
      <c r="A205" s="669"/>
      <c r="B205" s="296"/>
      <c r="C205" s="297"/>
      <c r="D205" s="292">
        <v>2</v>
      </c>
      <c r="E205" s="293">
        <v>40350</v>
      </c>
      <c r="F205" s="298" t="s">
        <v>9484</v>
      </c>
      <c r="G205" s="298"/>
      <c r="H205" s="298"/>
      <c r="I205" s="298" t="s">
        <v>9485</v>
      </c>
      <c r="J205" s="427"/>
      <c r="K205" s="300"/>
    </row>
    <row r="206" spans="1:11" ht="18" customHeight="1">
      <c r="A206" s="669"/>
      <c r="B206" s="296"/>
      <c r="C206" s="297"/>
      <c r="D206" s="292">
        <v>3</v>
      </c>
      <c r="E206" s="293">
        <v>42156</v>
      </c>
      <c r="F206" s="298" t="s">
        <v>11400</v>
      </c>
      <c r="G206" s="298"/>
      <c r="H206" s="298"/>
      <c r="I206" s="298"/>
      <c r="J206" s="427"/>
      <c r="K206" s="300"/>
    </row>
    <row r="207" spans="1:11" ht="18" customHeight="1">
      <c r="A207" s="669"/>
      <c r="B207" s="296"/>
      <c r="C207" s="297"/>
      <c r="D207" s="292">
        <v>4</v>
      </c>
      <c r="E207" s="293"/>
      <c r="F207" s="298"/>
      <c r="G207" s="298"/>
      <c r="H207" s="298"/>
      <c r="I207" s="298"/>
      <c r="J207" s="427"/>
      <c r="K207" s="300"/>
    </row>
    <row r="208" spans="1:11" ht="18" customHeight="1">
      <c r="A208" s="670"/>
      <c r="B208" s="301"/>
      <c r="C208" s="302"/>
      <c r="D208" s="303" t="s">
        <v>10162</v>
      </c>
      <c r="E208" s="304"/>
      <c r="F208" s="305"/>
      <c r="G208" s="305"/>
      <c r="H208" s="305"/>
      <c r="I208" s="305"/>
      <c r="J208" s="428"/>
      <c r="K208" s="307"/>
    </row>
    <row r="209" spans="1:11" ht="18" customHeight="1">
      <c r="A209" s="668">
        <f>A204+1</f>
        <v>24</v>
      </c>
      <c r="B209" s="308" t="s">
        <v>10185</v>
      </c>
      <c r="C209" s="291" t="s">
        <v>9486</v>
      </c>
      <c r="D209" s="309">
        <v>1</v>
      </c>
      <c r="E209" s="293">
        <v>39253</v>
      </c>
      <c r="F209" s="294" t="s">
        <v>9487</v>
      </c>
      <c r="G209" s="294"/>
      <c r="H209" s="294"/>
      <c r="I209" s="294" t="s">
        <v>10408</v>
      </c>
      <c r="J209" s="424">
        <f>IF(ISERROR(SEARCH(I209,cst_shinsei_STRUCTRESULT_NOTIFY_KOUFU_NAME,1)),IF(ISERROR(SEARCH(I210,cst_shinsei_STRUCTRESULT_NOTIFY_KOUFU_NAME,1)),0,1),1)</f>
        <v>0</v>
      </c>
      <c r="K209" s="310" t="s">
        <v>10408</v>
      </c>
    </row>
    <row r="210" spans="1:11" ht="18" customHeight="1">
      <c r="A210" s="669"/>
      <c r="B210" s="296"/>
      <c r="C210" s="297"/>
      <c r="D210" s="292">
        <v>2</v>
      </c>
      <c r="E210" s="293"/>
      <c r="F210" s="298"/>
      <c r="G210" s="298"/>
      <c r="H210" s="298"/>
      <c r="I210" s="298" t="s">
        <v>9488</v>
      </c>
      <c r="J210" s="427"/>
      <c r="K210" s="300"/>
    </row>
    <row r="211" spans="1:11" ht="18" customHeight="1">
      <c r="A211" s="669"/>
      <c r="B211" s="296"/>
      <c r="C211" s="297"/>
      <c r="D211" s="292">
        <v>3</v>
      </c>
      <c r="E211" s="293"/>
      <c r="F211" s="298"/>
      <c r="G211" s="298"/>
      <c r="H211" s="298"/>
      <c r="I211" s="298"/>
      <c r="J211" s="427"/>
      <c r="K211" s="300"/>
    </row>
    <row r="212" spans="1:11" ht="18" customHeight="1">
      <c r="A212" s="669"/>
      <c r="B212" s="296"/>
      <c r="C212" s="297"/>
      <c r="D212" s="292">
        <v>4</v>
      </c>
      <c r="E212" s="293"/>
      <c r="F212" s="298"/>
      <c r="G212" s="298"/>
      <c r="H212" s="298"/>
      <c r="I212" s="298"/>
      <c r="J212" s="427"/>
      <c r="K212" s="300"/>
    </row>
    <row r="213" spans="1:11" ht="18" customHeight="1">
      <c r="A213" s="670"/>
      <c r="B213" s="301"/>
      <c r="C213" s="302"/>
      <c r="D213" s="303" t="s">
        <v>10162</v>
      </c>
      <c r="E213" s="304"/>
      <c r="F213" s="305"/>
      <c r="G213" s="305"/>
      <c r="H213" s="305"/>
      <c r="I213" s="305"/>
      <c r="J213" s="428"/>
      <c r="K213" s="307"/>
    </row>
    <row r="214" spans="1:11" ht="18" customHeight="1">
      <c r="A214" s="668">
        <f>A209+1</f>
        <v>25</v>
      </c>
      <c r="B214" s="308" t="s">
        <v>10186</v>
      </c>
      <c r="C214" s="291" t="s">
        <v>9489</v>
      </c>
      <c r="D214" s="309">
        <v>1</v>
      </c>
      <c r="E214" s="293">
        <v>39253</v>
      </c>
      <c r="F214" s="294" t="s">
        <v>9490</v>
      </c>
      <c r="G214" s="294"/>
      <c r="H214" s="294"/>
      <c r="I214" s="294" t="s">
        <v>9491</v>
      </c>
      <c r="J214" s="424">
        <f>IF(ISERROR(SEARCH(I214,cst_shinsei_STRUCTRESULT_NOTIFY_KOUFU_NAME,1)),IF(ISERROR(SEARCH(I215,cst_shinsei_STRUCTRESULT_NOTIFY_KOUFU_NAME,1)),0,1),1)</f>
        <v>0</v>
      </c>
      <c r="K214" s="310" t="s">
        <v>9491</v>
      </c>
    </row>
    <row r="215" spans="1:11" ht="18" customHeight="1">
      <c r="A215" s="669"/>
      <c r="B215" s="296"/>
      <c r="C215" s="297"/>
      <c r="D215" s="292">
        <v>2</v>
      </c>
      <c r="E215" s="293"/>
      <c r="F215" s="298"/>
      <c r="G215" s="298"/>
      <c r="H215" s="298"/>
      <c r="I215" s="298" t="s">
        <v>9492</v>
      </c>
      <c r="J215" s="427"/>
      <c r="K215" s="300"/>
    </row>
    <row r="216" spans="1:11" ht="18" customHeight="1">
      <c r="A216" s="669"/>
      <c r="B216" s="296"/>
      <c r="C216" s="297"/>
      <c r="D216" s="292">
        <v>3</v>
      </c>
      <c r="E216" s="293"/>
      <c r="F216" s="298"/>
      <c r="G216" s="298"/>
      <c r="H216" s="298"/>
      <c r="I216" s="298"/>
      <c r="J216" s="427"/>
      <c r="K216" s="300"/>
    </row>
    <row r="217" spans="1:11" ht="18" customHeight="1">
      <c r="A217" s="669"/>
      <c r="B217" s="296"/>
      <c r="C217" s="297"/>
      <c r="D217" s="292">
        <v>4</v>
      </c>
      <c r="E217" s="293"/>
      <c r="F217" s="298"/>
      <c r="G217" s="298"/>
      <c r="H217" s="298"/>
      <c r="I217" s="298"/>
      <c r="J217" s="427"/>
      <c r="K217" s="300"/>
    </row>
    <row r="218" spans="1:11" ht="18" customHeight="1">
      <c r="A218" s="670"/>
      <c r="B218" s="301"/>
      <c r="C218" s="302"/>
      <c r="D218" s="303" t="s">
        <v>10162</v>
      </c>
      <c r="E218" s="304"/>
      <c r="F218" s="305"/>
      <c r="G218" s="305"/>
      <c r="H218" s="305"/>
      <c r="I218" s="305"/>
      <c r="J218" s="428"/>
      <c r="K218" s="307"/>
    </row>
    <row r="219" spans="1:11" ht="18" customHeight="1">
      <c r="A219" s="668">
        <f>A214+1</f>
        <v>26</v>
      </c>
      <c r="B219" s="308" t="s">
        <v>10187</v>
      </c>
      <c r="C219" s="291" t="s">
        <v>11496</v>
      </c>
      <c r="D219" s="309">
        <v>1</v>
      </c>
      <c r="E219" s="293">
        <v>39253</v>
      </c>
      <c r="F219" s="294" t="s">
        <v>9493</v>
      </c>
      <c r="G219" s="294"/>
      <c r="H219" s="294"/>
      <c r="I219" s="294" t="s">
        <v>9494</v>
      </c>
      <c r="J219" s="424">
        <f>IF(ISERROR(SEARCH(I219,cst_shinsei_STRUCTRESULT_NOTIFY_KOUFU_NAME,1)),IF(ISERROR(SEARCH(I220,cst_shinsei_STRUCTRESULT_NOTIFY_KOUFU_NAME,1)),0,1),1)</f>
        <v>0</v>
      </c>
      <c r="K219" s="310" t="s">
        <v>11359</v>
      </c>
    </row>
    <row r="220" spans="1:11" ht="18" customHeight="1">
      <c r="A220" s="669"/>
      <c r="B220" s="296"/>
      <c r="C220" s="297"/>
      <c r="D220" s="292">
        <v>2</v>
      </c>
      <c r="E220" s="293">
        <v>42095</v>
      </c>
      <c r="F220" s="298" t="s">
        <v>11226</v>
      </c>
      <c r="G220" s="298"/>
      <c r="H220" s="298"/>
      <c r="I220" s="298" t="s">
        <v>9494</v>
      </c>
      <c r="J220" s="427"/>
      <c r="K220" s="300"/>
    </row>
    <row r="221" spans="1:11" ht="18" customHeight="1">
      <c r="A221" s="669"/>
      <c r="B221" s="296"/>
      <c r="C221" s="297"/>
      <c r="D221" s="292">
        <v>3</v>
      </c>
      <c r="E221" s="293">
        <v>43922</v>
      </c>
      <c r="F221" s="560" t="s">
        <v>11676</v>
      </c>
      <c r="G221" s="298"/>
      <c r="H221" s="298"/>
      <c r="I221" s="298"/>
      <c r="J221" s="427"/>
      <c r="K221" s="300"/>
    </row>
    <row r="222" spans="1:11" ht="18" customHeight="1">
      <c r="A222" s="669"/>
      <c r="B222" s="296"/>
      <c r="C222" s="297"/>
      <c r="D222" s="292">
        <v>4</v>
      </c>
      <c r="E222" s="293"/>
      <c r="F222" s="298"/>
      <c r="G222" s="298"/>
      <c r="H222" s="298"/>
      <c r="I222" s="298"/>
      <c r="J222" s="427"/>
      <c r="K222" s="300"/>
    </row>
    <row r="223" spans="1:11" ht="18" customHeight="1">
      <c r="A223" s="670"/>
      <c r="B223" s="301"/>
      <c r="C223" s="302"/>
      <c r="D223" s="303" t="s">
        <v>10162</v>
      </c>
      <c r="E223" s="304"/>
      <c r="F223" s="305"/>
      <c r="G223" s="305"/>
      <c r="H223" s="305"/>
      <c r="I223" s="305"/>
      <c r="J223" s="428"/>
      <c r="K223" s="307"/>
    </row>
    <row r="224" spans="1:11" ht="18" customHeight="1">
      <c r="A224" s="668">
        <f>A219+1</f>
        <v>27</v>
      </c>
      <c r="B224" s="308" t="s">
        <v>10188</v>
      </c>
      <c r="C224" s="291" t="s">
        <v>11497</v>
      </c>
      <c r="D224" s="309">
        <v>1</v>
      </c>
      <c r="E224" s="293">
        <v>39253</v>
      </c>
      <c r="F224" s="294" t="s">
        <v>9495</v>
      </c>
      <c r="G224" s="294"/>
      <c r="H224" s="294"/>
      <c r="I224" s="294" t="s">
        <v>9496</v>
      </c>
      <c r="J224" s="424">
        <f>IF(ISERROR(SEARCH(I224,cst_shinsei_STRUCTRESULT_NOTIFY_KOUFU_NAME,1)),IF(ISERROR(SEARCH(I225,cst_shinsei_STRUCTRESULT_NOTIFY_KOUFU_NAME,1)),0,1),1)</f>
        <v>0</v>
      </c>
      <c r="K224" s="310" t="s">
        <v>9497</v>
      </c>
    </row>
    <row r="225" spans="1:11" ht="18" customHeight="1">
      <c r="A225" s="669"/>
      <c r="B225" s="296"/>
      <c r="C225" s="297"/>
      <c r="D225" s="292">
        <v>2</v>
      </c>
      <c r="E225" s="293">
        <v>39904</v>
      </c>
      <c r="F225" s="298" t="s">
        <v>26</v>
      </c>
      <c r="G225" s="298"/>
      <c r="H225" s="298"/>
      <c r="I225" s="298" t="s">
        <v>9498</v>
      </c>
      <c r="J225" s="427"/>
      <c r="K225" s="300"/>
    </row>
    <row r="226" spans="1:11" ht="18" customHeight="1">
      <c r="A226" s="669"/>
      <c r="B226" s="296"/>
      <c r="C226" s="297"/>
      <c r="D226" s="292">
        <v>3</v>
      </c>
      <c r="E226" s="293">
        <v>42912</v>
      </c>
      <c r="F226" s="298" t="s">
        <v>11405</v>
      </c>
      <c r="G226" s="298"/>
      <c r="H226" s="298"/>
      <c r="I226" s="298" t="s">
        <v>9498</v>
      </c>
      <c r="J226" s="427"/>
      <c r="K226" s="300"/>
    </row>
    <row r="227" spans="1:11" ht="18" customHeight="1">
      <c r="A227" s="669"/>
      <c r="B227" s="296"/>
      <c r="C227" s="297"/>
      <c r="D227" s="292">
        <v>4</v>
      </c>
      <c r="E227" s="293">
        <v>44004</v>
      </c>
      <c r="F227" s="298" t="s">
        <v>11693</v>
      </c>
      <c r="G227" s="298"/>
      <c r="H227" s="298"/>
      <c r="I227" s="298"/>
      <c r="J227" s="427"/>
      <c r="K227" s="300"/>
    </row>
    <row r="228" spans="1:11" ht="18" customHeight="1">
      <c r="A228" s="670"/>
      <c r="B228" s="301"/>
      <c r="C228" s="302"/>
      <c r="D228" s="303" t="s">
        <v>10162</v>
      </c>
      <c r="E228" s="304"/>
      <c r="F228" s="305"/>
      <c r="G228" s="305"/>
      <c r="H228" s="305"/>
      <c r="I228" s="305"/>
      <c r="J228" s="428"/>
      <c r="K228" s="307"/>
    </row>
    <row r="229" spans="1:11" ht="18" customHeight="1">
      <c r="A229" s="668">
        <f>A224+1</f>
        <v>28</v>
      </c>
      <c r="B229" s="308" t="s">
        <v>10189</v>
      </c>
      <c r="C229" s="291" t="s">
        <v>11680</v>
      </c>
      <c r="D229" s="309">
        <v>1</v>
      </c>
      <c r="E229" s="293">
        <v>40269</v>
      </c>
      <c r="F229" s="294" t="s">
        <v>9499</v>
      </c>
      <c r="G229" s="294"/>
      <c r="H229" s="294"/>
      <c r="I229" s="294" t="s">
        <v>9500</v>
      </c>
      <c r="J229" s="424">
        <f>IF(ISERROR(SEARCH(I229,cst_shinsei_STRUCTRESULT_NOTIFY_KOUFU_NAME,1)),IF(ISERROR(SEARCH(I230,cst_shinsei_STRUCTRESULT_NOTIFY_KOUFU_NAME,1)),0,1),1)</f>
        <v>0</v>
      </c>
      <c r="K229" s="310" t="s">
        <v>9501</v>
      </c>
    </row>
    <row r="230" spans="1:11" ht="18" customHeight="1">
      <c r="A230" s="669"/>
      <c r="B230" s="296"/>
      <c r="C230" s="297"/>
      <c r="D230" s="292">
        <v>2</v>
      </c>
      <c r="E230" s="293">
        <v>40634</v>
      </c>
      <c r="F230" s="298" t="s">
        <v>9502</v>
      </c>
      <c r="G230" s="298"/>
      <c r="H230" s="298"/>
      <c r="I230" s="298" t="s">
        <v>9503</v>
      </c>
      <c r="J230" s="427"/>
      <c r="K230" s="300"/>
    </row>
    <row r="231" spans="1:11" ht="18" customHeight="1">
      <c r="A231" s="669"/>
      <c r="B231" s="296"/>
      <c r="C231" s="297"/>
      <c r="D231" s="292">
        <v>3</v>
      </c>
      <c r="E231" s="293">
        <v>43976</v>
      </c>
      <c r="F231" s="298" t="s">
        <v>11679</v>
      </c>
      <c r="G231" s="298"/>
      <c r="H231" s="298"/>
      <c r="I231" s="298"/>
      <c r="J231" s="427"/>
      <c r="K231" s="300"/>
    </row>
    <row r="232" spans="1:11" ht="18" customHeight="1">
      <c r="A232" s="669"/>
      <c r="B232" s="296"/>
      <c r="C232" s="297"/>
      <c r="D232" s="292">
        <v>4</v>
      </c>
      <c r="E232" s="293"/>
      <c r="F232" s="298"/>
      <c r="G232" s="298"/>
      <c r="H232" s="298"/>
      <c r="I232" s="298"/>
      <c r="J232" s="427"/>
      <c r="K232" s="300"/>
    </row>
    <row r="233" spans="1:11" ht="18" customHeight="1">
      <c r="A233" s="670"/>
      <c r="B233" s="301"/>
      <c r="C233" s="302"/>
      <c r="D233" s="303" t="s">
        <v>10162</v>
      </c>
      <c r="E233" s="304"/>
      <c r="F233" s="305"/>
      <c r="G233" s="305"/>
      <c r="H233" s="305"/>
      <c r="I233" s="305"/>
      <c r="J233" s="428"/>
      <c r="K233" s="307"/>
    </row>
    <row r="234" spans="1:11" ht="18" customHeight="1">
      <c r="A234" s="668">
        <f>A229+1</f>
        <v>29</v>
      </c>
      <c r="B234" s="308" t="s">
        <v>10190</v>
      </c>
      <c r="C234" s="291" t="s">
        <v>11498</v>
      </c>
      <c r="D234" s="309">
        <v>1</v>
      </c>
      <c r="E234" s="293">
        <v>39253</v>
      </c>
      <c r="F234" s="294" t="s">
        <v>9504</v>
      </c>
      <c r="G234" s="294"/>
      <c r="H234" s="294"/>
      <c r="I234" s="294" t="s">
        <v>9505</v>
      </c>
      <c r="J234" s="424">
        <f>IF(ISERROR(SEARCH(I234,cst_shinsei_STRUCTRESULT_NOTIFY_KOUFU_NAME,1)),IF(ISERROR(SEARCH(I235,cst_shinsei_STRUCTRESULT_NOTIFY_KOUFU_NAME,1)),0,1),1)</f>
        <v>0</v>
      </c>
      <c r="K234" s="310" t="s">
        <v>11213</v>
      </c>
    </row>
    <row r="235" spans="1:11" ht="18" customHeight="1">
      <c r="A235" s="669"/>
      <c r="B235" s="296"/>
      <c r="C235" s="297"/>
      <c r="D235" s="292">
        <v>2</v>
      </c>
      <c r="E235" s="293">
        <v>39904</v>
      </c>
      <c r="F235" s="298" t="s">
        <v>9506</v>
      </c>
      <c r="G235" s="298"/>
      <c r="H235" s="298"/>
      <c r="I235" s="298" t="s">
        <v>9507</v>
      </c>
      <c r="J235" s="427"/>
      <c r="K235" s="300"/>
    </row>
    <row r="236" spans="1:11" ht="18" customHeight="1">
      <c r="A236" s="669"/>
      <c r="B236" s="296"/>
      <c r="C236" s="297"/>
      <c r="D236" s="292">
        <v>3</v>
      </c>
      <c r="E236" s="293">
        <v>41730</v>
      </c>
      <c r="F236" s="298" t="s">
        <v>27</v>
      </c>
      <c r="G236" s="298"/>
      <c r="H236" s="298"/>
      <c r="I236" s="298"/>
      <c r="J236" s="427"/>
      <c r="K236" s="300"/>
    </row>
    <row r="237" spans="1:11" ht="18" customHeight="1">
      <c r="A237" s="669"/>
      <c r="B237" s="296"/>
      <c r="C237" s="297"/>
      <c r="D237" s="292">
        <v>4</v>
      </c>
      <c r="E237" s="293">
        <v>42826</v>
      </c>
      <c r="F237" s="298" t="s">
        <v>11398</v>
      </c>
      <c r="G237" s="298"/>
      <c r="H237" s="298"/>
      <c r="I237" s="298"/>
      <c r="J237" s="427"/>
      <c r="K237" s="300"/>
    </row>
    <row r="238" spans="1:11" ht="18" customHeight="1">
      <c r="A238" s="669"/>
      <c r="B238" s="296"/>
      <c r="C238" s="297"/>
      <c r="D238" s="292"/>
      <c r="E238" s="293">
        <v>43191</v>
      </c>
      <c r="F238" s="298" t="s">
        <v>11457</v>
      </c>
      <c r="G238" s="298"/>
      <c r="H238" s="298"/>
      <c r="I238" s="298"/>
      <c r="J238" s="427"/>
      <c r="K238" s="300"/>
    </row>
    <row r="239" spans="1:11" ht="18" customHeight="1">
      <c r="A239" s="670"/>
      <c r="B239" s="301"/>
      <c r="C239" s="302"/>
      <c r="D239" s="303" t="s">
        <v>10162</v>
      </c>
      <c r="E239" s="304"/>
      <c r="F239" s="305"/>
      <c r="G239" s="305"/>
      <c r="H239" s="305"/>
      <c r="I239" s="305"/>
      <c r="J239" s="428"/>
      <c r="K239" s="307"/>
    </row>
    <row r="240" spans="1:11" ht="18" customHeight="1">
      <c r="A240" s="668">
        <f>A234+1</f>
        <v>30</v>
      </c>
      <c r="B240" s="308" t="s">
        <v>10191</v>
      </c>
      <c r="C240" s="291" t="s">
        <v>11499</v>
      </c>
      <c r="D240" s="309">
        <v>1</v>
      </c>
      <c r="E240" s="293">
        <v>39253</v>
      </c>
      <c r="F240" s="294" t="s">
        <v>9508</v>
      </c>
      <c r="G240" s="294" t="s">
        <v>9508</v>
      </c>
      <c r="H240" s="294"/>
      <c r="I240" s="294" t="s">
        <v>9509</v>
      </c>
      <c r="J240" s="424">
        <f>IF(ISERROR(SEARCH(I240,cst_shinsei_STRUCTRESULT_NOTIFY_KOUFU_NAME,1)),IF(ISERROR(SEARCH(I241,cst_shinsei_STRUCTRESULT_NOTIFY_KOUFU_NAME,1)),0,1),1)</f>
        <v>0</v>
      </c>
      <c r="K240" s="310" t="s">
        <v>9510</v>
      </c>
    </row>
    <row r="241" spans="1:11" ht="18" customHeight="1">
      <c r="A241" s="669"/>
      <c r="B241" s="296"/>
      <c r="C241" s="297"/>
      <c r="D241" s="292">
        <v>2</v>
      </c>
      <c r="E241" s="293">
        <v>43644</v>
      </c>
      <c r="F241" s="298" t="s">
        <v>11613</v>
      </c>
      <c r="G241" s="298" t="s">
        <v>11613</v>
      </c>
      <c r="H241" s="298"/>
      <c r="I241" s="298"/>
      <c r="J241" s="427"/>
      <c r="K241" s="300"/>
    </row>
    <row r="242" spans="1:11" ht="18" customHeight="1">
      <c r="A242" s="669"/>
      <c r="B242" s="296"/>
      <c r="C242" s="297"/>
      <c r="D242" s="292">
        <v>3</v>
      </c>
      <c r="E242" s="293"/>
      <c r="F242" s="298"/>
      <c r="G242" s="298"/>
      <c r="H242" s="298"/>
      <c r="I242" s="298"/>
      <c r="J242" s="427"/>
      <c r="K242" s="300"/>
    </row>
    <row r="243" spans="1:11" ht="18" customHeight="1">
      <c r="A243" s="669"/>
      <c r="B243" s="296"/>
      <c r="C243" s="297"/>
      <c r="D243" s="292">
        <v>4</v>
      </c>
      <c r="E243" s="293"/>
      <c r="F243" s="298"/>
      <c r="G243" s="298"/>
      <c r="H243" s="298"/>
      <c r="I243" s="298"/>
      <c r="J243" s="427"/>
      <c r="K243" s="300"/>
    </row>
    <row r="244" spans="1:11" ht="18" customHeight="1">
      <c r="A244" s="670"/>
      <c r="B244" s="301"/>
      <c r="C244" s="302"/>
      <c r="D244" s="303" t="s">
        <v>10162</v>
      </c>
      <c r="E244" s="304"/>
      <c r="F244" s="305"/>
      <c r="G244" s="305"/>
      <c r="H244" s="305"/>
      <c r="I244" s="305"/>
      <c r="J244" s="428"/>
      <c r="K244" s="307"/>
    </row>
    <row r="245" spans="1:11" ht="18" customHeight="1">
      <c r="A245" s="668">
        <f>A240+1</f>
        <v>31</v>
      </c>
      <c r="B245" s="308" t="s">
        <v>10192</v>
      </c>
      <c r="C245" s="291" t="s">
        <v>11500</v>
      </c>
      <c r="D245" s="309">
        <v>1</v>
      </c>
      <c r="E245" s="293">
        <v>39253</v>
      </c>
      <c r="F245" s="294" t="s">
        <v>9511</v>
      </c>
      <c r="G245" s="294" t="s">
        <v>9511</v>
      </c>
      <c r="H245" s="294"/>
      <c r="I245" s="294" t="s">
        <v>9512</v>
      </c>
      <c r="J245" s="424">
        <f>IF(ISERROR(SEARCH(I245,cst_shinsei_STRUCTRESULT_NOTIFY_KOUFU_NAME,1)),IF(ISERROR(SEARCH(I246,cst_shinsei_STRUCTRESULT_NOTIFY_KOUFU_NAME,1)),0,1),1)</f>
        <v>0</v>
      </c>
      <c r="K245" s="310" t="s">
        <v>9513</v>
      </c>
    </row>
    <row r="246" spans="1:11" ht="18" customHeight="1">
      <c r="A246" s="669"/>
      <c r="B246" s="296"/>
      <c r="C246" s="297"/>
      <c r="D246" s="292">
        <v>2</v>
      </c>
      <c r="E246" s="293"/>
      <c r="F246" s="298"/>
      <c r="G246" s="298"/>
      <c r="H246" s="298"/>
      <c r="I246" s="298" t="s">
        <v>9514</v>
      </c>
      <c r="J246" s="427"/>
      <c r="K246" s="300"/>
    </row>
    <row r="247" spans="1:11" ht="18" customHeight="1">
      <c r="A247" s="669"/>
      <c r="B247" s="296"/>
      <c r="C247" s="297"/>
      <c r="D247" s="292">
        <v>3</v>
      </c>
      <c r="E247" s="293"/>
      <c r="F247" s="298"/>
      <c r="G247" s="298"/>
      <c r="H247" s="298"/>
      <c r="I247" s="298"/>
      <c r="J247" s="427"/>
      <c r="K247" s="300"/>
    </row>
    <row r="248" spans="1:11" ht="18" customHeight="1">
      <c r="A248" s="669"/>
      <c r="B248" s="296"/>
      <c r="C248" s="297"/>
      <c r="D248" s="292">
        <v>4</v>
      </c>
      <c r="E248" s="293"/>
      <c r="F248" s="298"/>
      <c r="G248" s="298"/>
      <c r="H248" s="298"/>
      <c r="I248" s="298"/>
      <c r="J248" s="427"/>
      <c r="K248" s="300"/>
    </row>
    <row r="249" spans="1:11" ht="18" customHeight="1" thickBot="1">
      <c r="A249" s="670"/>
      <c r="B249" s="311"/>
      <c r="C249" s="302"/>
      <c r="D249" s="303" t="s">
        <v>10162</v>
      </c>
      <c r="E249" s="304"/>
      <c r="F249" s="305"/>
      <c r="G249" s="305"/>
      <c r="H249" s="305"/>
      <c r="I249" s="305"/>
      <c r="J249" s="428"/>
      <c r="K249" s="429"/>
    </row>
    <row r="250" spans="1:11" ht="18" customHeight="1">
      <c r="A250" s="668">
        <f>A245+1</f>
        <v>32</v>
      </c>
      <c r="B250" s="308" t="s">
        <v>10658</v>
      </c>
      <c r="C250" s="291" t="s">
        <v>11501</v>
      </c>
      <c r="D250" s="309">
        <v>1</v>
      </c>
      <c r="E250" s="293">
        <v>39253</v>
      </c>
      <c r="F250" s="294" t="s">
        <v>9515</v>
      </c>
      <c r="G250" s="294"/>
      <c r="H250" s="294"/>
      <c r="I250" s="294" t="s">
        <v>9516</v>
      </c>
      <c r="J250" s="424">
        <f>IF(ISERROR(SEARCH(I250,cst_shinsei_STRUCTRESULT_NOTIFY_KOUFU_NAME,1)),IF(ISERROR(SEARCH(I251,cst_shinsei_STRUCTRESULT_NOTIFY_KOUFU_NAME,1)),0,1),1)</f>
        <v>0</v>
      </c>
      <c r="K250" s="310" t="s">
        <v>9517</v>
      </c>
    </row>
    <row r="251" spans="1:11" ht="18" customHeight="1">
      <c r="A251" s="669"/>
      <c r="B251" s="296"/>
      <c r="C251" s="297"/>
      <c r="D251" s="292">
        <v>2</v>
      </c>
      <c r="E251" s="293">
        <v>42514</v>
      </c>
      <c r="F251" s="298" t="s">
        <v>11354</v>
      </c>
      <c r="G251" s="298"/>
      <c r="H251" s="298"/>
      <c r="I251" s="298"/>
      <c r="J251" s="427"/>
      <c r="K251" s="300"/>
    </row>
    <row r="252" spans="1:11" ht="18" customHeight="1">
      <c r="A252" s="669"/>
      <c r="B252" s="296"/>
      <c r="C252" s="297"/>
      <c r="D252" s="292">
        <v>3</v>
      </c>
      <c r="E252" s="293">
        <v>43614</v>
      </c>
      <c r="F252" s="298" t="s">
        <v>11606</v>
      </c>
      <c r="G252" s="298"/>
      <c r="H252" s="298"/>
      <c r="I252" s="298"/>
      <c r="J252" s="427"/>
      <c r="K252" s="300"/>
    </row>
    <row r="253" spans="1:11" ht="18" customHeight="1">
      <c r="A253" s="669"/>
      <c r="B253" s="296"/>
      <c r="C253" s="297"/>
      <c r="D253" s="292">
        <v>4</v>
      </c>
      <c r="E253" s="293"/>
      <c r="F253" s="298"/>
      <c r="G253" s="298"/>
      <c r="H253" s="298"/>
      <c r="I253" s="298"/>
      <c r="J253" s="427"/>
      <c r="K253" s="300"/>
    </row>
    <row r="254" spans="1:11" ht="18" customHeight="1" thickBot="1">
      <c r="A254" s="670"/>
      <c r="B254" s="301"/>
      <c r="C254" s="302"/>
      <c r="D254" s="303" t="s">
        <v>10162</v>
      </c>
      <c r="E254" s="304"/>
      <c r="F254" s="305"/>
      <c r="G254" s="305"/>
      <c r="H254" s="305"/>
      <c r="I254" s="305"/>
      <c r="J254" s="428"/>
      <c r="K254" s="429"/>
    </row>
    <row r="255" spans="1:11" ht="18" customHeight="1">
      <c r="A255" s="668">
        <f t="shared" ref="A255" si="2">A250+1</f>
        <v>33</v>
      </c>
      <c r="B255" s="308" t="s">
        <v>10659</v>
      </c>
      <c r="C255" s="291" t="s">
        <v>9518</v>
      </c>
      <c r="D255" s="309">
        <v>1</v>
      </c>
      <c r="E255" s="293">
        <v>39253</v>
      </c>
      <c r="F255" s="294"/>
      <c r="G255" s="294"/>
      <c r="H255" s="294"/>
      <c r="I255" s="294" t="s">
        <v>9518</v>
      </c>
      <c r="J255" s="424">
        <f>IF(ISERROR(SEARCH(I255,cst_shinsei_STRUCTRESULT_NOTIFY_KOUFU_NAME,1)),IF(ISERROR(SEARCH(I256,cst_shinsei_STRUCTRESULT_NOTIFY_KOUFU_NAME,1)),0,1),1)</f>
        <v>0</v>
      </c>
      <c r="K255" s="310" t="s">
        <v>9519</v>
      </c>
    </row>
    <row r="256" spans="1:11" ht="18" customHeight="1">
      <c r="A256" s="669"/>
      <c r="B256" s="296"/>
      <c r="C256" s="297"/>
      <c r="D256" s="292">
        <v>2</v>
      </c>
      <c r="E256" s="293"/>
      <c r="F256" s="298"/>
      <c r="G256" s="298"/>
      <c r="H256" s="298"/>
      <c r="I256" s="298"/>
      <c r="J256" s="427"/>
      <c r="K256" s="300"/>
    </row>
    <row r="257" spans="1:11" ht="18" customHeight="1">
      <c r="A257" s="669"/>
      <c r="B257" s="296"/>
      <c r="C257" s="297"/>
      <c r="D257" s="292">
        <v>3</v>
      </c>
      <c r="E257" s="293"/>
      <c r="F257" s="298"/>
      <c r="G257" s="298"/>
      <c r="H257" s="298"/>
      <c r="I257" s="298"/>
      <c r="J257" s="427"/>
      <c r="K257" s="300"/>
    </row>
    <row r="258" spans="1:11" ht="18" customHeight="1">
      <c r="A258" s="669"/>
      <c r="B258" s="296"/>
      <c r="C258" s="297"/>
      <c r="D258" s="292">
        <v>4</v>
      </c>
      <c r="E258" s="293"/>
      <c r="F258" s="298"/>
      <c r="G258" s="298"/>
      <c r="H258" s="298"/>
      <c r="I258" s="298"/>
      <c r="J258" s="427"/>
      <c r="K258" s="300"/>
    </row>
    <row r="259" spans="1:11" ht="18" customHeight="1" thickBot="1">
      <c r="A259" s="670"/>
      <c r="B259" s="301"/>
      <c r="C259" s="302"/>
      <c r="D259" s="303" t="s">
        <v>10162</v>
      </c>
      <c r="E259" s="304"/>
      <c r="F259" s="305"/>
      <c r="G259" s="305"/>
      <c r="H259" s="305"/>
      <c r="I259" s="305"/>
      <c r="J259" s="428"/>
      <c r="K259" s="429"/>
    </row>
    <row r="260" spans="1:11" ht="18" customHeight="1">
      <c r="A260" s="668">
        <f t="shared" ref="A260" si="3">A255+1</f>
        <v>34</v>
      </c>
      <c r="B260" s="308" t="s">
        <v>10660</v>
      </c>
      <c r="C260" s="291" t="s">
        <v>11502</v>
      </c>
      <c r="D260" s="309">
        <v>1</v>
      </c>
      <c r="E260" s="293">
        <v>39253</v>
      </c>
      <c r="F260" s="294" t="s">
        <v>9520</v>
      </c>
      <c r="G260" s="294"/>
      <c r="H260" s="294"/>
      <c r="I260" s="294" t="s">
        <v>9521</v>
      </c>
      <c r="J260" s="424">
        <f>IF(ISERROR(SEARCH(I260,cst_shinsei_STRUCTRESULT_NOTIFY_KOUFU_NAME,1)),IF(ISERROR(SEARCH(I261,cst_shinsei_STRUCTRESULT_NOTIFY_KOUFU_NAME,1)),0,1),1)</f>
        <v>0</v>
      </c>
      <c r="K260" s="310" t="s">
        <v>9521</v>
      </c>
    </row>
    <row r="261" spans="1:11" ht="18" customHeight="1">
      <c r="A261" s="669"/>
      <c r="B261" s="296"/>
      <c r="C261" s="297"/>
      <c r="D261" s="292">
        <v>2</v>
      </c>
      <c r="E261" s="293"/>
      <c r="F261" s="298"/>
      <c r="G261" s="298"/>
      <c r="H261" s="298"/>
      <c r="I261" s="298"/>
      <c r="J261" s="427"/>
      <c r="K261" s="300"/>
    </row>
    <row r="262" spans="1:11" ht="18" customHeight="1">
      <c r="A262" s="669"/>
      <c r="B262" s="296"/>
      <c r="C262" s="297"/>
      <c r="D262" s="292">
        <v>3</v>
      </c>
      <c r="E262" s="293"/>
      <c r="F262" s="298"/>
      <c r="G262" s="298"/>
      <c r="H262" s="298"/>
      <c r="I262" s="298"/>
      <c r="J262" s="427"/>
      <c r="K262" s="300"/>
    </row>
    <row r="263" spans="1:11" ht="18" customHeight="1">
      <c r="A263" s="669"/>
      <c r="B263" s="296"/>
      <c r="C263" s="297"/>
      <c r="D263" s="292">
        <v>4</v>
      </c>
      <c r="E263" s="293"/>
      <c r="F263" s="298"/>
      <c r="G263" s="298"/>
      <c r="H263" s="298"/>
      <c r="I263" s="298"/>
      <c r="J263" s="427"/>
      <c r="K263" s="300"/>
    </row>
    <row r="264" spans="1:11" ht="18" customHeight="1" thickBot="1">
      <c r="A264" s="670"/>
      <c r="B264" s="301"/>
      <c r="C264" s="302"/>
      <c r="D264" s="303" t="s">
        <v>10162</v>
      </c>
      <c r="E264" s="304"/>
      <c r="F264" s="305"/>
      <c r="G264" s="305"/>
      <c r="H264" s="305"/>
      <c r="I264" s="305"/>
      <c r="J264" s="428"/>
      <c r="K264" s="429"/>
    </row>
    <row r="265" spans="1:11" ht="18" customHeight="1">
      <c r="A265" s="668">
        <f>A260+1</f>
        <v>35</v>
      </c>
      <c r="B265" s="308" t="s">
        <v>10661</v>
      </c>
      <c r="C265" s="291" t="s">
        <v>11503</v>
      </c>
      <c r="D265" s="309">
        <v>1</v>
      </c>
      <c r="E265" s="293">
        <v>39253</v>
      </c>
      <c r="F265" s="294" t="s">
        <v>9522</v>
      </c>
      <c r="G265" s="294"/>
      <c r="H265" s="294"/>
      <c r="I265" s="294" t="s">
        <v>9523</v>
      </c>
      <c r="J265" s="424">
        <f>IF(ISERROR(SEARCH(I265,cst_shinsei_STRUCTRESULT_NOTIFY_KOUFU_NAME,1)),IF(ISERROR(SEARCH(I266,cst_shinsei_STRUCTRESULT_NOTIFY_KOUFU_NAME,1)),0,1),1)</f>
        <v>0</v>
      </c>
      <c r="K265" s="310" t="s">
        <v>11267</v>
      </c>
    </row>
    <row r="266" spans="1:11" ht="18" customHeight="1">
      <c r="A266" s="669"/>
      <c r="B266" s="296"/>
      <c r="C266" s="540"/>
      <c r="D266" s="292">
        <v>2</v>
      </c>
      <c r="E266" s="293">
        <v>42095</v>
      </c>
      <c r="F266" s="298" t="s">
        <v>11407</v>
      </c>
      <c r="G266" s="298"/>
      <c r="H266" s="298"/>
      <c r="I266" s="298"/>
      <c r="J266" s="427"/>
      <c r="K266" s="300"/>
    </row>
    <row r="267" spans="1:11" ht="18" customHeight="1">
      <c r="A267" s="669"/>
      <c r="B267" s="296"/>
      <c r="C267" s="540"/>
      <c r="D267" s="292">
        <v>3</v>
      </c>
      <c r="E267" s="293">
        <v>42522</v>
      </c>
      <c r="F267" s="298" t="s">
        <v>11408</v>
      </c>
      <c r="G267" s="298"/>
      <c r="H267" s="298"/>
      <c r="I267" s="298"/>
      <c r="J267" s="427"/>
      <c r="K267" s="300"/>
    </row>
    <row r="268" spans="1:11" ht="18" customHeight="1">
      <c r="A268" s="669"/>
      <c r="B268" s="296"/>
      <c r="C268" s="540"/>
      <c r="D268" s="292">
        <v>4</v>
      </c>
      <c r="E268" s="293">
        <v>42826</v>
      </c>
      <c r="F268" s="298" t="s">
        <v>11409</v>
      </c>
      <c r="G268" s="298"/>
      <c r="H268" s="298"/>
      <c r="I268" s="298"/>
      <c r="J268" s="427"/>
      <c r="K268" s="300"/>
    </row>
    <row r="269" spans="1:11" ht="18" customHeight="1">
      <c r="A269" s="669"/>
      <c r="B269" s="296"/>
      <c r="C269" s="540"/>
      <c r="D269" s="292">
        <v>5</v>
      </c>
      <c r="E269" s="293">
        <v>43556</v>
      </c>
      <c r="F269" s="544" t="s">
        <v>11525</v>
      </c>
      <c r="G269" s="298"/>
      <c r="H269" s="298"/>
      <c r="I269" s="298"/>
      <c r="J269" s="427"/>
      <c r="K269" s="300"/>
    </row>
    <row r="270" spans="1:11" ht="18" customHeight="1" thickBot="1">
      <c r="A270" s="670"/>
      <c r="B270" s="301"/>
      <c r="C270" s="541"/>
      <c r="D270" s="303" t="s">
        <v>10162</v>
      </c>
      <c r="E270" s="304"/>
      <c r="F270" s="305"/>
      <c r="G270" s="305"/>
      <c r="H270" s="305"/>
      <c r="I270" s="305"/>
      <c r="J270" s="428"/>
      <c r="K270" s="429"/>
    </row>
    <row r="271" spans="1:11" ht="18" customHeight="1">
      <c r="A271" s="668">
        <f>A265+1</f>
        <v>36</v>
      </c>
      <c r="B271" s="308" t="s">
        <v>10662</v>
      </c>
      <c r="C271" s="542" t="s">
        <v>9524</v>
      </c>
      <c r="D271" s="309">
        <v>1</v>
      </c>
      <c r="E271" s="293">
        <v>39253</v>
      </c>
      <c r="F271" s="294" t="s">
        <v>9525</v>
      </c>
      <c r="G271" s="294"/>
      <c r="H271" s="294"/>
      <c r="I271" s="294" t="s">
        <v>9526</v>
      </c>
      <c r="J271" s="424">
        <f>IF(ISERROR(SEARCH(I271,cst_shinsei_STRUCTRESULT_NOTIFY_KOUFU_NAME,1)),IF(ISERROR(SEARCH(I272,cst_shinsei_STRUCTRESULT_NOTIFY_KOUFU_NAME,1)),0,1),1)</f>
        <v>0</v>
      </c>
      <c r="K271" s="310" t="s">
        <v>9527</v>
      </c>
    </row>
    <row r="272" spans="1:11" ht="18" customHeight="1">
      <c r="A272" s="669"/>
      <c r="B272" s="296"/>
      <c r="C272" s="540"/>
      <c r="D272" s="292">
        <v>2</v>
      </c>
      <c r="E272" s="293"/>
      <c r="F272" s="298"/>
      <c r="G272" s="298"/>
      <c r="H272" s="298"/>
      <c r="I272" s="298"/>
      <c r="J272" s="427"/>
      <c r="K272" s="300"/>
    </row>
    <row r="273" spans="1:11" ht="18" customHeight="1">
      <c r="A273" s="669"/>
      <c r="B273" s="296"/>
      <c r="C273" s="540"/>
      <c r="D273" s="292">
        <v>3</v>
      </c>
      <c r="E273" s="293"/>
      <c r="F273" s="298"/>
      <c r="G273" s="298"/>
      <c r="H273" s="298"/>
      <c r="I273" s="298"/>
      <c r="J273" s="427"/>
      <c r="K273" s="300"/>
    </row>
    <row r="274" spans="1:11" ht="18" customHeight="1">
      <c r="A274" s="669"/>
      <c r="B274" s="296"/>
      <c r="C274" s="540"/>
      <c r="D274" s="292">
        <v>4</v>
      </c>
      <c r="E274" s="293"/>
      <c r="F274" s="298"/>
      <c r="G274" s="298"/>
      <c r="H274" s="298"/>
      <c r="I274" s="298"/>
      <c r="J274" s="427"/>
      <c r="K274" s="300"/>
    </row>
    <row r="275" spans="1:11" ht="18" customHeight="1" thickBot="1">
      <c r="A275" s="670"/>
      <c r="B275" s="301"/>
      <c r="C275" s="541"/>
      <c r="D275" s="303" t="s">
        <v>10162</v>
      </c>
      <c r="E275" s="304"/>
      <c r="F275" s="305"/>
      <c r="G275" s="305"/>
      <c r="H275" s="305"/>
      <c r="I275" s="305"/>
      <c r="J275" s="428"/>
      <c r="K275" s="429"/>
    </row>
    <row r="276" spans="1:11" ht="18" customHeight="1">
      <c r="A276" s="668">
        <f>A271+1</f>
        <v>37</v>
      </c>
      <c r="B276" s="308" t="s">
        <v>10663</v>
      </c>
      <c r="C276" s="542" t="s">
        <v>11504</v>
      </c>
      <c r="D276" s="309">
        <v>1</v>
      </c>
      <c r="E276" s="293">
        <v>36892</v>
      </c>
      <c r="F276" s="294" t="s">
        <v>64</v>
      </c>
      <c r="G276" s="294"/>
      <c r="H276" s="294"/>
      <c r="I276" s="294" t="s">
        <v>63</v>
      </c>
      <c r="J276" s="424">
        <f>IF(ISERROR(SEARCH(I276,cst_shinsei_STRUCTRESULT_NOTIFY_KOUFU_NAME,1)),IF(ISERROR(SEARCH(I277,cst_shinsei_STRUCTRESULT_NOTIFY_KOUFU_NAME,1)),0,1),1)</f>
        <v>0</v>
      </c>
      <c r="K276" s="310" t="s">
        <v>63</v>
      </c>
    </row>
    <row r="277" spans="1:11" ht="18" customHeight="1">
      <c r="A277" s="669"/>
      <c r="B277" s="296"/>
      <c r="C277" s="297"/>
      <c r="D277" s="292">
        <v>2</v>
      </c>
      <c r="E277" s="293">
        <v>43634</v>
      </c>
      <c r="F277" s="298" t="s">
        <v>11608</v>
      </c>
      <c r="G277" s="298"/>
      <c r="H277" s="298"/>
      <c r="I277" s="298"/>
      <c r="J277" s="427"/>
      <c r="K277" s="300"/>
    </row>
    <row r="278" spans="1:11" ht="18" customHeight="1">
      <c r="A278" s="669"/>
      <c r="B278" s="296"/>
      <c r="C278" s="297"/>
      <c r="D278" s="292">
        <v>3</v>
      </c>
      <c r="E278" s="293"/>
      <c r="F278" s="298"/>
      <c r="G278" s="298"/>
      <c r="H278" s="298"/>
      <c r="I278" s="298"/>
      <c r="J278" s="427"/>
      <c r="K278" s="300"/>
    </row>
    <row r="279" spans="1:11" ht="18" customHeight="1">
      <c r="A279" s="669"/>
      <c r="B279" s="296"/>
      <c r="C279" s="297"/>
      <c r="D279" s="292">
        <v>4</v>
      </c>
      <c r="E279" s="293"/>
      <c r="F279" s="298"/>
      <c r="G279" s="298"/>
      <c r="H279" s="298"/>
      <c r="I279" s="298"/>
      <c r="J279" s="427"/>
      <c r="K279" s="300"/>
    </row>
    <row r="280" spans="1:11" ht="18" customHeight="1" thickBot="1">
      <c r="A280" s="670"/>
      <c r="B280" s="301"/>
      <c r="C280" s="302"/>
      <c r="D280" s="303" t="s">
        <v>10162</v>
      </c>
      <c r="E280" s="304"/>
      <c r="F280" s="305"/>
      <c r="G280" s="305"/>
      <c r="H280" s="305"/>
      <c r="I280" s="305"/>
      <c r="J280" s="428"/>
      <c r="K280" s="429"/>
    </row>
    <row r="281" spans="1:11" ht="18" customHeight="1">
      <c r="A281" s="668">
        <f t="shared" ref="A281" si="4">A276+1</f>
        <v>38</v>
      </c>
      <c r="B281" s="308" t="s">
        <v>10664</v>
      </c>
      <c r="C281" s="291" t="s">
        <v>11505</v>
      </c>
      <c r="D281" s="309">
        <v>1</v>
      </c>
      <c r="E281" s="293">
        <v>23132</v>
      </c>
      <c r="F281" s="294" t="s">
        <v>11382</v>
      </c>
      <c r="G281" s="294"/>
      <c r="H281" s="294"/>
      <c r="I281" s="294" t="s">
        <v>11385</v>
      </c>
      <c r="J281" s="424">
        <f>IF(ISERROR(SEARCH(I281,cst_shinsei_STRUCTRESULT_NOTIFY_KOUFU_NAME,1)),IF(ISERROR(SEARCH(I282,cst_shinsei_STRUCTRESULT_NOTIFY_KOUFU_NAME,1)),0,1),1)</f>
        <v>0</v>
      </c>
      <c r="K281" s="310" t="s">
        <v>11385</v>
      </c>
    </row>
    <row r="282" spans="1:11" ht="18" customHeight="1">
      <c r="A282" s="669"/>
      <c r="B282" s="296"/>
      <c r="C282" s="297"/>
      <c r="D282" s="292">
        <v>2</v>
      </c>
      <c r="E282" s="293">
        <v>43999</v>
      </c>
      <c r="F282" s="298" t="s">
        <v>11690</v>
      </c>
      <c r="G282" s="298"/>
      <c r="H282" s="298"/>
      <c r="I282" s="298"/>
      <c r="J282" s="299"/>
      <c r="K282" s="300"/>
    </row>
    <row r="283" spans="1:11" ht="18" customHeight="1">
      <c r="A283" s="669"/>
      <c r="B283" s="296"/>
      <c r="C283" s="297"/>
      <c r="D283" s="292">
        <v>3</v>
      </c>
      <c r="E283" s="293"/>
      <c r="F283" s="298"/>
      <c r="G283" s="298"/>
      <c r="H283" s="298"/>
      <c r="I283" s="298"/>
      <c r="J283" s="299"/>
      <c r="K283" s="300"/>
    </row>
    <row r="284" spans="1:11" ht="18" customHeight="1">
      <c r="A284" s="669"/>
      <c r="B284" s="296"/>
      <c r="C284" s="297"/>
      <c r="D284" s="292">
        <v>4</v>
      </c>
      <c r="E284" s="293"/>
      <c r="F284" s="298"/>
      <c r="G284" s="298"/>
      <c r="H284" s="298"/>
      <c r="I284" s="298"/>
      <c r="J284" s="299"/>
      <c r="K284" s="300"/>
    </row>
    <row r="285" spans="1:11" ht="18" customHeight="1">
      <c r="A285" s="670"/>
      <c r="B285" s="301"/>
      <c r="C285" s="302"/>
      <c r="D285" s="303" t="s">
        <v>10162</v>
      </c>
      <c r="E285" s="304"/>
      <c r="F285" s="305"/>
      <c r="G285" s="305"/>
      <c r="H285" s="305"/>
      <c r="I285" s="305"/>
      <c r="J285" s="306"/>
      <c r="K285" s="307"/>
    </row>
    <row r="286" spans="1:11" ht="18" customHeight="1">
      <c r="A286" s="668">
        <f t="shared" ref="A286" si="5">A281+1</f>
        <v>39</v>
      </c>
      <c r="B286" s="308" t="s">
        <v>10665</v>
      </c>
      <c r="C286" s="291" t="s">
        <v>11472</v>
      </c>
      <c r="D286" s="309">
        <v>1</v>
      </c>
      <c r="E286" s="293">
        <v>39253</v>
      </c>
      <c r="F286" s="294" t="s">
        <v>9490</v>
      </c>
      <c r="G286" s="294"/>
      <c r="H286" s="294"/>
      <c r="I286" s="294"/>
      <c r="J286" s="424">
        <f>IF(ISERROR(SEARCH(I286,cst_shinsei_STRUCTRESULT_NOTIFY_KOUFU_NAME,1)),IF(ISERROR(SEARCH(I287,cst_shinsei_STRUCTRESULT_NOTIFY_KOUFU_NAME,1)),0,1),1)</f>
        <v>0</v>
      </c>
      <c r="K286" s="310" t="s">
        <v>11471</v>
      </c>
    </row>
    <row r="287" spans="1:11" ht="18" customHeight="1">
      <c r="A287" s="669"/>
      <c r="B287" s="296"/>
      <c r="C287" s="297"/>
      <c r="D287" s="292">
        <v>2</v>
      </c>
      <c r="E287" s="293"/>
      <c r="F287" s="298"/>
      <c r="G287" s="298"/>
      <c r="H287" s="298"/>
      <c r="I287" s="298"/>
      <c r="J287" s="299"/>
      <c r="K287" s="300"/>
    </row>
    <row r="288" spans="1:11" ht="18" customHeight="1">
      <c r="A288" s="669"/>
      <c r="B288" s="296"/>
      <c r="C288" s="297"/>
      <c r="D288" s="292">
        <v>3</v>
      </c>
      <c r="E288" s="293"/>
      <c r="F288" s="298"/>
      <c r="G288" s="298"/>
      <c r="H288" s="298"/>
      <c r="I288" s="298"/>
      <c r="J288" s="299"/>
      <c r="K288" s="300"/>
    </row>
    <row r="289" spans="1:11" ht="18" customHeight="1">
      <c r="A289" s="669"/>
      <c r="B289" s="296"/>
      <c r="C289" s="297"/>
      <c r="D289" s="292">
        <v>4</v>
      </c>
      <c r="E289" s="293"/>
      <c r="F289" s="298"/>
      <c r="G289" s="298"/>
      <c r="H289" s="298"/>
      <c r="I289" s="298"/>
      <c r="J289" s="299"/>
      <c r="K289" s="300"/>
    </row>
    <row r="290" spans="1:11" ht="18" customHeight="1">
      <c r="A290" s="670"/>
      <c r="B290" s="301"/>
      <c r="C290" s="302"/>
      <c r="D290" s="303" t="s">
        <v>10162</v>
      </c>
      <c r="E290" s="304"/>
      <c r="F290" s="305"/>
      <c r="G290" s="305"/>
      <c r="H290" s="305"/>
      <c r="I290" s="305"/>
      <c r="J290" s="306"/>
      <c r="K290" s="307"/>
    </row>
    <row r="291" spans="1:11" ht="18" customHeight="1">
      <c r="A291" s="668">
        <f>A286+1</f>
        <v>40</v>
      </c>
      <c r="B291" s="308" t="s">
        <v>11473</v>
      </c>
      <c r="C291" s="291" t="s">
        <v>11475</v>
      </c>
      <c r="D291" s="309">
        <v>1</v>
      </c>
      <c r="E291" s="293">
        <v>39253</v>
      </c>
      <c r="F291" s="539" t="s">
        <v>11476</v>
      </c>
      <c r="G291" s="294"/>
      <c r="H291" s="294"/>
      <c r="I291" s="294"/>
      <c r="J291" s="424">
        <f>IF(ISERROR(SEARCH(I291,cst_shinsei_STRUCTRESULT_NOTIFY_KOUFU_NAME,1)),IF(ISERROR(SEARCH(I292,cst_shinsei_STRUCTRESULT_NOTIFY_KOUFU_NAME,1)),0,1),1)</f>
        <v>0</v>
      </c>
      <c r="K291" s="310" t="s">
        <v>11474</v>
      </c>
    </row>
    <row r="292" spans="1:11" ht="18" customHeight="1">
      <c r="A292" s="669"/>
      <c r="B292" s="296"/>
      <c r="C292" s="297"/>
      <c r="D292" s="292">
        <v>2</v>
      </c>
      <c r="E292" s="293"/>
      <c r="F292" s="298"/>
      <c r="G292" s="298"/>
      <c r="H292" s="298"/>
      <c r="I292" s="298"/>
      <c r="J292" s="299"/>
      <c r="K292" s="300"/>
    </row>
    <row r="293" spans="1:11" ht="18" customHeight="1">
      <c r="A293" s="669"/>
      <c r="B293" s="296"/>
      <c r="C293" s="297"/>
      <c r="D293" s="292">
        <v>3</v>
      </c>
      <c r="E293" s="293"/>
      <c r="F293" s="298"/>
      <c r="G293" s="298"/>
      <c r="H293" s="298"/>
      <c r="I293" s="298"/>
      <c r="J293" s="299"/>
      <c r="K293" s="300"/>
    </row>
    <row r="294" spans="1:11" ht="18" customHeight="1">
      <c r="A294" s="669"/>
      <c r="B294" s="296"/>
      <c r="C294" s="297"/>
      <c r="D294" s="292">
        <v>4</v>
      </c>
      <c r="E294" s="293"/>
      <c r="F294" s="298"/>
      <c r="G294" s="298"/>
      <c r="H294" s="298"/>
      <c r="I294" s="298"/>
      <c r="J294" s="299"/>
      <c r="K294" s="300"/>
    </row>
    <row r="295" spans="1:11" ht="18" customHeight="1">
      <c r="A295" s="670"/>
      <c r="B295" s="301"/>
      <c r="C295" s="302"/>
      <c r="D295" s="303" t="s">
        <v>10162</v>
      </c>
      <c r="E295" s="304"/>
      <c r="F295" s="305"/>
      <c r="G295" s="305"/>
      <c r="H295" s="305"/>
      <c r="I295" s="305"/>
      <c r="J295" s="306"/>
      <c r="K295" s="307"/>
    </row>
    <row r="296" spans="1:11" ht="18" customHeight="1">
      <c r="A296" s="668">
        <f t="shared" ref="A296:A301" si="6">A291+1</f>
        <v>41</v>
      </c>
      <c r="B296" s="308" t="s">
        <v>11668</v>
      </c>
      <c r="C296" s="291" t="s">
        <v>11671</v>
      </c>
      <c r="D296" s="309">
        <v>1</v>
      </c>
      <c r="E296" s="293">
        <v>39253</v>
      </c>
      <c r="F296" s="294" t="s">
        <v>11672</v>
      </c>
      <c r="G296" s="294"/>
      <c r="H296" s="294"/>
      <c r="I296" s="294"/>
      <c r="J296" s="424">
        <f>IF(ISERROR(SEARCH(I296,cst_shinsei_STRUCTRESULT_NOTIFY_KOUFU_NAME,1)),IF(ISERROR(SEARCH(I297,cst_shinsei_STRUCTRESULT_NOTIFY_KOUFU_NAME,1)),0,1),1)</f>
        <v>0</v>
      </c>
      <c r="K296" s="310" t="s">
        <v>11673</v>
      </c>
    </row>
    <row r="297" spans="1:11" ht="18" customHeight="1">
      <c r="A297" s="669"/>
      <c r="B297" s="296"/>
      <c r="C297" s="297"/>
      <c r="D297" s="292">
        <v>2</v>
      </c>
      <c r="E297" s="293">
        <v>44060</v>
      </c>
      <c r="F297" s="298"/>
      <c r="G297" s="298"/>
      <c r="H297" s="298"/>
      <c r="I297" s="298"/>
      <c r="J297" s="299"/>
      <c r="K297" s="300"/>
    </row>
    <row r="298" spans="1:11" ht="18" customHeight="1">
      <c r="A298" s="669"/>
      <c r="B298" s="296"/>
      <c r="C298" s="297"/>
      <c r="D298" s="292">
        <v>3</v>
      </c>
      <c r="E298" s="293"/>
      <c r="F298" s="298"/>
      <c r="G298" s="298"/>
      <c r="H298" s="298"/>
      <c r="I298" s="298"/>
      <c r="J298" s="299"/>
      <c r="K298" s="300"/>
    </row>
    <row r="299" spans="1:11" ht="18" customHeight="1">
      <c r="A299" s="669"/>
      <c r="B299" s="296"/>
      <c r="C299" s="297"/>
      <c r="D299" s="292">
        <v>4</v>
      </c>
      <c r="E299" s="293"/>
      <c r="F299" s="298"/>
      <c r="G299" s="298"/>
      <c r="H299" s="298"/>
      <c r="I299" s="298"/>
      <c r="J299" s="299"/>
      <c r="K299" s="300"/>
    </row>
    <row r="300" spans="1:11" ht="18" customHeight="1">
      <c r="A300" s="670"/>
      <c r="B300" s="301"/>
      <c r="C300" s="302"/>
      <c r="D300" s="303" t="s">
        <v>10162</v>
      </c>
      <c r="E300" s="304"/>
      <c r="F300" s="305"/>
      <c r="G300" s="305"/>
      <c r="H300" s="305"/>
      <c r="I300" s="305"/>
      <c r="J300" s="306"/>
      <c r="K300" s="307"/>
    </row>
    <row r="301" spans="1:11" ht="18" customHeight="1">
      <c r="A301" s="668">
        <f t="shared" si="6"/>
        <v>42</v>
      </c>
      <c r="B301" s="308" t="s">
        <v>11669</v>
      </c>
      <c r="C301" s="291"/>
      <c r="D301" s="309">
        <v>1</v>
      </c>
      <c r="E301" s="293">
        <v>39253</v>
      </c>
      <c r="F301" s="294"/>
      <c r="G301" s="294"/>
      <c r="H301" s="294"/>
      <c r="I301" s="294"/>
      <c r="J301" s="295"/>
      <c r="K301" s="310"/>
    </row>
    <row r="302" spans="1:11" ht="18" customHeight="1">
      <c r="A302" s="669"/>
      <c r="B302" s="296"/>
      <c r="C302" s="297"/>
      <c r="D302" s="292">
        <v>2</v>
      </c>
      <c r="E302" s="293"/>
      <c r="F302" s="298"/>
      <c r="G302" s="298"/>
      <c r="H302" s="298"/>
      <c r="I302" s="298"/>
      <c r="J302" s="299"/>
      <c r="K302" s="300"/>
    </row>
    <row r="303" spans="1:11" ht="18" customHeight="1">
      <c r="A303" s="669"/>
      <c r="B303" s="296"/>
      <c r="C303" s="297"/>
      <c r="D303" s="292">
        <v>3</v>
      </c>
      <c r="E303" s="293"/>
      <c r="F303" s="298"/>
      <c r="G303" s="298"/>
      <c r="H303" s="298"/>
      <c r="I303" s="298"/>
      <c r="J303" s="299"/>
      <c r="K303" s="300"/>
    </row>
    <row r="304" spans="1:11" ht="18" customHeight="1">
      <c r="A304" s="669"/>
      <c r="B304" s="296"/>
      <c r="C304" s="297"/>
      <c r="D304" s="292">
        <v>4</v>
      </c>
      <c r="E304" s="293"/>
      <c r="F304" s="298"/>
      <c r="G304" s="298"/>
      <c r="H304" s="298"/>
      <c r="I304" s="298"/>
      <c r="J304" s="299"/>
      <c r="K304" s="300"/>
    </row>
    <row r="305" spans="1:11" ht="18" customHeight="1">
      <c r="A305" s="670"/>
      <c r="B305" s="301"/>
      <c r="C305" s="302"/>
      <c r="D305" s="303" t="s">
        <v>10162</v>
      </c>
      <c r="E305" s="304"/>
      <c r="F305" s="305"/>
      <c r="G305" s="305"/>
      <c r="H305" s="305"/>
      <c r="I305" s="305"/>
      <c r="J305" s="306"/>
      <c r="K305" s="307"/>
    </row>
    <row r="306" spans="1:11" ht="18" customHeight="1">
      <c r="A306" s="668">
        <f t="shared" ref="A306" si="7">A301+1</f>
        <v>43</v>
      </c>
      <c r="B306" s="308" t="s">
        <v>11670</v>
      </c>
      <c r="C306" s="291"/>
      <c r="D306" s="309">
        <v>1</v>
      </c>
      <c r="E306" s="293">
        <v>39253</v>
      </c>
      <c r="F306" s="294"/>
      <c r="G306" s="294"/>
      <c r="H306" s="294"/>
      <c r="I306" s="294"/>
      <c r="J306" s="295"/>
      <c r="K306" s="310"/>
    </row>
    <row r="307" spans="1:11" ht="18" customHeight="1">
      <c r="A307" s="669"/>
      <c r="B307" s="296"/>
      <c r="C307" s="297"/>
      <c r="D307" s="292">
        <v>2</v>
      </c>
      <c r="E307" s="293"/>
      <c r="F307" s="298"/>
      <c r="G307" s="298"/>
      <c r="H307" s="298"/>
      <c r="I307" s="298"/>
      <c r="J307" s="299"/>
      <c r="K307" s="300"/>
    </row>
    <row r="308" spans="1:11" ht="18" customHeight="1">
      <c r="A308" s="669"/>
      <c r="B308" s="296"/>
      <c r="C308" s="297"/>
      <c r="D308" s="292">
        <v>3</v>
      </c>
      <c r="E308" s="293"/>
      <c r="F308" s="298"/>
      <c r="G308" s="298"/>
      <c r="H308" s="298"/>
      <c r="I308" s="298"/>
      <c r="J308" s="299"/>
      <c r="K308" s="300"/>
    </row>
    <row r="309" spans="1:11" ht="18" customHeight="1">
      <c r="A309" s="669"/>
      <c r="B309" s="296"/>
      <c r="C309" s="297"/>
      <c r="D309" s="292">
        <v>4</v>
      </c>
      <c r="E309" s="293"/>
      <c r="F309" s="298"/>
      <c r="G309" s="298"/>
      <c r="H309" s="298"/>
      <c r="I309" s="298"/>
      <c r="J309" s="299"/>
      <c r="K309" s="300"/>
    </row>
    <row r="310" spans="1:11" ht="18" customHeight="1">
      <c r="A310" s="670"/>
      <c r="B310" s="301"/>
      <c r="C310" s="302"/>
      <c r="D310" s="303" t="s">
        <v>10162</v>
      </c>
      <c r="E310" s="304"/>
      <c r="F310" s="305"/>
      <c r="G310" s="305"/>
      <c r="H310" s="305"/>
      <c r="I310" s="305"/>
      <c r="J310" s="306"/>
      <c r="K310" s="307"/>
    </row>
  </sheetData>
  <mergeCells count="43">
    <mergeCell ref="A296:A300"/>
    <mergeCell ref="A301:A305"/>
    <mergeCell ref="A265:A270"/>
    <mergeCell ref="A245:A249"/>
    <mergeCell ref="A260:A264"/>
    <mergeCell ref="A250:A254"/>
    <mergeCell ref="A229:A233"/>
    <mergeCell ref="A255:A259"/>
    <mergeCell ref="A306:A310"/>
    <mergeCell ref="A184:A188"/>
    <mergeCell ref="A189:A193"/>
    <mergeCell ref="A194:A198"/>
    <mergeCell ref="A199:A203"/>
    <mergeCell ref="A234:A239"/>
    <mergeCell ref="A291:A295"/>
    <mergeCell ref="A286:A290"/>
    <mergeCell ref="A214:A218"/>
    <mergeCell ref="A281:A285"/>
    <mergeCell ref="A276:A280"/>
    <mergeCell ref="A271:A275"/>
    <mergeCell ref="A240:A244"/>
    <mergeCell ref="A209:A213"/>
    <mergeCell ref="A219:A223"/>
    <mergeCell ref="A112:A116"/>
    <mergeCell ref="A224:A228"/>
    <mergeCell ref="A204:A208"/>
    <mergeCell ref="A158:A163"/>
    <mergeCell ref="A135:A139"/>
    <mergeCell ref="A164:A168"/>
    <mergeCell ref="A174:A178"/>
    <mergeCell ref="A130:A134"/>
    <mergeCell ref="A153:A157"/>
    <mergeCell ref="A146:A152"/>
    <mergeCell ref="A117:A122"/>
    <mergeCell ref="A169:A173"/>
    <mergeCell ref="A123:A129"/>
    <mergeCell ref="A179:A183"/>
    <mergeCell ref="A140:A145"/>
    <mergeCell ref="A87:A91"/>
    <mergeCell ref="A92:A96"/>
    <mergeCell ref="A97:A101"/>
    <mergeCell ref="A102:A106"/>
    <mergeCell ref="A107:A111"/>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FF99CC"/>
  </sheetPr>
  <dimension ref="A1:AB319"/>
  <sheetViews>
    <sheetView topLeftCell="A65" zoomScale="90" zoomScaleNormal="90" workbookViewId="0">
      <pane xSplit="1" topLeftCell="D1" activePane="topRight" state="frozen"/>
      <selection pane="topRight" activeCell="F85" sqref="F85"/>
    </sheetView>
  </sheetViews>
  <sheetFormatPr defaultColWidth="9.625" defaultRowHeight="18" customHeight="1"/>
  <cols>
    <col min="1" max="1" width="15.75" style="231" customWidth="1"/>
    <col min="2" max="2" width="5" style="231" customWidth="1"/>
    <col min="3" max="3" width="7.375" style="231" customWidth="1"/>
    <col min="4" max="4" width="18.625" style="231" customWidth="1"/>
    <col min="5" max="5" width="29.625" style="231" customWidth="1"/>
    <col min="6" max="6" width="21.625" style="231" customWidth="1"/>
    <col min="7" max="7" width="32" style="231" customWidth="1"/>
    <col min="8" max="8" width="24.875" style="231" customWidth="1"/>
    <col min="9" max="23" width="21.625" style="231" customWidth="1"/>
    <col min="24" max="24" width="25.125" style="231" customWidth="1"/>
    <col min="25" max="25" width="37.625" style="1" customWidth="1"/>
    <col min="26" max="37" width="6.625" style="231" customWidth="1"/>
    <col min="38" max="16384" width="9.625" style="231"/>
  </cols>
  <sheetData>
    <row r="1" spans="1:25" ht="18" customHeight="1">
      <c r="A1" s="267" t="s">
        <v>10193</v>
      </c>
      <c r="B1" s="267"/>
      <c r="C1" s="267"/>
      <c r="D1" s="267"/>
    </row>
    <row r="2" spans="1:25" s="27" customFormat="1" ht="18" customHeight="1">
      <c r="A2" s="14"/>
      <c r="B2" s="14"/>
      <c r="C2" s="14"/>
    </row>
    <row r="3" spans="1:25" s="27" customFormat="1" ht="18" customHeight="1">
      <c r="A3" s="267" t="s">
        <v>10208</v>
      </c>
      <c r="B3" s="267"/>
      <c r="C3" s="14"/>
    </row>
    <row r="4" spans="1:25" s="27" customFormat="1" ht="18" customHeight="1">
      <c r="A4" s="14"/>
      <c r="B4" s="14"/>
      <c r="C4" s="14"/>
    </row>
    <row r="5" spans="1:25" ht="18" customHeight="1">
      <c r="A5" s="312" t="s">
        <v>2576</v>
      </c>
      <c r="B5" s="312"/>
      <c r="D5" s="231" t="s">
        <v>10209</v>
      </c>
      <c r="E5" s="231" t="s">
        <v>10210</v>
      </c>
      <c r="F5" s="231">
        <v>1</v>
      </c>
      <c r="G5" s="231">
        <v>2</v>
      </c>
      <c r="H5" s="231">
        <v>3</v>
      </c>
      <c r="I5" s="231">
        <v>4</v>
      </c>
      <c r="J5" s="231">
        <v>5</v>
      </c>
      <c r="K5" s="231">
        <v>6</v>
      </c>
      <c r="L5" s="231">
        <v>7</v>
      </c>
      <c r="M5" s="231">
        <v>8</v>
      </c>
      <c r="N5" s="231">
        <v>9</v>
      </c>
      <c r="O5" s="231">
        <v>10</v>
      </c>
      <c r="P5" s="231">
        <v>11</v>
      </c>
      <c r="Q5" s="231">
        <v>12</v>
      </c>
      <c r="R5" s="231">
        <v>13</v>
      </c>
      <c r="S5" s="231">
        <v>14</v>
      </c>
      <c r="T5" s="231">
        <v>15</v>
      </c>
      <c r="U5" s="529">
        <v>16</v>
      </c>
      <c r="V5" s="529">
        <v>17</v>
      </c>
      <c r="W5" s="529">
        <v>18</v>
      </c>
      <c r="X5" s="529">
        <v>19</v>
      </c>
    </row>
    <row r="6" spans="1:25" ht="18" customHeight="1">
      <c r="A6" s="313"/>
      <c r="B6" s="313"/>
      <c r="C6" s="313" t="s">
        <v>9053</v>
      </c>
      <c r="D6" s="313" t="s">
        <v>10194</v>
      </c>
      <c r="E6" s="314" t="s">
        <v>10195</v>
      </c>
      <c r="F6" s="313" t="s">
        <v>2766</v>
      </c>
      <c r="G6" s="313" t="s">
        <v>7357</v>
      </c>
      <c r="H6" s="313" t="s">
        <v>225</v>
      </c>
      <c r="I6" s="313" t="s">
        <v>10196</v>
      </c>
      <c r="J6" s="313" t="s">
        <v>2783</v>
      </c>
      <c r="K6" s="313" t="s">
        <v>10197</v>
      </c>
      <c r="L6" s="313" t="s">
        <v>10198</v>
      </c>
      <c r="M6" s="313" t="s">
        <v>10199</v>
      </c>
      <c r="N6" s="431" t="s">
        <v>9542</v>
      </c>
      <c r="O6" s="431" t="s">
        <v>11030</v>
      </c>
      <c r="P6" s="431" t="s">
        <v>11031</v>
      </c>
      <c r="Q6" s="431" t="s">
        <v>11032</v>
      </c>
      <c r="R6" s="431" t="s">
        <v>10695</v>
      </c>
      <c r="S6" s="431" t="s">
        <v>10966</v>
      </c>
      <c r="T6" s="431" t="s">
        <v>10967</v>
      </c>
      <c r="U6" s="431" t="s">
        <v>11303</v>
      </c>
      <c r="V6" s="431" t="s">
        <v>11305</v>
      </c>
      <c r="W6" s="431" t="s">
        <v>11306</v>
      </c>
      <c r="X6" s="431" t="s">
        <v>11644</v>
      </c>
      <c r="Y6" s="315" t="s">
        <v>10200</v>
      </c>
    </row>
    <row r="7" spans="1:25" ht="18" customHeight="1">
      <c r="A7" s="313"/>
      <c r="B7" s="313"/>
      <c r="C7" s="313">
        <v>1</v>
      </c>
      <c r="D7" s="316">
        <v>35551</v>
      </c>
      <c r="E7" s="317"/>
      <c r="F7" s="318" t="s">
        <v>10211</v>
      </c>
      <c r="G7" s="317" t="s">
        <v>9541</v>
      </c>
      <c r="H7" s="317" t="s">
        <v>11208</v>
      </c>
      <c r="I7" s="317" t="s">
        <v>11201</v>
      </c>
      <c r="J7" s="317" t="s">
        <v>11203</v>
      </c>
      <c r="K7" s="317" t="s">
        <v>11204</v>
      </c>
      <c r="L7" s="317" t="s">
        <v>11205</v>
      </c>
      <c r="M7" s="317"/>
      <c r="N7" s="317" t="s">
        <v>11202</v>
      </c>
      <c r="O7" s="317" t="s">
        <v>11712</v>
      </c>
      <c r="P7" s="317" t="s">
        <v>11711</v>
      </c>
      <c r="Q7" s="317" t="s">
        <v>11710</v>
      </c>
      <c r="R7" s="317" t="s">
        <v>11637</v>
      </c>
      <c r="S7" s="317" t="s">
        <v>11207</v>
      </c>
      <c r="T7" s="317" t="s">
        <v>11206</v>
      </c>
      <c r="U7" s="317" t="s">
        <v>11310</v>
      </c>
      <c r="V7" s="317" t="s">
        <v>11311</v>
      </c>
      <c r="W7" s="317" t="s">
        <v>11307</v>
      </c>
      <c r="X7" s="317" t="s">
        <v>11646</v>
      </c>
      <c r="Y7" s="313" t="str">
        <f>SUBSTITUTE(SUBSTITUTE(SUBSTITUTE(F7,"株式会社","")," ",""),"　","")&amp;"　"&amp;SUBSTITUTE(SUBSTITUTE(G7,"代表取締役",""),"　","")</f>
        <v>国際確認検査センター　山 田  耕 藏</v>
      </c>
    </row>
    <row r="8" spans="1:25" ht="18" customHeight="1">
      <c r="A8" s="317"/>
      <c r="B8" s="317"/>
      <c r="C8" s="317">
        <v>2</v>
      </c>
      <c r="D8" s="316"/>
      <c r="E8" s="317"/>
      <c r="F8" s="318"/>
      <c r="G8" s="317"/>
      <c r="H8" s="317"/>
      <c r="I8" s="317"/>
      <c r="J8" s="317"/>
      <c r="K8" s="317"/>
      <c r="L8" s="317"/>
      <c r="M8" s="317"/>
      <c r="N8" s="317"/>
      <c r="O8" s="317"/>
      <c r="P8" s="317"/>
      <c r="Q8" s="317"/>
      <c r="R8" s="317"/>
      <c r="S8" s="317"/>
      <c r="T8" s="317"/>
      <c r="U8" s="317"/>
      <c r="V8" s="317"/>
      <c r="W8" s="317"/>
      <c r="X8" s="317"/>
      <c r="Y8" s="313" t="str">
        <f t="shared" ref="Y8:Y16" si="0">SUBSTITUTE(SUBSTITUTE(F8," ",""),"　","")&amp;"　"&amp;SUBSTITUTE(G8,"　","")</f>
        <v>　</v>
      </c>
    </row>
    <row r="9" spans="1:25" s="111" customFormat="1" ht="18" customHeight="1">
      <c r="A9" s="317"/>
      <c r="B9" s="317"/>
      <c r="C9" s="317">
        <v>3</v>
      </c>
      <c r="D9" s="316"/>
      <c r="E9" s="317"/>
      <c r="F9" s="318"/>
      <c r="G9" s="317"/>
      <c r="H9" s="317"/>
      <c r="I9" s="317"/>
      <c r="J9" s="317"/>
      <c r="K9" s="317"/>
      <c r="L9" s="317"/>
      <c r="M9" s="317"/>
      <c r="N9" s="317"/>
      <c r="O9" s="317"/>
      <c r="P9" s="317"/>
      <c r="Q9" s="317"/>
      <c r="R9" s="317"/>
      <c r="S9" s="317"/>
      <c r="T9" s="317"/>
      <c r="U9" s="317"/>
      <c r="V9" s="317"/>
      <c r="W9" s="317"/>
      <c r="X9" s="317"/>
      <c r="Y9" s="313" t="str">
        <f t="shared" si="0"/>
        <v>　</v>
      </c>
    </row>
    <row r="10" spans="1:25" s="111" customFormat="1" ht="18" customHeight="1">
      <c r="A10" s="317"/>
      <c r="B10" s="317"/>
      <c r="C10" s="317">
        <v>4</v>
      </c>
      <c r="D10" s="316"/>
      <c r="E10" s="317"/>
      <c r="F10" s="318"/>
      <c r="G10" s="317"/>
      <c r="H10" s="317"/>
      <c r="I10" s="317"/>
      <c r="J10" s="317"/>
      <c r="K10" s="317"/>
      <c r="L10" s="317"/>
      <c r="M10" s="317"/>
      <c r="N10" s="317"/>
      <c r="O10" s="317"/>
      <c r="P10" s="317"/>
      <c r="Q10" s="317"/>
      <c r="R10" s="317"/>
      <c r="S10" s="317"/>
      <c r="T10" s="317"/>
      <c r="U10" s="317"/>
      <c r="V10" s="317"/>
      <c r="W10" s="317"/>
      <c r="X10" s="317"/>
      <c r="Y10" s="313" t="str">
        <f t="shared" si="0"/>
        <v>　</v>
      </c>
    </row>
    <row r="11" spans="1:25" s="111" customFormat="1" ht="18" customHeight="1">
      <c r="A11" s="317"/>
      <c r="B11" s="317"/>
      <c r="C11" s="317">
        <v>5</v>
      </c>
      <c r="D11" s="316"/>
      <c r="E11" s="317"/>
      <c r="F11" s="318"/>
      <c r="G11" s="317"/>
      <c r="H11" s="317"/>
      <c r="I11" s="317"/>
      <c r="J11" s="317"/>
      <c r="K11" s="317"/>
      <c r="L11" s="317"/>
      <c r="M11" s="317"/>
      <c r="N11" s="317"/>
      <c r="O11" s="317"/>
      <c r="P11" s="317"/>
      <c r="Q11" s="317"/>
      <c r="R11" s="317"/>
      <c r="S11" s="317"/>
      <c r="T11" s="317"/>
      <c r="U11" s="317"/>
      <c r="V11" s="317"/>
      <c r="W11" s="317"/>
      <c r="X11" s="317"/>
      <c r="Y11" s="313" t="str">
        <f t="shared" si="0"/>
        <v>　</v>
      </c>
    </row>
    <row r="12" spans="1:25" s="111" customFormat="1" ht="18" customHeight="1">
      <c r="A12" s="317"/>
      <c r="B12" s="317"/>
      <c r="C12" s="317">
        <v>6</v>
      </c>
      <c r="D12" s="316"/>
      <c r="E12" s="317"/>
      <c r="F12" s="318"/>
      <c r="G12" s="317"/>
      <c r="H12" s="317"/>
      <c r="I12" s="317"/>
      <c r="J12" s="317"/>
      <c r="K12" s="317"/>
      <c r="L12" s="317"/>
      <c r="M12" s="317"/>
      <c r="N12" s="317"/>
      <c r="O12" s="317"/>
      <c r="P12" s="317"/>
      <c r="Q12" s="317"/>
      <c r="R12" s="317"/>
      <c r="S12" s="317"/>
      <c r="T12" s="317"/>
      <c r="U12" s="317"/>
      <c r="V12" s="317"/>
      <c r="W12" s="317"/>
      <c r="X12" s="317"/>
      <c r="Y12" s="313" t="str">
        <f t="shared" si="0"/>
        <v>　</v>
      </c>
    </row>
    <row r="13" spans="1:25" s="111" customFormat="1" ht="18" customHeight="1">
      <c r="A13" s="317"/>
      <c r="B13" s="317"/>
      <c r="C13" s="317">
        <v>7</v>
      </c>
      <c r="D13" s="316"/>
      <c r="E13" s="317"/>
      <c r="F13" s="318"/>
      <c r="G13" s="317"/>
      <c r="H13" s="317"/>
      <c r="I13" s="317"/>
      <c r="J13" s="317"/>
      <c r="K13" s="317"/>
      <c r="L13" s="317"/>
      <c r="M13" s="317"/>
      <c r="N13" s="317"/>
      <c r="O13" s="317"/>
      <c r="P13" s="317"/>
      <c r="Q13" s="317"/>
      <c r="R13" s="317"/>
      <c r="S13" s="317"/>
      <c r="T13" s="317"/>
      <c r="U13" s="317"/>
      <c r="V13" s="317"/>
      <c r="W13" s="317"/>
      <c r="X13" s="317"/>
      <c r="Y13" s="313" t="str">
        <f t="shared" si="0"/>
        <v>　</v>
      </c>
    </row>
    <row r="14" spans="1:25" s="111" customFormat="1" ht="18" customHeight="1">
      <c r="A14" s="317"/>
      <c r="B14" s="317"/>
      <c r="C14" s="317">
        <v>8</v>
      </c>
      <c r="D14" s="316"/>
      <c r="E14" s="317"/>
      <c r="F14" s="319"/>
      <c r="G14" s="313"/>
      <c r="H14" s="313"/>
      <c r="I14" s="313"/>
      <c r="J14" s="313"/>
      <c r="K14" s="313"/>
      <c r="L14" s="313"/>
      <c r="M14" s="313"/>
      <c r="N14" s="313"/>
      <c r="O14" s="313"/>
      <c r="P14" s="313"/>
      <c r="Q14" s="313"/>
      <c r="R14" s="313"/>
      <c r="S14" s="313"/>
      <c r="T14" s="313"/>
      <c r="U14" s="313"/>
      <c r="V14" s="313"/>
      <c r="W14" s="313"/>
      <c r="X14" s="313"/>
      <c r="Y14" s="313" t="str">
        <f t="shared" si="0"/>
        <v>　</v>
      </c>
    </row>
    <row r="15" spans="1:25" s="111" customFormat="1" ht="18" customHeight="1">
      <c r="A15" s="317"/>
      <c r="B15" s="317"/>
      <c r="C15" s="317">
        <v>9</v>
      </c>
      <c r="D15" s="316"/>
      <c r="E15" s="317"/>
      <c r="F15" s="318"/>
      <c r="G15" s="317"/>
      <c r="H15" s="317"/>
      <c r="I15" s="317"/>
      <c r="J15" s="317"/>
      <c r="K15" s="317"/>
      <c r="L15" s="317"/>
      <c r="M15" s="317"/>
      <c r="N15" s="317"/>
      <c r="O15" s="317"/>
      <c r="P15" s="317"/>
      <c r="Q15" s="317"/>
      <c r="R15" s="317"/>
      <c r="S15" s="317"/>
      <c r="T15" s="317"/>
      <c r="U15" s="317"/>
      <c r="V15" s="317"/>
      <c r="W15" s="317"/>
      <c r="X15" s="317"/>
      <c r="Y15" s="313" t="str">
        <f t="shared" si="0"/>
        <v>　</v>
      </c>
    </row>
    <row r="16" spans="1:25" s="111" customFormat="1" ht="18" customHeight="1">
      <c r="A16" s="317"/>
      <c r="B16" s="317"/>
      <c r="C16" s="320" t="s">
        <v>10212</v>
      </c>
      <c r="D16" s="316"/>
      <c r="E16" s="317"/>
      <c r="F16" s="318"/>
      <c r="G16" s="317"/>
      <c r="H16" s="317"/>
      <c r="I16" s="317"/>
      <c r="J16" s="317"/>
      <c r="K16" s="317"/>
      <c r="L16" s="317"/>
      <c r="M16" s="317"/>
      <c r="N16" s="317"/>
      <c r="O16" s="317"/>
      <c r="P16" s="317"/>
      <c r="Q16" s="317"/>
      <c r="R16" s="317"/>
      <c r="S16" s="317"/>
      <c r="T16" s="317"/>
      <c r="U16" s="317"/>
      <c r="V16" s="317"/>
      <c r="W16" s="317"/>
      <c r="X16" s="317"/>
      <c r="Y16" s="313" t="str">
        <f t="shared" si="0"/>
        <v>　</v>
      </c>
    </row>
    <row r="17" spans="1:25" s="111" customFormat="1" ht="18" customHeight="1">
      <c r="D17" s="321"/>
      <c r="Y17" s="322"/>
    </row>
    <row r="18" spans="1:25" ht="18" customHeight="1">
      <c r="A18" s="312" t="s">
        <v>10213</v>
      </c>
      <c r="B18" s="312"/>
      <c r="D18" s="231" t="s">
        <v>10214</v>
      </c>
      <c r="E18" s="231" t="s">
        <v>10215</v>
      </c>
    </row>
    <row r="19" spans="1:25" ht="18" customHeight="1">
      <c r="A19" s="313"/>
      <c r="B19" s="313"/>
      <c r="C19" s="313" t="s">
        <v>9053</v>
      </c>
      <c r="D19" s="313" t="s">
        <v>10194</v>
      </c>
      <c r="E19" s="314" t="s">
        <v>10195</v>
      </c>
      <c r="F19" s="313" t="s">
        <v>2766</v>
      </c>
      <c r="G19" s="313" t="s">
        <v>7357</v>
      </c>
      <c r="H19" s="313" t="s">
        <v>225</v>
      </c>
      <c r="I19" s="313" t="s">
        <v>10196</v>
      </c>
      <c r="J19" s="313" t="s">
        <v>2783</v>
      </c>
      <c r="K19" s="313" t="s">
        <v>10197</v>
      </c>
      <c r="L19" s="313" t="s">
        <v>10198</v>
      </c>
      <c r="M19" s="313" t="s">
        <v>10199</v>
      </c>
      <c r="N19" s="431" t="s">
        <v>9542</v>
      </c>
      <c r="O19" s="431" t="s">
        <v>11030</v>
      </c>
      <c r="P19" s="431" t="s">
        <v>11031</v>
      </c>
      <c r="Q19" s="431" t="s">
        <v>11032</v>
      </c>
      <c r="R19" s="431" t="s">
        <v>10695</v>
      </c>
      <c r="S19" s="431" t="s">
        <v>10966</v>
      </c>
      <c r="T19" s="431" t="s">
        <v>10967</v>
      </c>
      <c r="U19" s="431" t="s">
        <v>11303</v>
      </c>
      <c r="V19" s="431" t="s">
        <v>11305</v>
      </c>
      <c r="W19" s="431" t="s">
        <v>11306</v>
      </c>
      <c r="X19" s="431" t="s">
        <v>11644</v>
      </c>
      <c r="Y19" s="315" t="s">
        <v>10200</v>
      </c>
    </row>
    <row r="20" spans="1:25" ht="18" customHeight="1">
      <c r="A20" s="313"/>
      <c r="B20" s="313"/>
      <c r="C20" s="313">
        <v>1</v>
      </c>
      <c r="D20" s="316">
        <v>35551</v>
      </c>
      <c r="E20" s="317"/>
      <c r="F20" s="318" t="s">
        <v>10211</v>
      </c>
      <c r="G20" s="317" t="s">
        <v>9541</v>
      </c>
      <c r="H20" s="317" t="s">
        <v>10216</v>
      </c>
      <c r="I20" s="317" t="s">
        <v>9540</v>
      </c>
      <c r="J20" s="317" t="s">
        <v>10217</v>
      </c>
      <c r="K20" s="317" t="s">
        <v>10218</v>
      </c>
      <c r="L20" s="317" t="s">
        <v>10219</v>
      </c>
      <c r="M20" s="317"/>
      <c r="N20" s="317" t="s">
        <v>9540</v>
      </c>
      <c r="O20" s="317" t="s">
        <v>11033</v>
      </c>
      <c r="P20" s="317" t="s">
        <v>11035</v>
      </c>
      <c r="Q20" s="317" t="s">
        <v>11036</v>
      </c>
      <c r="R20" s="317" t="s">
        <v>11638</v>
      </c>
      <c r="S20" s="317"/>
      <c r="T20" s="317"/>
      <c r="U20" s="317" t="s">
        <v>11310</v>
      </c>
      <c r="V20" s="317" t="s">
        <v>11311</v>
      </c>
      <c r="W20" s="317" t="s">
        <v>11292</v>
      </c>
      <c r="X20" s="317" t="s">
        <v>11645</v>
      </c>
      <c r="Y20" s="313" t="str">
        <f t="shared" ref="Y20:Y25" si="1">SUBSTITUTE(SUBSTITUTE(SUBSTITUTE(F20,"株式会社","")," ",""),"　","")&amp;"　"&amp;SUBSTITUTE(SUBSTITUTE(G20,"代表取締役",""),"　","")</f>
        <v>国際確認検査センター　山 田  耕 藏</v>
      </c>
    </row>
    <row r="21" spans="1:25" ht="18" customHeight="1">
      <c r="A21" s="317"/>
      <c r="B21" s="317"/>
      <c r="C21" s="317">
        <v>2</v>
      </c>
      <c r="D21" s="316">
        <v>43753</v>
      </c>
      <c r="E21" s="317"/>
      <c r="F21" s="318" t="s">
        <v>10211</v>
      </c>
      <c r="G21" s="317" t="s">
        <v>9541</v>
      </c>
      <c r="H21" s="317" t="s">
        <v>11633</v>
      </c>
      <c r="I21" s="317" t="s">
        <v>11634</v>
      </c>
      <c r="J21" s="317" t="s">
        <v>11635</v>
      </c>
      <c r="K21" s="317" t="s">
        <v>10218</v>
      </c>
      <c r="L21" s="317" t="s">
        <v>10219</v>
      </c>
      <c r="M21" s="317"/>
      <c r="N21" s="317" t="s">
        <v>11634</v>
      </c>
      <c r="O21" s="317" t="s">
        <v>11708</v>
      </c>
      <c r="P21" s="317" t="s">
        <v>11707</v>
      </c>
      <c r="Q21" s="317" t="s">
        <v>11709</v>
      </c>
      <c r="R21" s="317" t="s">
        <v>11638</v>
      </c>
      <c r="S21" s="317"/>
      <c r="T21" s="317"/>
      <c r="U21" s="317" t="s">
        <v>11310</v>
      </c>
      <c r="V21" s="317" t="s">
        <v>11311</v>
      </c>
      <c r="W21" s="317" t="s">
        <v>11292</v>
      </c>
      <c r="X21" s="317" t="s">
        <v>11645</v>
      </c>
      <c r="Y21" s="313" t="str">
        <f t="shared" si="1"/>
        <v>国際確認検査センター　山 田  耕 藏</v>
      </c>
    </row>
    <row r="22" spans="1:25" s="111" customFormat="1" ht="18" customHeight="1">
      <c r="A22" s="317"/>
      <c r="B22" s="317"/>
      <c r="C22" s="317">
        <v>3</v>
      </c>
      <c r="D22" s="316"/>
      <c r="E22" s="317"/>
      <c r="F22" s="318"/>
      <c r="G22" s="317"/>
      <c r="H22" s="317"/>
      <c r="I22" s="317"/>
      <c r="J22" s="317"/>
      <c r="K22" s="317"/>
      <c r="L22" s="317"/>
      <c r="M22" s="317"/>
      <c r="N22" s="317"/>
      <c r="O22" s="317"/>
      <c r="P22" s="317"/>
      <c r="Q22" s="317"/>
      <c r="R22" s="317"/>
      <c r="S22" s="317"/>
      <c r="T22" s="317"/>
      <c r="U22" s="317"/>
      <c r="V22" s="317"/>
      <c r="W22" s="317"/>
      <c r="X22" s="317"/>
      <c r="Y22" s="313" t="str">
        <f t="shared" si="1"/>
        <v>　</v>
      </c>
    </row>
    <row r="23" spans="1:25" s="111" customFormat="1" ht="18" customHeight="1">
      <c r="A23" s="317"/>
      <c r="B23" s="317"/>
      <c r="C23" s="317">
        <v>4</v>
      </c>
      <c r="D23" s="316"/>
      <c r="E23" s="317"/>
      <c r="F23" s="318"/>
      <c r="G23" s="317"/>
      <c r="H23" s="317"/>
      <c r="I23" s="317"/>
      <c r="J23" s="317"/>
      <c r="K23" s="317"/>
      <c r="L23" s="317"/>
      <c r="M23" s="317"/>
      <c r="N23" s="317"/>
      <c r="O23" s="317"/>
      <c r="P23" s="317"/>
      <c r="Q23" s="317"/>
      <c r="R23" s="317"/>
      <c r="S23" s="317"/>
      <c r="T23" s="317"/>
      <c r="U23" s="317"/>
      <c r="V23" s="317"/>
      <c r="W23" s="317"/>
      <c r="X23" s="317"/>
      <c r="Y23" s="313" t="str">
        <f t="shared" si="1"/>
        <v>　</v>
      </c>
    </row>
    <row r="24" spans="1:25" s="111" customFormat="1" ht="18" customHeight="1">
      <c r="A24" s="317"/>
      <c r="B24" s="317"/>
      <c r="C24" s="317">
        <v>5</v>
      </c>
      <c r="D24" s="316"/>
      <c r="E24" s="317"/>
      <c r="F24" s="318"/>
      <c r="G24" s="317"/>
      <c r="H24" s="317"/>
      <c r="I24" s="317"/>
      <c r="J24" s="317"/>
      <c r="K24" s="317"/>
      <c r="L24" s="317"/>
      <c r="M24" s="317"/>
      <c r="N24" s="317"/>
      <c r="O24" s="317"/>
      <c r="P24" s="317"/>
      <c r="Q24" s="317"/>
      <c r="R24" s="317"/>
      <c r="S24" s="317"/>
      <c r="T24" s="317"/>
      <c r="U24" s="317"/>
      <c r="V24" s="317"/>
      <c r="W24" s="317"/>
      <c r="X24" s="317"/>
      <c r="Y24" s="313" t="str">
        <f t="shared" si="1"/>
        <v>　</v>
      </c>
    </row>
    <row r="25" spans="1:25" s="111" customFormat="1" ht="18" customHeight="1">
      <c r="A25" s="317"/>
      <c r="B25" s="317"/>
      <c r="C25" s="317">
        <v>6</v>
      </c>
      <c r="D25" s="316"/>
      <c r="E25" s="317"/>
      <c r="F25" s="318"/>
      <c r="G25" s="317"/>
      <c r="H25" s="317"/>
      <c r="I25" s="317"/>
      <c r="J25" s="317"/>
      <c r="K25" s="317"/>
      <c r="L25" s="317"/>
      <c r="M25" s="317"/>
      <c r="N25" s="317"/>
      <c r="O25" s="317"/>
      <c r="P25" s="317"/>
      <c r="Q25" s="317"/>
      <c r="R25" s="317"/>
      <c r="S25" s="317"/>
      <c r="T25" s="317"/>
      <c r="U25" s="317"/>
      <c r="V25" s="317"/>
      <c r="W25" s="317"/>
      <c r="X25" s="317"/>
      <c r="Y25" s="313" t="str">
        <f t="shared" si="1"/>
        <v>　</v>
      </c>
    </row>
    <row r="26" spans="1:25" s="111" customFormat="1" ht="18" customHeight="1">
      <c r="A26" s="317"/>
      <c r="B26" s="317"/>
      <c r="C26" s="317">
        <v>7</v>
      </c>
      <c r="D26" s="316"/>
      <c r="E26" s="317"/>
      <c r="F26" s="318"/>
      <c r="G26" s="317"/>
      <c r="H26" s="317"/>
      <c r="I26" s="317"/>
      <c r="J26" s="317"/>
      <c r="K26" s="317"/>
      <c r="L26" s="317"/>
      <c r="M26" s="317"/>
      <c r="N26" s="317"/>
      <c r="O26" s="317"/>
      <c r="P26" s="317"/>
      <c r="Q26" s="317"/>
      <c r="R26" s="317"/>
      <c r="S26" s="317"/>
      <c r="T26" s="317"/>
      <c r="U26" s="317"/>
      <c r="V26" s="317"/>
      <c r="W26" s="317"/>
      <c r="X26" s="317"/>
      <c r="Y26" s="313" t="str">
        <f>SUBSTITUTE(SUBSTITUTE(F26," ",""),"　","")&amp;"　"&amp;SUBSTITUTE(G26,"　","")</f>
        <v>　</v>
      </c>
    </row>
    <row r="27" spans="1:25" s="111" customFormat="1" ht="18" customHeight="1">
      <c r="A27" s="317"/>
      <c r="B27" s="317"/>
      <c r="C27" s="317">
        <v>8</v>
      </c>
      <c r="D27" s="316"/>
      <c r="E27" s="317"/>
      <c r="F27" s="319"/>
      <c r="G27" s="313"/>
      <c r="H27" s="313"/>
      <c r="I27" s="313"/>
      <c r="J27" s="313"/>
      <c r="K27" s="313"/>
      <c r="L27" s="313"/>
      <c r="M27" s="313"/>
      <c r="N27" s="313"/>
      <c r="O27" s="313"/>
      <c r="P27" s="313"/>
      <c r="Q27" s="313"/>
      <c r="R27" s="313"/>
      <c r="S27" s="313"/>
      <c r="T27" s="313"/>
      <c r="U27" s="313"/>
      <c r="V27" s="313"/>
      <c r="W27" s="313"/>
      <c r="X27" s="313"/>
      <c r="Y27" s="313" t="str">
        <f>SUBSTITUTE(SUBSTITUTE(F27," ",""),"　","")&amp;"　"&amp;SUBSTITUTE(G27,"　","")</f>
        <v>　</v>
      </c>
    </row>
    <row r="28" spans="1:25" s="111" customFormat="1" ht="18" customHeight="1">
      <c r="A28" s="317"/>
      <c r="B28" s="317"/>
      <c r="C28" s="317">
        <v>9</v>
      </c>
      <c r="D28" s="316"/>
      <c r="E28" s="317"/>
      <c r="F28" s="318"/>
      <c r="G28" s="317"/>
      <c r="H28" s="317"/>
      <c r="I28" s="317"/>
      <c r="J28" s="317"/>
      <c r="K28" s="317"/>
      <c r="L28" s="317"/>
      <c r="M28" s="317"/>
      <c r="N28" s="317"/>
      <c r="O28" s="317"/>
      <c r="P28" s="317"/>
      <c r="Q28" s="317"/>
      <c r="R28" s="317"/>
      <c r="S28" s="317"/>
      <c r="T28" s="317"/>
      <c r="U28" s="317"/>
      <c r="V28" s="317"/>
      <c r="W28" s="317"/>
      <c r="X28" s="317"/>
      <c r="Y28" s="313" t="str">
        <f>SUBSTITUTE(SUBSTITUTE(F28," ",""),"　","")&amp;"　"&amp;SUBSTITUTE(G28,"　","")</f>
        <v>　</v>
      </c>
    </row>
    <row r="29" spans="1:25" s="111" customFormat="1" ht="18" customHeight="1">
      <c r="A29" s="317"/>
      <c r="B29" s="317"/>
      <c r="C29" s="320" t="s">
        <v>10212</v>
      </c>
      <c r="D29" s="316"/>
      <c r="E29" s="317"/>
      <c r="F29" s="318"/>
      <c r="G29" s="317"/>
      <c r="H29" s="317"/>
      <c r="I29" s="317"/>
      <c r="J29" s="317"/>
      <c r="K29" s="317"/>
      <c r="L29" s="317"/>
      <c r="M29" s="317"/>
      <c r="N29" s="317"/>
      <c r="O29" s="317"/>
      <c r="P29" s="317"/>
      <c r="Q29" s="317"/>
      <c r="R29" s="317"/>
      <c r="S29" s="317"/>
      <c r="T29" s="317"/>
      <c r="U29" s="317"/>
      <c r="V29" s="317"/>
      <c r="W29" s="317"/>
      <c r="X29" s="317"/>
      <c r="Y29" s="313" t="str">
        <f>SUBSTITUTE(SUBSTITUTE(F29," ",""),"　","")&amp;"　"&amp;SUBSTITUTE(G29,"　","")</f>
        <v>　</v>
      </c>
    </row>
    <row r="30" spans="1:25" s="111" customFormat="1" ht="18" customHeight="1">
      <c r="D30" s="321"/>
      <c r="Y30" s="322"/>
    </row>
    <row r="31" spans="1:25" ht="18" customHeight="1">
      <c r="A31" s="312" t="s">
        <v>10222</v>
      </c>
      <c r="B31" s="312"/>
      <c r="D31" s="231" t="s">
        <v>10220</v>
      </c>
      <c r="E31" s="231" t="s">
        <v>10221</v>
      </c>
    </row>
    <row r="32" spans="1:25" ht="18" customHeight="1">
      <c r="A32" s="313"/>
      <c r="B32" s="313"/>
      <c r="C32" s="313" t="s">
        <v>9053</v>
      </c>
      <c r="D32" s="313" t="s">
        <v>10194</v>
      </c>
      <c r="E32" s="314" t="s">
        <v>10195</v>
      </c>
      <c r="F32" s="313" t="s">
        <v>2766</v>
      </c>
      <c r="G32" s="313" t="s">
        <v>7357</v>
      </c>
      <c r="H32" s="313" t="s">
        <v>225</v>
      </c>
      <c r="I32" s="313" t="s">
        <v>10196</v>
      </c>
      <c r="J32" s="313" t="s">
        <v>2783</v>
      </c>
      <c r="K32" s="313" t="s">
        <v>10197</v>
      </c>
      <c r="L32" s="313" t="s">
        <v>10198</v>
      </c>
      <c r="M32" s="313" t="s">
        <v>10199</v>
      </c>
      <c r="N32" s="431" t="s">
        <v>9542</v>
      </c>
      <c r="O32" s="431" t="s">
        <v>11030</v>
      </c>
      <c r="P32" s="431" t="s">
        <v>11031</v>
      </c>
      <c r="Q32" s="431" t="s">
        <v>11032</v>
      </c>
      <c r="R32" s="431" t="s">
        <v>10695</v>
      </c>
      <c r="S32" s="431" t="s">
        <v>10966</v>
      </c>
      <c r="T32" s="431" t="s">
        <v>10967</v>
      </c>
      <c r="U32" s="431" t="s">
        <v>11303</v>
      </c>
      <c r="V32" s="431" t="s">
        <v>11305</v>
      </c>
      <c r="W32" s="431" t="s">
        <v>11306</v>
      </c>
      <c r="X32" s="431" t="s">
        <v>11644</v>
      </c>
      <c r="Y32" s="315" t="s">
        <v>10200</v>
      </c>
    </row>
    <row r="33" spans="1:25" ht="18" customHeight="1">
      <c r="A33" s="313"/>
      <c r="B33" s="313"/>
      <c r="C33" s="313">
        <v>1</v>
      </c>
      <c r="D33" s="316">
        <v>35551</v>
      </c>
      <c r="E33" s="317"/>
      <c r="F33" s="318" t="s">
        <v>10211</v>
      </c>
      <c r="G33" s="317" t="s">
        <v>9541</v>
      </c>
      <c r="H33" s="317" t="s">
        <v>10225</v>
      </c>
      <c r="I33" s="317" t="s">
        <v>10226</v>
      </c>
      <c r="J33" s="317" t="s">
        <v>11451</v>
      </c>
      <c r="K33" s="317" t="s">
        <v>10227</v>
      </c>
      <c r="L33" s="317" t="s">
        <v>11453</v>
      </c>
      <c r="M33" s="317"/>
      <c r="N33" s="317" t="s">
        <v>10000</v>
      </c>
      <c r="O33" s="317" t="s">
        <v>11034</v>
      </c>
      <c r="P33" s="317"/>
      <c r="Q33" s="317"/>
      <c r="R33" s="317" t="s">
        <v>11639</v>
      </c>
      <c r="S33" s="317"/>
      <c r="T33" s="317"/>
      <c r="U33" s="317" t="s">
        <v>11308</v>
      </c>
      <c r="V33" s="317" t="s">
        <v>11309</v>
      </c>
      <c r="W33" s="317" t="s">
        <v>11301</v>
      </c>
      <c r="X33" s="317" t="s">
        <v>11653</v>
      </c>
      <c r="Y33" s="313" t="str">
        <f>SUBSTITUTE(SUBSTITUTE(SUBSTITUTE(F33,"株式会社","")," ",""),"　","")&amp;"　"&amp;SUBSTITUTE(SUBSTITUTE(G33,"代表取締役",""),"　","")</f>
        <v>国際確認検査センター　山 田  耕 藏</v>
      </c>
    </row>
    <row r="34" spans="1:25" ht="18" customHeight="1">
      <c r="A34" s="317"/>
      <c r="B34" s="317"/>
      <c r="C34" s="317">
        <v>2</v>
      </c>
      <c r="D34" s="316"/>
      <c r="E34" s="317"/>
      <c r="F34" s="318"/>
      <c r="G34" s="317"/>
      <c r="H34" s="317"/>
      <c r="I34" s="317"/>
      <c r="J34" s="317"/>
      <c r="K34" s="317"/>
      <c r="L34" s="317"/>
      <c r="M34" s="317"/>
      <c r="N34" s="317"/>
      <c r="O34" s="317"/>
      <c r="P34" s="317"/>
      <c r="Q34" s="317"/>
      <c r="R34" s="317"/>
      <c r="S34" s="317"/>
      <c r="T34" s="317"/>
      <c r="U34" s="317"/>
      <c r="V34" s="317"/>
      <c r="W34" s="317"/>
      <c r="X34" s="317" t="s">
        <v>11650</v>
      </c>
      <c r="Y34" s="313" t="str">
        <f>SUBSTITUTE(SUBSTITUTE(F34," ",""),"　","")&amp;"　"&amp;SUBSTITUTE(G34,"　","")</f>
        <v>　</v>
      </c>
    </row>
    <row r="35" spans="1:25" s="111" customFormat="1" ht="18" customHeight="1">
      <c r="A35" s="317"/>
      <c r="B35" s="317"/>
      <c r="C35" s="317">
        <v>3</v>
      </c>
      <c r="D35" s="316"/>
      <c r="E35" s="317"/>
      <c r="F35" s="318"/>
      <c r="G35" s="317"/>
      <c r="H35" s="317"/>
      <c r="I35" s="317"/>
      <c r="J35" s="317"/>
      <c r="K35" s="317"/>
      <c r="L35" s="317"/>
      <c r="M35" s="317"/>
      <c r="N35" s="317"/>
      <c r="O35" s="317"/>
      <c r="P35" s="317"/>
      <c r="Q35" s="317"/>
      <c r="R35" s="317"/>
      <c r="S35" s="317"/>
      <c r="T35" s="317"/>
      <c r="U35" s="317"/>
      <c r="V35" s="317"/>
      <c r="W35" s="317"/>
      <c r="X35" s="317"/>
      <c r="Y35" s="313" t="str">
        <f t="shared" ref="Y35:Y42" si="2">SUBSTITUTE(SUBSTITUTE(F35," ",""),"　","")&amp;"　"&amp;SUBSTITUTE(G35,"　","")</f>
        <v>　</v>
      </c>
    </row>
    <row r="36" spans="1:25" s="111" customFormat="1" ht="18" customHeight="1">
      <c r="A36" s="317"/>
      <c r="B36" s="317"/>
      <c r="C36" s="317">
        <v>4</v>
      </c>
      <c r="D36" s="316"/>
      <c r="E36" s="317"/>
      <c r="F36" s="318"/>
      <c r="G36" s="317"/>
      <c r="H36" s="317"/>
      <c r="I36" s="317"/>
      <c r="J36" s="317"/>
      <c r="K36" s="317"/>
      <c r="L36" s="317"/>
      <c r="M36" s="317"/>
      <c r="N36" s="317"/>
      <c r="O36" s="317"/>
      <c r="P36" s="317"/>
      <c r="Q36" s="317"/>
      <c r="R36" s="317"/>
      <c r="S36" s="317"/>
      <c r="T36" s="317"/>
      <c r="U36" s="317"/>
      <c r="V36" s="317"/>
      <c r="W36" s="317"/>
      <c r="X36" s="317"/>
      <c r="Y36" s="313" t="str">
        <f t="shared" si="2"/>
        <v>　</v>
      </c>
    </row>
    <row r="37" spans="1:25" s="111" customFormat="1" ht="18" customHeight="1">
      <c r="A37" s="317"/>
      <c r="B37" s="317"/>
      <c r="C37" s="317">
        <v>5</v>
      </c>
      <c r="D37" s="316"/>
      <c r="E37" s="317"/>
      <c r="F37" s="318"/>
      <c r="G37" s="317"/>
      <c r="H37" s="317"/>
      <c r="I37" s="317"/>
      <c r="J37" s="317"/>
      <c r="K37" s="317"/>
      <c r="L37" s="317"/>
      <c r="M37" s="317"/>
      <c r="N37" s="317"/>
      <c r="O37" s="317"/>
      <c r="P37" s="317"/>
      <c r="Q37" s="317"/>
      <c r="R37" s="317"/>
      <c r="S37" s="317"/>
      <c r="T37" s="317"/>
      <c r="U37" s="317"/>
      <c r="V37" s="317"/>
      <c r="W37" s="317"/>
      <c r="X37" s="317"/>
      <c r="Y37" s="313" t="str">
        <f t="shared" si="2"/>
        <v>　</v>
      </c>
    </row>
    <row r="38" spans="1:25" s="111" customFormat="1" ht="18" customHeight="1">
      <c r="A38" s="317"/>
      <c r="B38" s="317"/>
      <c r="C38" s="317">
        <v>6</v>
      </c>
      <c r="D38" s="316"/>
      <c r="E38" s="317"/>
      <c r="F38" s="318"/>
      <c r="G38" s="317"/>
      <c r="H38" s="317"/>
      <c r="I38" s="317"/>
      <c r="J38" s="317"/>
      <c r="K38" s="317"/>
      <c r="L38" s="317"/>
      <c r="M38" s="317"/>
      <c r="N38" s="317"/>
      <c r="O38" s="317"/>
      <c r="P38" s="317"/>
      <c r="Q38" s="317"/>
      <c r="R38" s="317"/>
      <c r="S38" s="317"/>
      <c r="T38" s="317"/>
      <c r="U38" s="317"/>
      <c r="V38" s="317"/>
      <c r="W38" s="317"/>
      <c r="X38" s="317"/>
      <c r="Y38" s="313" t="str">
        <f t="shared" si="2"/>
        <v>　</v>
      </c>
    </row>
    <row r="39" spans="1:25" s="111" customFormat="1" ht="18" customHeight="1">
      <c r="A39" s="317"/>
      <c r="B39" s="317"/>
      <c r="C39" s="317">
        <v>7</v>
      </c>
      <c r="D39" s="316"/>
      <c r="E39" s="317"/>
      <c r="F39" s="318"/>
      <c r="G39" s="317"/>
      <c r="H39" s="317"/>
      <c r="I39" s="317"/>
      <c r="J39" s="317"/>
      <c r="K39" s="317"/>
      <c r="L39" s="317"/>
      <c r="M39" s="317"/>
      <c r="N39" s="317"/>
      <c r="O39" s="317"/>
      <c r="P39" s="317"/>
      <c r="Q39" s="317"/>
      <c r="R39" s="317"/>
      <c r="S39" s="317"/>
      <c r="T39" s="317"/>
      <c r="U39" s="317"/>
      <c r="V39" s="317"/>
      <c r="W39" s="317"/>
      <c r="X39" s="317"/>
      <c r="Y39" s="313" t="str">
        <f t="shared" si="2"/>
        <v>　</v>
      </c>
    </row>
    <row r="40" spans="1:25" s="111" customFormat="1" ht="18" customHeight="1">
      <c r="A40" s="317"/>
      <c r="B40" s="317"/>
      <c r="C40" s="317">
        <v>8</v>
      </c>
      <c r="D40" s="316"/>
      <c r="E40" s="317"/>
      <c r="F40" s="319"/>
      <c r="G40" s="313"/>
      <c r="H40" s="313"/>
      <c r="I40" s="313"/>
      <c r="J40" s="313"/>
      <c r="K40" s="313"/>
      <c r="L40" s="313"/>
      <c r="M40" s="313"/>
      <c r="N40" s="313"/>
      <c r="O40" s="313"/>
      <c r="P40" s="313"/>
      <c r="Q40" s="313"/>
      <c r="R40" s="313"/>
      <c r="S40" s="313"/>
      <c r="T40" s="313"/>
      <c r="U40" s="313"/>
      <c r="V40" s="313"/>
      <c r="W40" s="313"/>
      <c r="X40" s="313"/>
      <c r="Y40" s="313" t="str">
        <f t="shared" si="2"/>
        <v>　</v>
      </c>
    </row>
    <row r="41" spans="1:25" s="111" customFormat="1" ht="18" customHeight="1">
      <c r="A41" s="317"/>
      <c r="B41" s="317"/>
      <c r="C41" s="317">
        <v>9</v>
      </c>
      <c r="D41" s="316"/>
      <c r="E41" s="317"/>
      <c r="F41" s="318"/>
      <c r="G41" s="317"/>
      <c r="H41" s="317"/>
      <c r="I41" s="317"/>
      <c r="J41" s="317"/>
      <c r="K41" s="317"/>
      <c r="L41" s="317"/>
      <c r="M41" s="317"/>
      <c r="N41" s="317"/>
      <c r="O41" s="317"/>
      <c r="P41" s="317"/>
      <c r="Q41" s="317"/>
      <c r="R41" s="317"/>
      <c r="S41" s="317"/>
      <c r="T41" s="317"/>
      <c r="U41" s="317"/>
      <c r="V41" s="317"/>
      <c r="W41" s="317"/>
      <c r="X41" s="317"/>
      <c r="Y41" s="313" t="str">
        <f t="shared" si="2"/>
        <v>　</v>
      </c>
    </row>
    <row r="42" spans="1:25" s="111" customFormat="1" ht="18" customHeight="1">
      <c r="A42" s="317"/>
      <c r="B42" s="317"/>
      <c r="C42" s="320" t="s">
        <v>10212</v>
      </c>
      <c r="D42" s="316"/>
      <c r="E42" s="317"/>
      <c r="F42" s="318"/>
      <c r="G42" s="317"/>
      <c r="H42" s="317"/>
      <c r="I42" s="317"/>
      <c r="J42" s="317"/>
      <c r="K42" s="317"/>
      <c r="L42" s="317"/>
      <c r="M42" s="317"/>
      <c r="N42" s="317"/>
      <c r="O42" s="317"/>
      <c r="P42" s="317"/>
      <c r="Q42" s="317"/>
      <c r="R42" s="317"/>
      <c r="S42" s="317"/>
      <c r="T42" s="317"/>
      <c r="U42" s="317"/>
      <c r="V42" s="317"/>
      <c r="W42" s="317"/>
      <c r="X42" s="317"/>
      <c r="Y42" s="313" t="str">
        <f t="shared" si="2"/>
        <v>　</v>
      </c>
    </row>
    <row r="43" spans="1:25" s="111" customFormat="1" ht="18" customHeight="1">
      <c r="D43" s="321"/>
      <c r="Y43" s="322"/>
    </row>
    <row r="44" spans="1:25" ht="18" customHeight="1">
      <c r="A44" s="312"/>
      <c r="B44" s="312"/>
      <c r="D44" s="231" t="s">
        <v>10223</v>
      </c>
      <c r="E44" s="231" t="s">
        <v>10224</v>
      </c>
    </row>
    <row r="45" spans="1:25" ht="18" customHeight="1">
      <c r="A45" s="313"/>
      <c r="B45" s="313"/>
      <c r="C45" s="313" t="s">
        <v>9053</v>
      </c>
      <c r="D45" s="313" t="s">
        <v>10194</v>
      </c>
      <c r="E45" s="314" t="s">
        <v>10195</v>
      </c>
      <c r="F45" s="313" t="s">
        <v>2766</v>
      </c>
      <c r="G45" s="313" t="s">
        <v>7357</v>
      </c>
      <c r="H45" s="313" t="s">
        <v>225</v>
      </c>
      <c r="I45" s="313" t="s">
        <v>10196</v>
      </c>
      <c r="J45" s="313" t="s">
        <v>2783</v>
      </c>
      <c r="K45" s="313" t="s">
        <v>10197</v>
      </c>
      <c r="L45" s="313" t="s">
        <v>10198</v>
      </c>
      <c r="M45" s="313" t="s">
        <v>10199</v>
      </c>
      <c r="N45" s="431" t="s">
        <v>9542</v>
      </c>
      <c r="O45" s="431" t="s">
        <v>11030</v>
      </c>
      <c r="P45" s="431" t="s">
        <v>11031</v>
      </c>
      <c r="Q45" s="431" t="s">
        <v>11032</v>
      </c>
      <c r="R45" s="431" t="s">
        <v>10695</v>
      </c>
      <c r="S45" s="431" t="s">
        <v>10966</v>
      </c>
      <c r="T45" s="431" t="s">
        <v>10967</v>
      </c>
      <c r="U45" s="431" t="s">
        <v>11303</v>
      </c>
      <c r="V45" s="431" t="s">
        <v>11305</v>
      </c>
      <c r="W45" s="431" t="s">
        <v>11306</v>
      </c>
      <c r="X45" s="431" t="s">
        <v>11644</v>
      </c>
      <c r="Y45" s="315" t="s">
        <v>10200</v>
      </c>
    </row>
    <row r="46" spans="1:25" ht="18" customHeight="1">
      <c r="A46" s="313"/>
      <c r="B46" s="313"/>
      <c r="C46" s="313">
        <v>1</v>
      </c>
      <c r="D46" s="316">
        <v>35551</v>
      </c>
      <c r="E46" s="317"/>
      <c r="F46" s="319"/>
      <c r="G46" s="313"/>
      <c r="H46" s="313"/>
      <c r="I46" s="313"/>
      <c r="J46" s="313"/>
      <c r="K46" s="313"/>
      <c r="L46" s="313"/>
      <c r="M46" s="313"/>
      <c r="N46" s="313"/>
      <c r="O46" s="313"/>
      <c r="P46" s="313"/>
      <c r="Q46" s="313"/>
      <c r="R46" s="313"/>
      <c r="S46" s="313"/>
      <c r="T46" s="313"/>
      <c r="U46" s="313"/>
      <c r="V46" s="313"/>
      <c r="W46" s="313"/>
      <c r="X46" s="313"/>
      <c r="Y46" s="313"/>
    </row>
    <row r="47" spans="1:25" ht="18" customHeight="1">
      <c r="A47" s="317"/>
      <c r="B47" s="317"/>
      <c r="C47" s="317">
        <v>2</v>
      </c>
      <c r="D47" s="316"/>
      <c r="E47" s="317"/>
      <c r="F47" s="319"/>
      <c r="G47" s="313"/>
      <c r="H47" s="313"/>
      <c r="I47" s="313"/>
      <c r="J47" s="313"/>
      <c r="K47" s="313"/>
      <c r="L47" s="313"/>
      <c r="M47" s="313"/>
      <c r="N47" s="313"/>
      <c r="O47" s="313"/>
      <c r="P47" s="313"/>
      <c r="Q47" s="313"/>
      <c r="R47" s="313"/>
      <c r="S47" s="313"/>
      <c r="T47" s="313"/>
      <c r="U47" s="313"/>
      <c r="V47" s="313"/>
      <c r="W47" s="313"/>
      <c r="X47" s="313"/>
      <c r="Y47" s="313"/>
    </row>
    <row r="48" spans="1:25" s="111" customFormat="1" ht="18" customHeight="1">
      <c r="A48" s="317"/>
      <c r="B48" s="317"/>
      <c r="C48" s="317">
        <v>3</v>
      </c>
      <c r="D48" s="316"/>
      <c r="E48" s="317"/>
      <c r="F48" s="318"/>
      <c r="G48" s="317"/>
      <c r="H48" s="317"/>
      <c r="I48" s="317"/>
      <c r="J48" s="317"/>
      <c r="K48" s="317"/>
      <c r="L48" s="317"/>
      <c r="M48" s="317"/>
      <c r="N48" s="317"/>
      <c r="O48" s="317"/>
      <c r="P48" s="317"/>
      <c r="Q48" s="317"/>
      <c r="R48" s="317"/>
      <c r="S48" s="317"/>
      <c r="T48" s="317"/>
      <c r="U48" s="317"/>
      <c r="V48" s="317"/>
      <c r="W48" s="317"/>
      <c r="X48" s="317"/>
      <c r="Y48" s="313" t="str">
        <f t="shared" ref="Y48:Y55" si="3">SUBSTITUTE(SUBSTITUTE(F48," ",""),"　","")&amp;"　"&amp;SUBSTITUTE(G48,"　","")</f>
        <v>　</v>
      </c>
    </row>
    <row r="49" spans="1:25" s="111" customFormat="1" ht="18" customHeight="1">
      <c r="A49" s="317"/>
      <c r="B49" s="317"/>
      <c r="C49" s="317">
        <v>4</v>
      </c>
      <c r="D49" s="316"/>
      <c r="E49" s="317"/>
      <c r="F49" s="318"/>
      <c r="G49" s="317"/>
      <c r="H49" s="317"/>
      <c r="I49" s="317"/>
      <c r="J49" s="317"/>
      <c r="K49" s="317"/>
      <c r="L49" s="317"/>
      <c r="M49" s="317"/>
      <c r="N49" s="317"/>
      <c r="O49" s="317"/>
      <c r="P49" s="317"/>
      <c r="Q49" s="317"/>
      <c r="R49" s="317"/>
      <c r="S49" s="317"/>
      <c r="T49" s="317"/>
      <c r="U49" s="317"/>
      <c r="V49" s="317"/>
      <c r="W49" s="317"/>
      <c r="X49" s="317"/>
      <c r="Y49" s="313" t="str">
        <f t="shared" si="3"/>
        <v>　</v>
      </c>
    </row>
    <row r="50" spans="1:25" s="111" customFormat="1" ht="18" customHeight="1">
      <c r="A50" s="317"/>
      <c r="B50" s="317"/>
      <c r="C50" s="317">
        <v>5</v>
      </c>
      <c r="D50" s="316"/>
      <c r="E50" s="317"/>
      <c r="F50" s="318"/>
      <c r="G50" s="317"/>
      <c r="H50" s="317"/>
      <c r="I50" s="317"/>
      <c r="J50" s="317"/>
      <c r="K50" s="317"/>
      <c r="L50" s="317"/>
      <c r="M50" s="317"/>
      <c r="N50" s="317"/>
      <c r="O50" s="317"/>
      <c r="P50" s="317"/>
      <c r="Q50" s="317"/>
      <c r="R50" s="317"/>
      <c r="S50" s="317"/>
      <c r="T50" s="317"/>
      <c r="U50" s="317"/>
      <c r="V50" s="317"/>
      <c r="W50" s="317"/>
      <c r="X50" s="317"/>
      <c r="Y50" s="313" t="str">
        <f t="shared" si="3"/>
        <v>　</v>
      </c>
    </row>
    <row r="51" spans="1:25" s="111" customFormat="1" ht="18" customHeight="1">
      <c r="A51" s="317"/>
      <c r="B51" s="317"/>
      <c r="C51" s="317">
        <v>6</v>
      </c>
      <c r="D51" s="316"/>
      <c r="E51" s="317"/>
      <c r="F51" s="318"/>
      <c r="G51" s="317"/>
      <c r="H51" s="317"/>
      <c r="I51" s="317"/>
      <c r="J51" s="317"/>
      <c r="K51" s="317"/>
      <c r="L51" s="317"/>
      <c r="M51" s="317"/>
      <c r="N51" s="317"/>
      <c r="O51" s="317"/>
      <c r="P51" s="317"/>
      <c r="Q51" s="317"/>
      <c r="R51" s="317"/>
      <c r="S51" s="317"/>
      <c r="T51" s="317"/>
      <c r="U51" s="317"/>
      <c r="V51" s="317"/>
      <c r="W51" s="317"/>
      <c r="X51" s="317"/>
      <c r="Y51" s="313" t="str">
        <f t="shared" si="3"/>
        <v>　</v>
      </c>
    </row>
    <row r="52" spans="1:25" s="111" customFormat="1" ht="18" customHeight="1">
      <c r="A52" s="317"/>
      <c r="B52" s="317"/>
      <c r="C52" s="317">
        <v>7</v>
      </c>
      <c r="D52" s="316"/>
      <c r="E52" s="317"/>
      <c r="F52" s="318"/>
      <c r="G52" s="317"/>
      <c r="H52" s="317"/>
      <c r="I52" s="317"/>
      <c r="J52" s="317"/>
      <c r="K52" s="317"/>
      <c r="L52" s="317"/>
      <c r="M52" s="317"/>
      <c r="N52" s="317"/>
      <c r="O52" s="317"/>
      <c r="P52" s="317"/>
      <c r="Q52" s="317"/>
      <c r="R52" s="317"/>
      <c r="S52" s="317"/>
      <c r="T52" s="317"/>
      <c r="U52" s="317"/>
      <c r="V52" s="317"/>
      <c r="W52" s="317"/>
      <c r="X52" s="317"/>
      <c r="Y52" s="313" t="str">
        <f t="shared" si="3"/>
        <v>　</v>
      </c>
    </row>
    <row r="53" spans="1:25" s="111" customFormat="1" ht="18" customHeight="1">
      <c r="A53" s="317"/>
      <c r="B53" s="317"/>
      <c r="C53" s="317">
        <v>8</v>
      </c>
      <c r="D53" s="316"/>
      <c r="E53" s="317"/>
      <c r="F53" s="319"/>
      <c r="G53" s="313"/>
      <c r="H53" s="313"/>
      <c r="I53" s="313"/>
      <c r="J53" s="313"/>
      <c r="K53" s="313"/>
      <c r="L53" s="313"/>
      <c r="M53" s="313"/>
      <c r="N53" s="313"/>
      <c r="O53" s="313"/>
      <c r="P53" s="313"/>
      <c r="Q53" s="313"/>
      <c r="R53" s="313"/>
      <c r="S53" s="313"/>
      <c r="T53" s="313"/>
      <c r="U53" s="313"/>
      <c r="V53" s="313"/>
      <c r="W53" s="313"/>
      <c r="X53" s="313"/>
      <c r="Y53" s="313" t="str">
        <f t="shared" si="3"/>
        <v>　</v>
      </c>
    </row>
    <row r="54" spans="1:25" s="111" customFormat="1" ht="18" customHeight="1">
      <c r="A54" s="317"/>
      <c r="B54" s="317"/>
      <c r="C54" s="317">
        <v>9</v>
      </c>
      <c r="D54" s="316"/>
      <c r="E54" s="317"/>
      <c r="F54" s="318"/>
      <c r="G54" s="317"/>
      <c r="H54" s="317"/>
      <c r="I54" s="317"/>
      <c r="J54" s="317"/>
      <c r="K54" s="317"/>
      <c r="L54" s="317"/>
      <c r="M54" s="317"/>
      <c r="N54" s="317"/>
      <c r="O54" s="317"/>
      <c r="P54" s="317"/>
      <c r="Q54" s="317"/>
      <c r="R54" s="317"/>
      <c r="S54" s="317"/>
      <c r="T54" s="317"/>
      <c r="U54" s="317"/>
      <c r="V54" s="317"/>
      <c r="W54" s="317"/>
      <c r="X54" s="317"/>
      <c r="Y54" s="313" t="str">
        <f t="shared" si="3"/>
        <v>　</v>
      </c>
    </row>
    <row r="55" spans="1:25" s="111" customFormat="1" ht="18" customHeight="1">
      <c r="A55" s="317"/>
      <c r="B55" s="317"/>
      <c r="C55" s="320" t="s">
        <v>10212</v>
      </c>
      <c r="D55" s="316"/>
      <c r="E55" s="317"/>
      <c r="F55" s="318"/>
      <c r="G55" s="317"/>
      <c r="H55" s="317"/>
      <c r="I55" s="317"/>
      <c r="J55" s="317"/>
      <c r="K55" s="317"/>
      <c r="L55" s="317"/>
      <c r="M55" s="317"/>
      <c r="N55" s="317"/>
      <c r="O55" s="317"/>
      <c r="P55" s="317"/>
      <c r="Q55" s="317"/>
      <c r="R55" s="317"/>
      <c r="S55" s="317"/>
      <c r="T55" s="317"/>
      <c r="U55" s="317"/>
      <c r="V55" s="317"/>
      <c r="W55" s="317"/>
      <c r="X55" s="317"/>
      <c r="Y55" s="313" t="str">
        <f t="shared" si="3"/>
        <v>　</v>
      </c>
    </row>
    <row r="56" spans="1:25" s="111" customFormat="1" ht="18" customHeight="1">
      <c r="D56" s="321"/>
      <c r="Y56" s="322"/>
    </row>
    <row r="57" spans="1:25" ht="18" customHeight="1">
      <c r="A57" s="312"/>
      <c r="B57" s="312"/>
      <c r="D57" s="231" t="s">
        <v>10228</v>
      </c>
      <c r="E57" s="231" t="s">
        <v>10229</v>
      </c>
    </row>
    <row r="58" spans="1:25" ht="18" customHeight="1">
      <c r="A58" s="313"/>
      <c r="B58" s="313"/>
      <c r="C58" s="313" t="s">
        <v>9053</v>
      </c>
      <c r="D58" s="313" t="s">
        <v>10194</v>
      </c>
      <c r="E58" s="314" t="s">
        <v>10195</v>
      </c>
      <c r="F58" s="313" t="s">
        <v>2766</v>
      </c>
      <c r="G58" s="313" t="s">
        <v>7357</v>
      </c>
      <c r="H58" s="313" t="s">
        <v>225</v>
      </c>
      <c r="I58" s="313" t="s">
        <v>10196</v>
      </c>
      <c r="J58" s="313" t="s">
        <v>2783</v>
      </c>
      <c r="K58" s="313" t="s">
        <v>10197</v>
      </c>
      <c r="L58" s="313" t="s">
        <v>10198</v>
      </c>
      <c r="M58" s="313" t="s">
        <v>10199</v>
      </c>
      <c r="N58" s="431" t="s">
        <v>9542</v>
      </c>
      <c r="O58" s="431" t="s">
        <v>11030</v>
      </c>
      <c r="P58" s="431" t="s">
        <v>11031</v>
      </c>
      <c r="Q58" s="431" t="s">
        <v>11032</v>
      </c>
      <c r="R58" s="431" t="s">
        <v>10695</v>
      </c>
      <c r="S58" s="431" t="s">
        <v>10966</v>
      </c>
      <c r="T58" s="431" t="s">
        <v>10967</v>
      </c>
      <c r="U58" s="431" t="s">
        <v>11303</v>
      </c>
      <c r="V58" s="431" t="s">
        <v>11305</v>
      </c>
      <c r="W58" s="431" t="s">
        <v>11306</v>
      </c>
      <c r="X58" s="431" t="s">
        <v>11644</v>
      </c>
      <c r="Y58" s="315" t="s">
        <v>10200</v>
      </c>
    </row>
    <row r="59" spans="1:25" ht="18" customHeight="1">
      <c r="A59" s="313"/>
      <c r="B59" s="313"/>
      <c r="C59" s="313">
        <v>1</v>
      </c>
      <c r="D59" s="316">
        <v>35551</v>
      </c>
      <c r="E59" s="317"/>
      <c r="F59" s="319"/>
      <c r="G59" s="313"/>
      <c r="H59" s="313"/>
      <c r="I59" s="313"/>
      <c r="J59" s="313"/>
      <c r="K59" s="313"/>
      <c r="L59" s="313"/>
      <c r="M59" s="313"/>
      <c r="N59" s="313"/>
      <c r="O59" s="313"/>
      <c r="P59" s="313"/>
      <c r="Q59" s="313"/>
      <c r="R59" s="313"/>
      <c r="S59" s="313"/>
      <c r="T59" s="313"/>
      <c r="U59" s="313"/>
      <c r="V59" s="313"/>
      <c r="W59" s="313"/>
      <c r="X59" s="313"/>
      <c r="Y59" s="313"/>
    </row>
    <row r="60" spans="1:25" ht="18" customHeight="1">
      <c r="A60" s="317"/>
      <c r="B60" s="317"/>
      <c r="C60" s="317">
        <v>2</v>
      </c>
      <c r="D60" s="316"/>
      <c r="E60" s="317"/>
      <c r="F60" s="319"/>
      <c r="G60" s="313"/>
      <c r="H60" s="313"/>
      <c r="I60" s="313"/>
      <c r="J60" s="313"/>
      <c r="K60" s="313"/>
      <c r="L60" s="313"/>
      <c r="M60" s="313"/>
      <c r="N60" s="313"/>
      <c r="O60" s="313"/>
      <c r="P60" s="313"/>
      <c r="Q60" s="313"/>
      <c r="R60" s="522"/>
      <c r="S60" s="313"/>
      <c r="T60" s="313"/>
      <c r="U60" s="313"/>
      <c r="V60" s="313"/>
      <c r="W60" s="313"/>
      <c r="X60" s="313"/>
      <c r="Y60" s="313"/>
    </row>
    <row r="61" spans="1:25" s="111" customFormat="1" ht="18" customHeight="1">
      <c r="A61" s="317"/>
      <c r="B61" s="317"/>
      <c r="C61" s="317">
        <v>3</v>
      </c>
      <c r="D61" s="316"/>
      <c r="E61" s="317"/>
      <c r="F61" s="318"/>
      <c r="G61" s="317"/>
      <c r="H61" s="317"/>
      <c r="I61" s="317"/>
      <c r="J61" s="317"/>
      <c r="K61" s="317"/>
      <c r="L61" s="317"/>
      <c r="M61" s="317"/>
      <c r="N61" s="317"/>
      <c r="O61" s="317"/>
      <c r="P61" s="317"/>
      <c r="Q61" s="317"/>
      <c r="R61" s="317"/>
      <c r="S61" s="317"/>
      <c r="T61" s="317"/>
      <c r="U61" s="317"/>
      <c r="V61" s="317"/>
      <c r="W61" s="317"/>
      <c r="X61" s="317"/>
      <c r="Y61" s="313"/>
    </row>
    <row r="62" spans="1:25" s="111" customFormat="1" ht="18" customHeight="1">
      <c r="A62" s="317"/>
      <c r="B62" s="317"/>
      <c r="C62" s="317">
        <v>4</v>
      </c>
      <c r="D62" s="316"/>
      <c r="E62" s="317"/>
      <c r="F62" s="318"/>
      <c r="G62" s="317"/>
      <c r="H62" s="317"/>
      <c r="I62" s="317"/>
      <c r="J62" s="317"/>
      <c r="K62" s="317"/>
      <c r="L62" s="317"/>
      <c r="M62" s="317"/>
      <c r="N62" s="317"/>
      <c r="O62" s="317"/>
      <c r="P62" s="317"/>
      <c r="Q62" s="317"/>
      <c r="R62" s="317"/>
      <c r="S62" s="317"/>
      <c r="T62" s="317"/>
      <c r="U62" s="317"/>
      <c r="V62" s="317"/>
      <c r="W62" s="317"/>
      <c r="X62" s="317"/>
      <c r="Y62" s="313" t="str">
        <f t="shared" ref="Y62:Y68" si="4">SUBSTITUTE(SUBSTITUTE(F62," ",""),"　","")&amp;"　"&amp;SUBSTITUTE(G62,"　","")</f>
        <v>　</v>
      </c>
    </row>
    <row r="63" spans="1:25" s="111" customFormat="1" ht="18" customHeight="1">
      <c r="A63" s="317"/>
      <c r="B63" s="317"/>
      <c r="C63" s="317">
        <v>5</v>
      </c>
      <c r="D63" s="316"/>
      <c r="E63" s="317"/>
      <c r="F63" s="318"/>
      <c r="G63" s="317"/>
      <c r="H63" s="317"/>
      <c r="I63" s="317"/>
      <c r="J63" s="317"/>
      <c r="K63" s="317"/>
      <c r="L63" s="317"/>
      <c r="M63" s="317"/>
      <c r="N63" s="317"/>
      <c r="O63" s="317"/>
      <c r="P63" s="317"/>
      <c r="Q63" s="317"/>
      <c r="R63" s="317"/>
      <c r="S63" s="317"/>
      <c r="T63" s="317"/>
      <c r="U63" s="317"/>
      <c r="V63" s="317"/>
      <c r="W63" s="317"/>
      <c r="X63" s="317"/>
      <c r="Y63" s="313" t="str">
        <f t="shared" si="4"/>
        <v>　</v>
      </c>
    </row>
    <row r="64" spans="1:25" s="111" customFormat="1" ht="18" customHeight="1">
      <c r="A64" s="317"/>
      <c r="B64" s="317"/>
      <c r="C64" s="317">
        <v>6</v>
      </c>
      <c r="D64" s="316"/>
      <c r="E64" s="317"/>
      <c r="F64" s="318"/>
      <c r="G64" s="317"/>
      <c r="H64" s="317"/>
      <c r="I64" s="317"/>
      <c r="J64" s="317"/>
      <c r="K64" s="317"/>
      <c r="L64" s="317"/>
      <c r="M64" s="317"/>
      <c r="N64" s="317"/>
      <c r="O64" s="317"/>
      <c r="P64" s="317"/>
      <c r="Q64" s="317"/>
      <c r="R64" s="317"/>
      <c r="S64" s="317"/>
      <c r="T64" s="317"/>
      <c r="U64" s="317"/>
      <c r="V64" s="317"/>
      <c r="W64" s="317"/>
      <c r="X64" s="317"/>
      <c r="Y64" s="313" t="str">
        <f t="shared" si="4"/>
        <v>　</v>
      </c>
    </row>
    <row r="65" spans="1:25" s="111" customFormat="1" ht="18" customHeight="1">
      <c r="A65" s="317"/>
      <c r="B65" s="317"/>
      <c r="C65" s="317">
        <v>7</v>
      </c>
      <c r="D65" s="316"/>
      <c r="E65" s="317"/>
      <c r="F65" s="318"/>
      <c r="G65" s="317"/>
      <c r="H65" s="317"/>
      <c r="I65" s="317"/>
      <c r="J65" s="317"/>
      <c r="K65" s="317"/>
      <c r="L65" s="317"/>
      <c r="M65" s="317"/>
      <c r="N65" s="317"/>
      <c r="O65" s="317"/>
      <c r="P65" s="317"/>
      <c r="Q65" s="317"/>
      <c r="R65" s="317"/>
      <c r="S65" s="317"/>
      <c r="T65" s="317"/>
      <c r="U65" s="317"/>
      <c r="V65" s="317"/>
      <c r="W65" s="317"/>
      <c r="X65" s="317"/>
      <c r="Y65" s="313" t="str">
        <f t="shared" si="4"/>
        <v>　</v>
      </c>
    </row>
    <row r="66" spans="1:25" s="111" customFormat="1" ht="18" customHeight="1">
      <c r="A66" s="317"/>
      <c r="B66" s="317"/>
      <c r="C66" s="317">
        <v>8</v>
      </c>
      <c r="D66" s="316"/>
      <c r="E66" s="317"/>
      <c r="F66" s="319"/>
      <c r="G66" s="313"/>
      <c r="H66" s="313"/>
      <c r="I66" s="313"/>
      <c r="J66" s="313"/>
      <c r="K66" s="313"/>
      <c r="L66" s="313"/>
      <c r="M66" s="313"/>
      <c r="N66" s="313"/>
      <c r="O66" s="313"/>
      <c r="P66" s="313"/>
      <c r="Q66" s="313"/>
      <c r="R66" s="313"/>
      <c r="S66" s="313"/>
      <c r="T66" s="313"/>
      <c r="U66" s="313"/>
      <c r="V66" s="313"/>
      <c r="W66" s="313"/>
      <c r="X66" s="313"/>
      <c r="Y66" s="313" t="str">
        <f t="shared" si="4"/>
        <v>　</v>
      </c>
    </row>
    <row r="67" spans="1:25" s="111" customFormat="1" ht="18" customHeight="1">
      <c r="A67" s="317"/>
      <c r="B67" s="317"/>
      <c r="C67" s="317">
        <v>9</v>
      </c>
      <c r="D67" s="316"/>
      <c r="E67" s="317"/>
      <c r="F67" s="318"/>
      <c r="G67" s="317"/>
      <c r="H67" s="317"/>
      <c r="I67" s="317"/>
      <c r="J67" s="317"/>
      <c r="K67" s="317"/>
      <c r="L67" s="317"/>
      <c r="M67" s="317"/>
      <c r="N67" s="317"/>
      <c r="O67" s="317"/>
      <c r="P67" s="317"/>
      <c r="Q67" s="317"/>
      <c r="R67" s="317"/>
      <c r="S67" s="317"/>
      <c r="T67" s="317"/>
      <c r="U67" s="317"/>
      <c r="V67" s="317"/>
      <c r="W67" s="317"/>
      <c r="X67" s="317"/>
      <c r="Y67" s="313" t="str">
        <f t="shared" si="4"/>
        <v>　</v>
      </c>
    </row>
    <row r="68" spans="1:25" s="111" customFormat="1" ht="18" customHeight="1">
      <c r="A68" s="317"/>
      <c r="B68" s="317"/>
      <c r="C68" s="320" t="s">
        <v>10212</v>
      </c>
      <c r="D68" s="316"/>
      <c r="E68" s="317"/>
      <c r="F68" s="318"/>
      <c r="G68" s="317"/>
      <c r="H68" s="317"/>
      <c r="I68" s="317"/>
      <c r="J68" s="317"/>
      <c r="K68" s="317"/>
      <c r="L68" s="317"/>
      <c r="M68" s="317"/>
      <c r="N68" s="317"/>
      <c r="O68" s="317"/>
      <c r="P68" s="317"/>
      <c r="Q68" s="317"/>
      <c r="R68" s="317"/>
      <c r="S68" s="317"/>
      <c r="T68" s="317"/>
      <c r="U68" s="317"/>
      <c r="V68" s="317"/>
      <c r="W68" s="317"/>
      <c r="X68" s="317"/>
      <c r="Y68" s="313" t="str">
        <f t="shared" si="4"/>
        <v>　</v>
      </c>
    </row>
    <row r="69" spans="1:25" s="111" customFormat="1" ht="18" customHeight="1">
      <c r="A69" s="111" t="s">
        <v>10201</v>
      </c>
      <c r="D69" s="321"/>
      <c r="Y69" s="322"/>
    </row>
    <row r="70" spans="1:25" s="111" customFormat="1" ht="18" customHeight="1">
      <c r="A70" s="111" t="s">
        <v>10202</v>
      </c>
      <c r="D70" s="321"/>
      <c r="Y70" s="322"/>
    </row>
    <row r="71" spans="1:25" s="27" customFormat="1" ht="18" customHeight="1">
      <c r="B71" s="14"/>
      <c r="C71" s="14"/>
    </row>
    <row r="72" spans="1:25" ht="18" customHeight="1">
      <c r="A72" s="312" t="s">
        <v>10203</v>
      </c>
      <c r="B72" s="312"/>
      <c r="C72" s="312"/>
      <c r="D72" s="312"/>
      <c r="Y72" s="231"/>
    </row>
    <row r="73" spans="1:25" s="323" customFormat="1" ht="18" customHeight="1">
      <c r="B73" s="323" t="s">
        <v>10204</v>
      </c>
    </row>
    <row r="74" spans="1:25" s="323" customFormat="1" ht="18" customHeight="1"/>
    <row r="75" spans="1:25" s="323" customFormat="1" ht="18" customHeight="1"/>
    <row r="76" spans="1:25" s="323" customFormat="1" ht="18" customHeight="1"/>
    <row r="77" spans="1:25" s="323" customFormat="1" ht="18" customHeight="1">
      <c r="E77" s="323" t="s">
        <v>10682</v>
      </c>
      <c r="F77" s="119">
        <v>1</v>
      </c>
    </row>
    <row r="78" spans="1:25" s="323" customFormat="1" ht="18" customHeight="1"/>
    <row r="79" spans="1:25" s="323" customFormat="1" ht="18" customHeight="1">
      <c r="B79" s="323" t="s">
        <v>10205</v>
      </c>
      <c r="E79" s="323" t="s">
        <v>10230</v>
      </c>
      <c r="F79" s="119" t="s">
        <v>2576</v>
      </c>
      <c r="G79" s="324">
        <v>1</v>
      </c>
      <c r="H79" s="324"/>
    </row>
    <row r="80" spans="1:25" s="323" customFormat="1" ht="18" customHeight="1">
      <c r="F80" s="119" t="s">
        <v>10213</v>
      </c>
      <c r="G80" s="324">
        <v>2</v>
      </c>
      <c r="H80" s="324"/>
    </row>
    <row r="81" spans="1:28" s="323" customFormat="1" ht="18" customHeight="1">
      <c r="F81" s="119" t="s">
        <v>11760</v>
      </c>
      <c r="G81" s="324">
        <v>3</v>
      </c>
      <c r="H81" s="324"/>
    </row>
    <row r="82" spans="1:28" s="323" customFormat="1" ht="18" customHeight="1">
      <c r="F82" s="119"/>
      <c r="G82" s="324">
        <v>4</v>
      </c>
      <c r="H82" s="324"/>
    </row>
    <row r="83" spans="1:28" s="323" customFormat="1" ht="18" customHeight="1">
      <c r="F83" s="119"/>
      <c r="G83" s="324">
        <v>5</v>
      </c>
      <c r="H83" s="324"/>
    </row>
    <row r="84" spans="1:28" s="323" customFormat="1" ht="18" customHeight="1"/>
    <row r="85" spans="1:28" s="27" customFormat="1" ht="18" customHeight="1">
      <c r="A85" s="14"/>
      <c r="B85" s="14" t="s">
        <v>10206</v>
      </c>
      <c r="E85" s="146" t="s">
        <v>10231</v>
      </c>
      <c r="F85" s="28">
        <f>IF(shinsei_UKETUKE_OFFICE_ID__OFFICE_NAME="",1,IF(ISERROR(MATCH(shinsei_UKETUKE_OFFICE_ID__OFFICE_NAME,don_OFFICE__search_erea_CIAS,0)),1,MATCH(shinsei_UKETUKE_OFFICE_ID__OFFICE_NAME,don_OFFICE__search_erea_CIAS,0)))</f>
        <v>2</v>
      </c>
      <c r="G85" s="40">
        <f>IF(shinsei_UKETUKE_OFFICE_ID__OFFICE_NAME="",1,IF(ISERROR(MATCH(shinsei_UKETUKE_OFFICE_ID__OFFICE_NAME,don_OFFICE__search_erea_CIAS,0)),1,MATCH(shinsei_UKETUKE_OFFICE_ID__OFFICE_NAME,don_OFFICE__search_erea_CIAS,0)))</f>
        <v>2</v>
      </c>
      <c r="AB85" s="27" t="s">
        <v>10207</v>
      </c>
    </row>
    <row r="86" spans="1:28" s="27" customFormat="1" ht="18" customHeight="1">
      <c r="A86" s="14"/>
      <c r="B86" s="14"/>
      <c r="C86" s="14"/>
    </row>
    <row r="87" spans="1:28" s="27" customFormat="1" ht="18" customHeight="1">
      <c r="A87" s="14"/>
      <c r="B87" s="14"/>
      <c r="C87" s="14"/>
    </row>
    <row r="88" spans="1:28" s="27" customFormat="1" ht="18" customHeight="1">
      <c r="A88" s="14"/>
      <c r="B88" s="14"/>
      <c r="C88" s="14"/>
    </row>
    <row r="89" spans="1:28" s="27" customFormat="1" ht="18" customHeight="1">
      <c r="A89" s="14"/>
      <c r="B89" s="14"/>
      <c r="C89" s="14"/>
    </row>
    <row r="90" spans="1:28" s="27" customFormat="1" ht="18" customHeight="1">
      <c r="A90" s="26" t="s">
        <v>10232</v>
      </c>
      <c r="B90" s="26"/>
      <c r="C90" s="26"/>
      <c r="D90" s="28"/>
    </row>
    <row r="91" spans="1:28" ht="18" customHeight="1">
      <c r="E91" s="231" t="s">
        <v>10233</v>
      </c>
      <c r="F91" s="325" t="str">
        <f ca="1">IF(config_CUSTOM_CODE="","ERROR",IF(ISERROR(INDIRECT("don_OFFICE__code_"&amp;config_CUSTOM_CODE)),"ERROR","don_BasePoint"&amp;INDIRECT("don_OFFICE__code_"&amp;config_CUSTOM_CODE)&amp;"_"&amp;config_CUSTOM_CODE))</f>
        <v>don_BasePoint2_CIAS</v>
      </c>
      <c r="Y91" s="231"/>
    </row>
    <row r="92" spans="1:28" ht="18" customHeight="1">
      <c r="E92" s="231" t="s">
        <v>10234</v>
      </c>
      <c r="F92" s="325" t="str">
        <f ca="1">IF(config_CUSTOM_CODE="","ERROR",IF(ISERROR(INDIRECT("don_OFFICE__code_"&amp;config_CUSTOM_CODE)),"ERROR","don_SearchErea"&amp;INDIRECT("don_OFFICE__code_"&amp;config_CUSTOM_CODE)&amp;"_"&amp;config_CUSTOM_CODE))</f>
        <v>don_SearchErea2_CIAS</v>
      </c>
      <c r="Y92" s="231"/>
    </row>
    <row r="93" spans="1:28" s="27" customFormat="1" ht="18" customHeight="1">
      <c r="A93" s="14"/>
      <c r="B93" s="14"/>
      <c r="C93" s="14"/>
    </row>
    <row r="94" spans="1:28" s="27" customFormat="1" ht="18" customHeight="1">
      <c r="A94" s="14"/>
      <c r="B94" s="14"/>
      <c r="C94" s="14"/>
    </row>
    <row r="95" spans="1:28" ht="18" customHeight="1">
      <c r="A95" s="267" t="s">
        <v>10235</v>
      </c>
      <c r="B95" s="267"/>
      <c r="C95" s="267"/>
      <c r="D95" s="267"/>
    </row>
    <row r="96" spans="1:28" ht="18" customHeight="1">
      <c r="H96" s="1"/>
      <c r="I96" s="1"/>
      <c r="J96" s="1"/>
      <c r="K96" s="1"/>
      <c r="L96" s="1"/>
      <c r="M96" s="1"/>
      <c r="N96" s="1"/>
      <c r="O96" s="1"/>
      <c r="P96" s="1"/>
      <c r="Q96" s="1"/>
      <c r="R96" s="1"/>
      <c r="S96" s="1"/>
      <c r="T96" s="1"/>
      <c r="U96" s="1"/>
      <c r="V96" s="1"/>
      <c r="W96" s="1"/>
      <c r="X96" s="1"/>
      <c r="Y96" s="231"/>
    </row>
    <row r="97" spans="1:25" s="1" customFormat="1" ht="18" customHeight="1">
      <c r="G97" s="326" t="s">
        <v>10236</v>
      </c>
      <c r="H97" s="327" t="str">
        <f>config_CUSTOM_CODE</f>
        <v>CIAS</v>
      </c>
      <c r="I97" s="328"/>
      <c r="J97" s="328"/>
      <c r="K97" s="328"/>
      <c r="L97" s="328"/>
      <c r="M97" s="328"/>
      <c r="N97" s="328"/>
      <c r="O97" s="328"/>
      <c r="P97" s="328"/>
      <c r="Q97" s="328"/>
      <c r="R97" s="328"/>
      <c r="S97" s="328"/>
      <c r="T97" s="328"/>
      <c r="U97" s="328"/>
      <c r="V97" s="328"/>
      <c r="W97" s="328"/>
      <c r="X97" s="328"/>
    </row>
    <row r="98" spans="1:25" ht="18" customHeight="1">
      <c r="G98" s="111"/>
      <c r="H98" s="329"/>
      <c r="I98" s="329"/>
      <c r="J98" s="329"/>
      <c r="K98" s="329"/>
      <c r="L98" s="329"/>
      <c r="M98" s="329"/>
      <c r="N98" s="329"/>
      <c r="O98" s="329"/>
      <c r="P98" s="329"/>
      <c r="Q98" s="329"/>
      <c r="R98" s="329"/>
      <c r="S98" s="329"/>
      <c r="T98" s="329"/>
      <c r="U98" s="329"/>
      <c r="V98" s="329"/>
      <c r="W98" s="329"/>
      <c r="X98" s="329"/>
      <c r="Y98" s="231"/>
    </row>
    <row r="99" spans="1:25" ht="18" customHeight="1">
      <c r="A99" s="231" t="s">
        <v>1975</v>
      </c>
      <c r="B99" s="231" t="s">
        <v>10237</v>
      </c>
      <c r="E99" s="231" t="s">
        <v>1292</v>
      </c>
      <c r="F99" s="330">
        <f ca="1">IF(_print_time="",TODAY(),_print_time)</f>
        <v>44259.71365740741</v>
      </c>
      <c r="G99" s="231" t="s">
        <v>1293</v>
      </c>
      <c r="H99" s="331">
        <f ca="1">IF(OR(don_BasePointX="ERROR",don_SearchEreaX="ERROR"),"",IF(ISERROR(MATCH(don_SEARCH_DATE__print_time,INDIRECT(don_SearchEreaX),0)),MATCH(don_SEARCH_DATE__print_time,INDIRECT(don_SearchEreaX),1),MATCH(don_SEARCH_DATE__print_time,INDIRECT(don_SearchEreaX),0)))</f>
        <v>2</v>
      </c>
      <c r="I99" s="332"/>
      <c r="J99" s="332"/>
      <c r="K99" s="332"/>
      <c r="L99" s="332"/>
      <c r="M99" s="332"/>
      <c r="N99" s="332"/>
      <c r="O99" s="332"/>
      <c r="P99" s="332"/>
      <c r="Q99" s="332"/>
      <c r="R99" s="332"/>
      <c r="S99" s="332"/>
      <c r="T99" s="332"/>
      <c r="U99" s="332"/>
      <c r="V99" s="332"/>
      <c r="W99" s="332"/>
      <c r="X99" s="332"/>
      <c r="Y99" s="231"/>
    </row>
    <row r="100" spans="1:25" ht="18" customHeight="1">
      <c r="B100" s="231" t="s">
        <v>10195</v>
      </c>
      <c r="E100" s="231" t="s">
        <v>1294</v>
      </c>
      <c r="H100" s="267" t="str">
        <f ca="1">IF(OR(don_BasePointX="ERROR",don_SearchEreaX="ERROR"),"",IF(OFFSET(INDIRECT(don_BasePointX),don_SEARCH_RESOLT__print_time,0,1,1)="","",OFFSET(INDIRECT(don_BasePointX),don_SEARCH_RESOLT__print_time,0,1,1)))</f>
        <v/>
      </c>
      <c r="I100" s="111"/>
      <c r="J100" s="111"/>
      <c r="K100" s="111"/>
      <c r="L100" s="111"/>
      <c r="M100" s="111"/>
      <c r="N100" s="111"/>
      <c r="O100" s="111"/>
      <c r="P100" s="111"/>
      <c r="Q100" s="111"/>
      <c r="R100" s="111"/>
      <c r="S100" s="111"/>
      <c r="T100" s="111"/>
      <c r="U100" s="111"/>
      <c r="V100" s="111"/>
      <c r="W100" s="111"/>
      <c r="X100" s="111"/>
      <c r="Y100" s="231"/>
    </row>
    <row r="101" spans="1:25" ht="18" customHeight="1">
      <c r="B101" s="231" t="s">
        <v>2766</v>
      </c>
      <c r="E101" s="231" t="s">
        <v>1295</v>
      </c>
      <c r="H101" s="267" t="str">
        <f ca="1">IF(OR(don_BasePointX="ERROR",don_SearchEreaX="ERROR"),"",IF(OFFSET(INDIRECT(don_BasePointX),don_SEARCH_RESOLT__print_time,1,1,1)="","",OFFSET(INDIRECT(don_BasePointX),don_SEARCH_RESOLT__print_time,1,1,1)))</f>
        <v>株式会社 国際確認検査センター</v>
      </c>
      <c r="I101" s="111"/>
      <c r="J101" s="111"/>
      <c r="K101" s="111"/>
      <c r="L101" s="111"/>
      <c r="M101" s="111"/>
      <c r="N101" s="111"/>
      <c r="O101" s="111"/>
      <c r="P101" s="111"/>
      <c r="Q101" s="111"/>
      <c r="R101" s="111"/>
      <c r="S101" s="111"/>
      <c r="T101" s="111"/>
      <c r="U101" s="111"/>
      <c r="V101" s="111"/>
      <c r="W101" s="111"/>
      <c r="X101" s="111"/>
      <c r="Y101" s="231"/>
    </row>
    <row r="102" spans="1:25" ht="18" customHeight="1">
      <c r="B102" s="231" t="s">
        <v>9054</v>
      </c>
      <c r="E102" s="231" t="s">
        <v>1296</v>
      </c>
      <c r="H102" s="267" t="str">
        <f ca="1">IF(OR(don_BasePointX="ERROR",don_SearchEreaX="ERROR"),"",IF(OFFSET(INDIRECT(don_BasePointX),don_SEARCH_RESOLT__print_time,2,1,1)="","",OFFSET(INDIRECT(don_BasePointX),don_SEARCH_RESOLT__print_time,2,1,1)))</f>
        <v>代表取締役　　山 田  耕 藏</v>
      </c>
      <c r="I102" s="111"/>
      <c r="J102" s="111"/>
      <c r="K102" s="111"/>
      <c r="L102" s="111"/>
      <c r="M102" s="111"/>
      <c r="N102" s="111"/>
      <c r="O102" s="111"/>
      <c r="P102" s="111"/>
      <c r="Q102" s="111"/>
      <c r="R102" s="111"/>
      <c r="S102" s="111"/>
      <c r="T102" s="111"/>
      <c r="U102" s="111"/>
      <c r="V102" s="111"/>
      <c r="W102" s="111"/>
      <c r="X102" s="111"/>
      <c r="Y102" s="231"/>
    </row>
    <row r="103" spans="1:25" ht="18" customHeight="1">
      <c r="B103" s="231" t="s">
        <v>225</v>
      </c>
      <c r="E103" s="231" t="s">
        <v>10238</v>
      </c>
      <c r="H103" s="333" t="str">
        <f ca="1">IF(OR(don_BasePointX="ERROR",don_SearchEreaX="ERROR"),"",IF(OFFSET(INDIRECT(don_BasePointX),don_SEARCH_RESOLT__print_time,3,1,1)="","",OFFSET(INDIRECT(don_BasePointX),don_SEARCH_RESOLT__print_time,3,1,1)))</f>
        <v>541-0046</v>
      </c>
      <c r="I103" s="1"/>
      <c r="J103" s="1"/>
      <c r="K103" s="1"/>
      <c r="L103" s="1"/>
      <c r="M103" s="1"/>
      <c r="N103" s="1"/>
      <c r="O103" s="1"/>
      <c r="P103" s="1"/>
      <c r="Q103" s="1"/>
      <c r="R103" s="1"/>
      <c r="S103" s="1"/>
      <c r="T103" s="1"/>
      <c r="U103" s="1"/>
      <c r="V103" s="1"/>
      <c r="W103" s="1"/>
      <c r="X103" s="1"/>
      <c r="Y103" s="231"/>
    </row>
    <row r="104" spans="1:25" ht="18" customHeight="1">
      <c r="B104" s="231" t="s">
        <v>10196</v>
      </c>
      <c r="E104" s="231" t="s">
        <v>10239</v>
      </c>
      <c r="H104" s="267" t="str">
        <f ca="1">IF(OR(don_BasePointX="ERROR",don_SearchEreaX="ERROR"),"",IF(OFFSET(INDIRECT(don_BasePointX),don_SEARCH_RESOLT__print_time,4,1,1)="","",OFFSET(INDIRECT(don_BasePointX),don_SEARCH_RESOLT__print_time,4,1,1)))</f>
        <v>大阪市中央区平野町3丁目6番1号</v>
      </c>
    </row>
    <row r="105" spans="1:25" ht="18" customHeight="1">
      <c r="B105" s="231" t="s">
        <v>2783</v>
      </c>
      <c r="E105" s="231" t="s">
        <v>10240</v>
      </c>
      <c r="H105" s="267" t="str">
        <f ca="1">IF(OR(don_BasePointX="ERROR",don_SearchEreaX="ERROR"),"",IF(OFFSET(INDIRECT(don_BasePointX),don_SEARCH_RESOLT__print_time,5,1,1)="","",OFFSET(INDIRECT(don_BasePointX),don_SEARCH_RESOLT__print_time,5,1,1)))</f>
        <v>あいおいニッセイ同和損保御堂筋ビル9階</v>
      </c>
    </row>
    <row r="106" spans="1:25" ht="18" customHeight="1">
      <c r="B106" s="231" t="s">
        <v>10197</v>
      </c>
      <c r="E106" s="231" t="s">
        <v>10241</v>
      </c>
      <c r="H106" s="267" t="str">
        <f ca="1">IF(OR(don_BasePointX="ERROR",don_SearchEreaX="ERROR"),"",IF(OFFSET(INDIRECT(don_BasePointX),don_SEARCH_RESOLT__print_time,6,1,1)="","",OFFSET(INDIRECT(don_BasePointX),don_SEARCH_RESOLT__print_time,6,1,1)))</f>
        <v>06-6222-6626</v>
      </c>
    </row>
    <row r="107" spans="1:25" ht="18" customHeight="1">
      <c r="B107" s="231" t="s">
        <v>10198</v>
      </c>
      <c r="E107" s="231" t="s">
        <v>10242</v>
      </c>
      <c r="H107" s="267" t="str">
        <f ca="1">IF(OR(don_BasePointX="ERROR",don_SearchEreaX="ERROR"),"",IF(OFFSET(INDIRECT(don_BasePointX),don_SEARCH_RESOLT__print_time,7,1,1)="","",OFFSET(INDIRECT(don_BasePointX),don_SEARCH_RESOLT__print_time,7,1,1)))</f>
        <v>06-6222-6627</v>
      </c>
    </row>
    <row r="108" spans="1:25" ht="18" customHeight="1">
      <c r="B108" s="231" t="s">
        <v>10199</v>
      </c>
      <c r="E108" s="231" t="s">
        <v>1297</v>
      </c>
      <c r="H108" s="267" t="str">
        <f ca="1">IF(OR(don_BasePointX="ERROR",don_SearchEreaX="ERROR"),"",IF(OFFSET(INDIRECT(don_BasePointX),don_SEARCH_RESOLT__print_time,8,1,1)="","",OFFSET(INDIRECT(don_BasePointX),don_SEARCH_RESOLT__print_time,8,1,1)))</f>
        <v/>
      </c>
    </row>
    <row r="109" spans="1:25" ht="18" customHeight="1">
      <c r="B109" s="231" t="s">
        <v>9543</v>
      </c>
      <c r="E109" s="231" t="s">
        <v>11056</v>
      </c>
      <c r="H109" s="267" t="str">
        <f ca="1">IF(OR(don_BasePointX="ERROR",don_SearchEreaX="ERROR"),"",IF(OFFSET(INDIRECT(don_BasePointX),don_SEARCH_RESOLT__print_time,9,1,1)="","",OFFSET(INDIRECT(don_BasePointX),don_SEARCH_RESOLT__print_time,9,1,1)))</f>
        <v>大阪市中央区平野町3丁目6番1号</v>
      </c>
    </row>
    <row r="110" spans="1:25" ht="18" customHeight="1">
      <c r="B110" s="231" t="s">
        <v>10695</v>
      </c>
      <c r="E110" s="231" t="s">
        <v>10696</v>
      </c>
      <c r="H110" s="267" t="str">
        <f ca="1">IF(OR(don_BasePointX="ERROR",don_SearchEreaX="ERROR"),"",IF(OFFSET(INDIRECT(don_BasePointX),don_SEARCH_RESOLT__print_time,13,1,1)="","",OFFSET(INDIRECT(don_BasePointX),don_SEARCH_RESOLT__print_time,13,1,1)))</f>
        <v>osaka@c-ias.co.jp</v>
      </c>
    </row>
    <row r="111" spans="1:25" ht="18" customHeight="1">
      <c r="B111" s="231" t="s">
        <v>10972</v>
      </c>
      <c r="E111" s="231" t="s">
        <v>10968</v>
      </c>
      <c r="H111" s="267" t="str">
        <f ca="1">IF(OR(don_BasePointX="ERROR",don_SearchEreaX="ERROR"),"",IF(OFFSET(INDIRECT(don_BasePointX),don_SEARCH_RESOLT__print_time,14,1,1)="","",OFFSET(INDIRECT(don_BasePointX),don_SEARCH_RESOLT__print_time,14,1,1)))</f>
        <v/>
      </c>
      <c r="I111" s="231" t="s">
        <v>10971</v>
      </c>
    </row>
    <row r="112" spans="1:25" ht="18" customHeight="1">
      <c r="B112" s="231" t="s">
        <v>10973</v>
      </c>
      <c r="E112" s="231" t="s">
        <v>10969</v>
      </c>
      <c r="H112" s="267" t="str">
        <f ca="1">IF(OR(don_BasePointX="ERROR",don_SearchEreaX="ERROR"),"",IF(OFFSET(INDIRECT(don_BasePointX),don_SEARCH_RESOLT__print_time,15,1,1)="","",OFFSET(INDIRECT(don_BasePointX),don_SEARCH_RESOLT__print_time,15,1,1)))</f>
        <v/>
      </c>
      <c r="I112" s="231" t="s">
        <v>10971</v>
      </c>
    </row>
    <row r="113" spans="2:8" ht="18" customHeight="1">
      <c r="B113" s="231" t="s">
        <v>11302</v>
      </c>
      <c r="E113" s="231" t="s">
        <v>11313</v>
      </c>
      <c r="H113" s="267" t="str">
        <f ca="1">IF(OR(don_BasePointX="ERROR",don_SearchEreaX="ERROR"),"",IF(OFFSET(INDIRECT(don_BasePointX),don_SEARCH_RESOLT__print_time,16,1,1)="","",OFFSET(INDIRECT(don_BasePointX),don_SEARCH_RESOLT__print_time,16,1,1)))</f>
        <v>確認申請手数料は下記口座にお振込、又は</v>
      </c>
    </row>
    <row r="114" spans="2:8" ht="18" customHeight="1">
      <c r="B114" s="231" t="s">
        <v>11304</v>
      </c>
      <c r="E114" s="231" t="s">
        <v>11314</v>
      </c>
      <c r="H114" s="267" t="str">
        <f ca="1">IF(OR(don_BasePointX="ERROR",don_SearchEreaX="ERROR"),"",IF(OFFSET(INDIRECT(don_BasePointX),don_SEARCH_RESOLT__print_time,17,1,1)="","",OFFSET(INDIRECT(don_BasePointX),don_SEARCH_RESOLT__print_time,17,1,1)))</f>
        <v>窓口にて現金でお支払いをお願い致します。</v>
      </c>
    </row>
    <row r="115" spans="2:8" ht="18" customHeight="1">
      <c r="B115" s="231" t="s">
        <v>11312</v>
      </c>
      <c r="E115" s="231" t="s">
        <v>11315</v>
      </c>
      <c r="H115" s="267" t="str">
        <f ca="1">IF(OR(don_BasePointX="ERROR",don_SearchEreaX="ERROR"),"",IF(OFFSET(INDIRECT(don_BasePointX),don_SEARCH_RESOLT__print_time,18,1,1)="","",OFFSET(INDIRECT(don_BasePointX),don_SEARCH_RESOLT__print_time,18,1,1)))</f>
        <v>（大阪）</v>
      </c>
    </row>
    <row r="117" spans="2:8" ht="18" customHeight="1">
      <c r="B117" s="231" t="s">
        <v>11037</v>
      </c>
    </row>
    <row r="118" spans="2:8" ht="18" customHeight="1">
      <c r="B118" s="231" t="s">
        <v>11038</v>
      </c>
      <c r="E118" s="231" t="s">
        <v>9897</v>
      </c>
      <c r="H118" s="432" t="str">
        <f ca="1">IF(OR(don_BasePointX="ERROR",don_SearchEreaX="ERROR"),"",IF(OFFSET(don_BasePoint1_CIAS,don_SEARCH_RESOLT__print_time,10,1,1)="","",OFFSET(don_BasePoint1_CIAS,don_SEARCH_RESOLT__print_time,10,1,1)))</f>
        <v/>
      </c>
    </row>
    <row r="119" spans="2:8" ht="18" customHeight="1">
      <c r="B119" s="231" t="s">
        <v>11039</v>
      </c>
      <c r="E119" s="231" t="s">
        <v>9898</v>
      </c>
      <c r="H119" s="432" t="str">
        <f ca="1">IF(OR(don_BasePointX="ERROR",don_SearchEreaX="ERROR"),"",IF(OFFSET(don_BasePoint1_CIAS,don_SEARCH_RESOLT__print_time,11,1,1)="","",OFFSET(don_BasePoint1_CIAS,don_SEARCH_RESOLT__print_time,11,1,1)))</f>
        <v/>
      </c>
    </row>
    <row r="120" spans="2:8" ht="18" customHeight="1">
      <c r="B120" s="231" t="s">
        <v>11040</v>
      </c>
      <c r="E120" s="231" t="s">
        <v>9899</v>
      </c>
      <c r="H120" s="432" t="str">
        <f ca="1">IF(OR(don_BasePointX="ERROR",don_SearchEreaX="ERROR"),"",IF(OFFSET(don_BasePoint1_CIAS,don_SEARCH_RESOLT__print_time,12,1,1)="","",OFFSET(don_BasePoint1_CIAS,don_SEARCH_RESOLT__print_time,12,1,1)))</f>
        <v/>
      </c>
    </row>
    <row r="121" spans="2:8" ht="18" customHeight="1">
      <c r="B121" s="231" t="s">
        <v>11041</v>
      </c>
      <c r="E121" s="231" t="s">
        <v>9900</v>
      </c>
      <c r="H121" s="432" t="str">
        <f ca="1">IF(OR(don_BasePointX="ERROR",don_SearchEreaX="ERROR"),"",IF(OFFSET(don_BasePoint2_CIAS,don_SEARCH_RESOLT__print_time,10,1,1)="","",OFFSET(don_BasePoint2_CIAS,don_SEARCH_RESOLT__print_time,10,1,1)))</f>
        <v>りそな銀行　　大阪営業部　  普通預金　№5129632　㈱国際確認検査センター</v>
      </c>
    </row>
    <row r="122" spans="2:8" ht="18" customHeight="1">
      <c r="B122" s="231" t="s">
        <v>11042</v>
      </c>
      <c r="E122" s="231" t="s">
        <v>9901</v>
      </c>
      <c r="H122" s="432" t="str">
        <f ca="1">IF(OR(don_BasePointX="ERROR",don_SearchEreaX="ERROR"),"",IF(OFFSET(don_BasePoint2_CIAS,don_SEARCH_RESOLT__print_time,11,1,1)="","",OFFSET(don_BasePoint2_CIAS,don_SEARCH_RESOLT__print_time,11,1,1)))</f>
        <v>三井住友銀行　天満橋支店　　普通預金　№1345770　㈱国際確認検査センター</v>
      </c>
    </row>
    <row r="123" spans="2:8" ht="18" customHeight="1">
      <c r="B123" s="231" t="s">
        <v>11043</v>
      </c>
      <c r="E123" s="231" t="s">
        <v>9902</v>
      </c>
      <c r="H123" s="432" t="str">
        <f ca="1">IF(OR(don_BasePointX="ERROR",don_SearchEreaX="ERROR"),"",IF(OFFSET(don_BasePoint2_CIAS,don_SEARCH_RESOLT__print_time,12,1,1)="","",OFFSET(don_BasePoint2_CIAS,don_SEARCH_RESOLT__print_time,12,1,1)))</f>
        <v>みずほ銀行　　大阪中央支店　普通預金　№2800169　㈱国際確認検査センター</v>
      </c>
    </row>
    <row r="124" spans="2:8" ht="18" customHeight="1">
      <c r="B124" s="231" t="s">
        <v>11044</v>
      </c>
      <c r="E124" s="231" t="s">
        <v>9903</v>
      </c>
      <c r="H124" s="432" t="str">
        <f ca="1">IF(OR(don_BasePointX="ERROR",don_SearchEreaX="ERROR"),"",IF(OFFSET(don_BasePoint3_CIAS,don_SEARCH_RESOLT__print_time,10,1,1)="","",OFFSET(don_BasePoint3_CIAS,don_SEARCH_RESOLT__print_time,10,1,1)))</f>
        <v/>
      </c>
    </row>
    <row r="125" spans="2:8" ht="18" customHeight="1">
      <c r="B125" s="231" t="s">
        <v>11045</v>
      </c>
      <c r="E125" s="231" t="s">
        <v>9904</v>
      </c>
      <c r="H125" s="432" t="str">
        <f ca="1">IF(OR(don_BasePointX="ERROR",don_SearchEreaX="ERROR"),"",IF(OFFSET(don_BasePoint3_CIAS,don_SEARCH_RESOLT__print_time,11,1,1)="","",OFFSET(don_BasePoint3_CIAS,don_SEARCH_RESOLT__print_time,11,1,1)))</f>
        <v/>
      </c>
    </row>
    <row r="126" spans="2:8" ht="18" customHeight="1">
      <c r="B126" s="231" t="s">
        <v>11046</v>
      </c>
      <c r="E126" s="231" t="s">
        <v>9905</v>
      </c>
      <c r="H126" s="432" t="str">
        <f ca="1">IF(OR(don_BasePointX="ERROR",don_SearchEreaX="ERROR"),"",IF(OFFSET(don_BasePoint3_CIAS,don_SEARCH_RESOLT__print_time,12,1,1)="","",OFFSET(don_BasePoint3_CIAS,don_SEARCH_RESOLT__print_time,12,1,1)))</f>
        <v/>
      </c>
    </row>
    <row r="127" spans="2:8" ht="18" customHeight="1">
      <c r="B127" s="231" t="s">
        <v>11047</v>
      </c>
      <c r="E127" s="231" t="s">
        <v>9906</v>
      </c>
      <c r="H127" s="432" t="str">
        <f ca="1">IF(OR(don_BasePointX="ERROR",don_SearchEreaX="ERROR"),"",IF(OFFSET(don_BasePoint4_CIAS,don_SEARCH_RESOLT__print_time,10,1,1)="","",OFFSET(don_BasePoint4_CIAS,don_SEARCH_RESOLT__print_time,10,1,1)))</f>
        <v/>
      </c>
    </row>
    <row r="128" spans="2:8" ht="18" customHeight="1">
      <c r="B128" s="231" t="s">
        <v>11048</v>
      </c>
      <c r="E128" s="231" t="s">
        <v>9907</v>
      </c>
      <c r="H128" s="432" t="str">
        <f ca="1">IF(OR(don_BasePointX="ERROR",don_SearchEreaX="ERROR"),"",IF(OFFSET(don_BasePoint4_CIAS,don_SEARCH_RESOLT__print_time,11,1,1)="","",OFFSET(don_BasePoint4_CIAS,don_SEARCH_RESOLT__print_time,11,1,1)))</f>
        <v/>
      </c>
    </row>
    <row r="129" spans="1:25" ht="18" customHeight="1">
      <c r="B129" s="231" t="s">
        <v>11049</v>
      </c>
      <c r="E129" s="231" t="s">
        <v>9908</v>
      </c>
      <c r="H129" s="432" t="str">
        <f ca="1">IF(OR(don_BasePointX="ERROR",don_SearchEreaX="ERROR"),"",IF(OFFSET(don_BasePoint4_CIAS,don_SEARCH_RESOLT__print_time,12,1,1)="","",OFFSET(don_BasePoint4_CIAS,don_SEARCH_RESOLT__print_time,12,1,1)))</f>
        <v/>
      </c>
    </row>
    <row r="130" spans="1:25" ht="18" customHeight="1">
      <c r="B130" s="231" t="s">
        <v>11050</v>
      </c>
      <c r="E130" s="231" t="s">
        <v>9909</v>
      </c>
      <c r="H130" s="432" t="str">
        <f ca="1">IF(OR(don_BasePointX="ERROR",don_SearchEreaX="ERROR"),"",IF(OFFSET(don_BasePoint5_CIAS,don_SEARCH_RESOLT__print_time,10,1,1)="","",OFFSET(don_BasePoint5_CIAS,don_SEARCH_RESOLT__print_time,10,1,1)))</f>
        <v/>
      </c>
    </row>
    <row r="131" spans="1:25" ht="18" customHeight="1">
      <c r="B131" s="231" t="s">
        <v>11051</v>
      </c>
      <c r="E131" s="231" t="s">
        <v>9910</v>
      </c>
      <c r="H131" s="432" t="str">
        <f ca="1">IF(OR(don_BasePointX="ERROR",don_SearchEreaX="ERROR"),"",IF(OFFSET(don_BasePoint5_CIAS,don_SEARCH_RESOLT__print_time,11,1,1)="","",OFFSET(don_BasePoint5_CIAS,don_SEARCH_RESOLT__print_time,11,1,1)))</f>
        <v/>
      </c>
    </row>
    <row r="132" spans="1:25" ht="18" customHeight="1">
      <c r="B132" s="231" t="s">
        <v>11052</v>
      </c>
      <c r="E132" s="231" t="s">
        <v>9911</v>
      </c>
      <c r="H132" s="432" t="str">
        <f ca="1">IF(OR(don_BasePointX="ERROR",don_SearchEreaX="ERROR"),"",IF(OFFSET(don_BasePoint5_CIAS,don_SEARCH_RESOLT__print_time,12,1,1)="","",OFFSET(don_BasePoint5_CIAS,don_SEARCH_RESOLT__print_time,12,1,1)))</f>
        <v/>
      </c>
    </row>
    <row r="133" spans="1:25" ht="18" customHeight="1">
      <c r="B133" s="231" t="s">
        <v>11053</v>
      </c>
      <c r="E133" s="231" t="s">
        <v>9912</v>
      </c>
      <c r="H133" s="432" t="str">
        <f ca="1">IF(OR(don_BasePointX="ERROR",don_SearchEreaX="ERROR"),"",IF(OFFSET(INDIRECT(don_BasePointX),don_SEARCH_RESOLT__print_time,10,1,1)="","",OFFSET(INDIRECT(don_BasePointX),don_SEARCH_RESOLT__print_time,10,1,1)))</f>
        <v>りそな銀行　　大阪営業部　  普通預金　№5129632　㈱国際確認検査センター</v>
      </c>
    </row>
    <row r="134" spans="1:25" ht="18" customHeight="1">
      <c r="B134" s="231" t="s">
        <v>11054</v>
      </c>
      <c r="E134" s="231" t="s">
        <v>9913</v>
      </c>
      <c r="H134" s="432" t="str">
        <f ca="1">IF(OR(don_BasePointX="ERROR",don_SearchEreaX="ERROR"),"",IF(OFFSET(INDIRECT(don_BasePointX),don_SEARCH_RESOLT__print_time,11,1,1)="","",OFFSET(INDIRECT(don_BasePointX),don_SEARCH_RESOLT__print_time,11,1,1)))</f>
        <v>三井住友銀行　天満橋支店　　普通預金　№1345770　㈱国際確認検査センター</v>
      </c>
    </row>
    <row r="135" spans="1:25" ht="18" customHeight="1">
      <c r="B135" s="231" t="s">
        <v>11055</v>
      </c>
      <c r="E135" s="231" t="s">
        <v>9914</v>
      </c>
      <c r="H135" s="432" t="str">
        <f ca="1">IF(OR(don_BasePointX="ERROR",don_SearchEreaX="ERROR"),"",IF(OFFSET(INDIRECT(don_BasePointX),don_SEARCH_RESOLT__print_time,12,1,1)="","",OFFSET(INDIRECT(don_BasePointX),don_SEARCH_RESOLT__print_time,12,1,1)))</f>
        <v>みずほ銀行　　大阪中央支店　普通預金　№2800169　㈱国際確認検査センター</v>
      </c>
    </row>
    <row r="136" spans="1:25" ht="18" customHeight="1">
      <c r="B136" s="231" t="s">
        <v>11644</v>
      </c>
      <c r="E136" s="231" t="s">
        <v>11647</v>
      </c>
      <c r="H136" s="432" t="str">
        <f ca="1">"振込先金融機関　"&amp;IF(OR(don_BasePointX="ERROR",don_SearchEreaX="ERROR"),"",IF(OFFSET(INDIRECT(don_BasePointX),don_SEARCH_RESOLT__print_time,19,1,1)="","",OFFSET(INDIRECT(don_BasePointX),don_SEARCH_RESOLT__print_time,19,1,1)))</f>
        <v>振込先金融機関　りそな・三井住友・みずほ　銀行</v>
      </c>
    </row>
    <row r="137" spans="1:25" ht="18" customHeight="1">
      <c r="B137" s="557" t="s">
        <v>11648</v>
      </c>
      <c r="C137" s="557"/>
      <c r="D137" s="557"/>
      <c r="E137" s="557" t="s">
        <v>11649</v>
      </c>
      <c r="H137" s="432" t="str">
        <f>IF(OR(don_OFFICE__code_CIAS=1,don_OFFICE__code_CIAS=2),"　　　　　　　（いずれかに〇をつけて下さい。）","")</f>
        <v>　　　　　　　（いずれかに〇をつけて下さい。）</v>
      </c>
    </row>
    <row r="139" spans="1:25" ht="18" customHeight="1">
      <c r="A139" s="231" t="s">
        <v>1954</v>
      </c>
      <c r="B139" s="231" t="s">
        <v>10237</v>
      </c>
      <c r="E139" s="231" t="s">
        <v>1976</v>
      </c>
      <c r="F139" s="330">
        <f ca="1">IF(shinsei_HIKIUKE_DATE="",TODAY(),shinsei_HIKIUKE_DATE)</f>
        <v>44258</v>
      </c>
      <c r="G139" s="231" t="s">
        <v>1977</v>
      </c>
      <c r="H139" s="331">
        <f ca="1">IF(OR(don_BasePointX="ERROR",don_SearchEreaX="ERROR"),"",IF(ISERROR(MATCH(don_SEARCH_DATE__hikiuke_date,INDIRECT(don_SearchEreaX),0)),MATCH(don_SEARCH_DATE__hikiuke_date,INDIRECT(don_SearchEreaX),1),MATCH(don_SEARCH_DATE__hikiuke_date,INDIRECT(don_SearchEreaX),0)))</f>
        <v>2</v>
      </c>
      <c r="I139" s="332"/>
      <c r="J139" s="332"/>
      <c r="K139" s="332"/>
      <c r="L139" s="332"/>
      <c r="M139" s="332"/>
      <c r="N139" s="332"/>
      <c r="O139" s="332"/>
      <c r="P139" s="332"/>
      <c r="Q139" s="332"/>
      <c r="R139" s="332"/>
      <c r="S139" s="332"/>
      <c r="T139" s="332"/>
      <c r="U139" s="332"/>
      <c r="V139" s="332"/>
      <c r="W139" s="332"/>
      <c r="X139" s="332"/>
      <c r="Y139" s="231"/>
    </row>
    <row r="140" spans="1:25" ht="18" customHeight="1">
      <c r="B140" s="231" t="s">
        <v>10195</v>
      </c>
      <c r="E140" s="231" t="s">
        <v>1978</v>
      </c>
      <c r="H140" s="267" t="str">
        <f ca="1">IF(OR(don_BasePointX="ERROR",don_SearchEreaX="ERROR"),"",IF(OFFSET(INDIRECT(don_BasePointX),don_SEARCH_RESOLT__hikiuke_date,0,1,1)="","",OFFSET(INDIRECT(don_BasePointX),don_SEARCH_RESOLT__hikiuke_date,0,1,1)))</f>
        <v/>
      </c>
      <c r="I140" s="111"/>
      <c r="J140" s="111"/>
      <c r="K140" s="111"/>
      <c r="L140" s="111"/>
      <c r="M140" s="111"/>
      <c r="N140" s="111"/>
      <c r="O140" s="111"/>
      <c r="P140" s="111"/>
      <c r="Q140" s="111"/>
      <c r="R140" s="111"/>
      <c r="S140" s="111"/>
      <c r="T140" s="111"/>
      <c r="U140" s="111"/>
      <c r="V140" s="111"/>
      <c r="W140" s="111"/>
      <c r="X140" s="111"/>
      <c r="Y140" s="231"/>
    </row>
    <row r="141" spans="1:25" ht="18" customHeight="1">
      <c r="B141" s="231" t="s">
        <v>2766</v>
      </c>
      <c r="E141" s="231" t="s">
        <v>1979</v>
      </c>
      <c r="H141" s="267" t="str">
        <f ca="1">IF(OR(don_BasePointX="ERROR",don_SearchEreaX="ERROR"),"",IF(OFFSET(INDIRECT(don_BasePointX),don_SEARCH_RESOLT__hikiuke_date,1,1,1)="","",OFFSET(INDIRECT(don_BasePointX),don_SEARCH_RESOLT__hikiuke_date,1,1,1)))</f>
        <v>株式会社 国際確認検査センター</v>
      </c>
      <c r="I141" s="111"/>
      <c r="J141" s="111"/>
      <c r="K141" s="111"/>
      <c r="L141" s="111"/>
      <c r="M141" s="111"/>
      <c r="N141" s="111"/>
      <c r="O141" s="111"/>
      <c r="P141" s="111"/>
      <c r="Q141" s="111"/>
      <c r="R141" s="111"/>
      <c r="S141" s="111"/>
      <c r="T141" s="111"/>
      <c r="U141" s="111"/>
      <c r="V141" s="111"/>
      <c r="W141" s="111"/>
      <c r="X141" s="111"/>
      <c r="Y141" s="231"/>
    </row>
    <row r="142" spans="1:25" ht="18" customHeight="1">
      <c r="B142" s="231" t="s">
        <v>9054</v>
      </c>
      <c r="E142" s="231" t="s">
        <v>1980</v>
      </c>
      <c r="H142" s="267" t="str">
        <f ca="1">IF(OR(don_BasePointX="ERROR",don_SearchEreaX="ERROR"),"",IF(OFFSET(INDIRECT(don_BasePointX),don_SEARCH_RESOLT__hikiuke_date,2,1,1)="","",OFFSET(INDIRECT(don_BasePointX),don_SEARCH_RESOLT__hikiuke_date,2,1,1)))</f>
        <v>代表取締役　　山 田  耕 藏</v>
      </c>
      <c r="I142" s="111"/>
      <c r="J142" s="111"/>
      <c r="K142" s="111"/>
      <c r="L142" s="111"/>
      <c r="M142" s="111"/>
      <c r="N142" s="111"/>
      <c r="O142" s="111"/>
      <c r="P142" s="111"/>
      <c r="Q142" s="111"/>
      <c r="R142" s="111"/>
      <c r="S142" s="111"/>
      <c r="T142" s="111"/>
      <c r="U142" s="111"/>
      <c r="V142" s="111"/>
      <c r="W142" s="111"/>
      <c r="X142" s="111"/>
      <c r="Y142" s="231"/>
    </row>
    <row r="143" spans="1:25" ht="18" customHeight="1">
      <c r="B143" s="231" t="s">
        <v>225</v>
      </c>
      <c r="E143" s="231" t="s">
        <v>1981</v>
      </c>
      <c r="H143" s="333" t="str">
        <f ca="1">IF(OR(don_BasePointX="ERROR",don_SearchEreaX="ERROR"),"",IF(OFFSET(INDIRECT(don_BasePointX),don_SEARCH_RESOLT__hikiuke_date,3,1,1)="","",OFFSET(INDIRECT(don_BasePointX),don_SEARCH_RESOLT__hikiuke_date,3,1,1)))</f>
        <v>541-0046</v>
      </c>
      <c r="I143" s="1"/>
      <c r="J143" s="1"/>
      <c r="K143" s="1"/>
      <c r="L143" s="1"/>
      <c r="M143" s="1"/>
      <c r="N143" s="1"/>
      <c r="O143" s="1"/>
      <c r="P143" s="1"/>
      <c r="Q143" s="1"/>
      <c r="R143" s="1"/>
      <c r="S143" s="1"/>
      <c r="T143" s="1"/>
      <c r="U143" s="1"/>
      <c r="V143" s="1"/>
      <c r="W143" s="1"/>
      <c r="X143" s="1"/>
      <c r="Y143" s="231"/>
    </row>
    <row r="144" spans="1:25" ht="18" customHeight="1">
      <c r="B144" s="231" t="s">
        <v>10196</v>
      </c>
      <c r="E144" s="231" t="s">
        <v>1982</v>
      </c>
      <c r="H144" s="267" t="str">
        <f ca="1">IF(OR(don_BasePointX="ERROR",don_SearchEreaX="ERROR"),"",IF(OFFSET(INDIRECT(don_BasePointX),don_SEARCH_RESOLT__hikiuke_date,4,1,1)="","",OFFSET(INDIRECT(don_BasePointX),don_SEARCH_RESOLT__hikiuke_date,4,1,1)))</f>
        <v>大阪市中央区平野町3丁目6番1号</v>
      </c>
    </row>
    <row r="145" spans="1:25" ht="18" customHeight="1">
      <c r="B145" s="231" t="s">
        <v>2783</v>
      </c>
      <c r="E145" s="231" t="s">
        <v>1983</v>
      </c>
      <c r="H145" s="267" t="str">
        <f ca="1">IF(OR(don_BasePointX="ERROR",don_SearchEreaX="ERROR"),"",IF(OFFSET(INDIRECT(don_BasePointX),don_SEARCH_RESOLT__hikiuke_date,5,1,1)="","",OFFSET(INDIRECT(don_BasePointX),don_SEARCH_RESOLT__hikiuke_date,5,1,1)))</f>
        <v>あいおいニッセイ同和損保御堂筋ビル9階</v>
      </c>
    </row>
    <row r="146" spans="1:25" ht="18" customHeight="1">
      <c r="B146" s="231" t="s">
        <v>10197</v>
      </c>
      <c r="E146" s="231" t="s">
        <v>1984</v>
      </c>
      <c r="H146" s="267" t="str">
        <f ca="1">IF(OR(don_BasePointX="ERROR",don_SearchEreaX="ERROR"),"",IF(OFFSET(INDIRECT(don_BasePointX),don_SEARCH_RESOLT__hikiuke_date,6,1,1)="","",OFFSET(INDIRECT(don_BasePointX),don_SEARCH_RESOLT__hikiuke_date,6,1,1)))</f>
        <v>06-6222-6626</v>
      </c>
    </row>
    <row r="147" spans="1:25" ht="18" customHeight="1">
      <c r="B147" s="231" t="s">
        <v>10198</v>
      </c>
      <c r="E147" s="231" t="s">
        <v>1985</v>
      </c>
      <c r="H147" s="267" t="str">
        <f ca="1">IF(OR(don_BasePointX="ERROR",don_SearchEreaX="ERROR"),"",IF(OFFSET(INDIRECT(don_BasePointX),don_SEARCH_RESOLT__hikiuke_date,7,1,1)="","",OFFSET(INDIRECT(don_BasePointX),don_SEARCH_RESOLT__hikiuke_date,7,1,1)))</f>
        <v>06-6222-6627</v>
      </c>
    </row>
    <row r="148" spans="1:25" ht="18" customHeight="1">
      <c r="B148" s="231" t="s">
        <v>10199</v>
      </c>
      <c r="E148" s="231" t="s">
        <v>1986</v>
      </c>
      <c r="H148" s="267" t="str">
        <f ca="1">IF(OR(don_BasePointX="ERROR",don_SearchEreaX="ERROR"),"",IF(OFFSET(INDIRECT(don_BasePointX),don_SEARCH_RESOLT__hikiuke_date,8,1,1)="","",OFFSET(INDIRECT(don_BasePointX),don_SEARCH_RESOLT__hikiuke_date,8,1,1)))</f>
        <v/>
      </c>
    </row>
    <row r="149" spans="1:25" ht="18" customHeight="1">
      <c r="B149" s="231" t="s">
        <v>9543</v>
      </c>
      <c r="E149" s="231" t="s">
        <v>9544</v>
      </c>
      <c r="H149" s="267" t="str">
        <f ca="1">IF(OR(don_BasePointX="ERROR",don_SearchEreaX="ERROR"),"",IF(OFFSET(INDIRECT(don_BasePointX),don_SEARCH_RESOLT__hikiuke_date,9,1,1)="","",OFFSET(INDIRECT(don_BasePointX),don_SEARCH_RESOLT__hikiuke_date,9,1,1)))</f>
        <v>大阪市中央区平野町3丁目6番1号</v>
      </c>
    </row>
    <row r="150" spans="1:25" ht="18" customHeight="1">
      <c r="B150" s="231" t="s">
        <v>10695</v>
      </c>
      <c r="E150" s="231" t="s">
        <v>10697</v>
      </c>
      <c r="H150" s="267" t="str">
        <f ca="1">IF(OR(don_BasePointX="ERROR",don_SearchEreaX="ERROR"),"",IF(OFFSET(INDIRECT(don_BasePointX),don_SEARCH_RESOLT__hikiuke_date,13,1,1)="","",OFFSET(INDIRECT(don_BasePointX),don_SEARCH_RESOLT__hikiuke_date,13,1,1)))</f>
        <v>osaka@c-ias.co.jp</v>
      </c>
    </row>
    <row r="152" spans="1:25" ht="18" customHeight="1">
      <c r="A152" s="231" t="s">
        <v>1955</v>
      </c>
      <c r="B152" s="231" t="s">
        <v>10237</v>
      </c>
      <c r="E152" s="231" t="s">
        <v>1987</v>
      </c>
      <c r="F152" s="330">
        <f ca="1">IF(shinsei_ISSUE_DATE="",TODAY(),shinsei_ISSUE_DATE)</f>
        <v>44348</v>
      </c>
      <c r="G152" s="231" t="s">
        <v>1989</v>
      </c>
      <c r="H152" s="331">
        <f ca="1">IF(OR(don_BasePointX="ERROR",don_SearchEreaX="ERROR"),"",IF(ISERROR(MATCH(don_SEARCH_DATE__issue_date,INDIRECT(don_SearchEreaX),0)),MATCH(don_SEARCH_DATE__issue_date,INDIRECT(don_SearchEreaX),1),MATCH(don_SEARCH_DATE__issue_date,INDIRECT(don_SearchEreaX),0)))</f>
        <v>2</v>
      </c>
      <c r="I152" s="332"/>
      <c r="J152" s="332"/>
      <c r="K152" s="332"/>
      <c r="L152" s="332"/>
      <c r="M152" s="332"/>
      <c r="N152" s="332"/>
      <c r="O152" s="332"/>
      <c r="P152" s="332"/>
      <c r="Q152" s="332"/>
      <c r="R152" s="332"/>
      <c r="S152" s="332"/>
      <c r="T152" s="332"/>
      <c r="U152" s="332"/>
      <c r="V152" s="332"/>
      <c r="W152" s="332"/>
      <c r="X152" s="332"/>
      <c r="Y152" s="231"/>
    </row>
    <row r="153" spans="1:25" ht="18" customHeight="1">
      <c r="B153" s="231" t="s">
        <v>10195</v>
      </c>
      <c r="E153" s="231" t="s">
        <v>1988</v>
      </c>
      <c r="H153" s="267" t="str">
        <f ca="1">IF(OR(don_BasePointX="ERROR",don_SearchEreaX="ERROR"),"",IF(OFFSET(INDIRECT(don_BasePointX),don_SEARCH_RESOLT__issue_date,0,1,1)="","",OFFSET(INDIRECT(don_BasePointX),don_SEARCH_RESOLT__issue_date,0,1,1)))</f>
        <v/>
      </c>
      <c r="I153" s="111"/>
      <c r="J153" s="111"/>
      <c r="K153" s="111"/>
      <c r="L153" s="111"/>
      <c r="M153" s="111"/>
      <c r="N153" s="111"/>
      <c r="O153" s="111"/>
      <c r="P153" s="111"/>
      <c r="Q153" s="111"/>
      <c r="R153" s="111"/>
      <c r="S153" s="111"/>
      <c r="T153" s="111"/>
      <c r="U153" s="111"/>
      <c r="V153" s="111"/>
      <c r="W153" s="111"/>
      <c r="X153" s="111"/>
      <c r="Y153" s="231"/>
    </row>
    <row r="154" spans="1:25" ht="18" customHeight="1">
      <c r="B154" s="231" t="s">
        <v>2766</v>
      </c>
      <c r="E154" s="231" t="s">
        <v>1990</v>
      </c>
      <c r="H154" s="267" t="str">
        <f ca="1">IF(OR(don_BasePointX="ERROR",don_SearchEreaX="ERROR"),"",IF(OFFSET(INDIRECT(don_BasePointX),don_SEARCH_RESOLT__issue_date,1,1,1)="","",OFFSET(INDIRECT(don_BasePointX),don_SEARCH_RESOLT__issue_date,1,1,1)))</f>
        <v>株式会社 国際確認検査センター</v>
      </c>
      <c r="I154" s="111"/>
      <c r="J154" s="111"/>
      <c r="K154" s="111"/>
      <c r="L154" s="111"/>
      <c r="M154" s="111"/>
      <c r="N154" s="111"/>
      <c r="O154" s="111"/>
      <c r="P154" s="111"/>
      <c r="Q154" s="111"/>
      <c r="R154" s="111"/>
      <c r="S154" s="111"/>
      <c r="T154" s="111"/>
      <c r="U154" s="111"/>
      <c r="V154" s="111"/>
      <c r="W154" s="111"/>
      <c r="X154" s="111"/>
      <c r="Y154" s="231"/>
    </row>
    <row r="155" spans="1:25" ht="18" customHeight="1">
      <c r="B155" s="231" t="s">
        <v>9054</v>
      </c>
      <c r="E155" s="231" t="s">
        <v>1991</v>
      </c>
      <c r="H155" s="267" t="str">
        <f ca="1">IF(OR(don_BasePointX="ERROR",don_SearchEreaX="ERROR"),"",IF(OFFSET(INDIRECT(don_BasePointX),don_SEARCH_RESOLT__issue_date,2,1,1)="","",OFFSET(INDIRECT(don_BasePointX),don_SEARCH_RESOLT__issue_date,2,1,1)))</f>
        <v>代表取締役　　山 田  耕 藏</v>
      </c>
      <c r="I155" s="111"/>
      <c r="J155" s="111"/>
      <c r="K155" s="111"/>
      <c r="L155" s="111"/>
      <c r="M155" s="111"/>
      <c r="N155" s="111"/>
      <c r="O155" s="111"/>
      <c r="P155" s="111"/>
      <c r="Q155" s="111"/>
      <c r="R155" s="111"/>
      <c r="S155" s="111"/>
      <c r="T155" s="111"/>
      <c r="U155" s="111"/>
      <c r="V155" s="111"/>
      <c r="W155" s="111"/>
      <c r="X155" s="111"/>
      <c r="Y155" s="231"/>
    </row>
    <row r="156" spans="1:25" ht="18" customHeight="1">
      <c r="B156" s="231" t="s">
        <v>225</v>
      </c>
      <c r="E156" s="231" t="s">
        <v>1992</v>
      </c>
      <c r="H156" s="333" t="str">
        <f ca="1">IF(OR(don_BasePointX="ERROR",don_SearchEreaX="ERROR"),"",IF(OFFSET(INDIRECT(don_BasePointX),don_SEARCH_RESOLT__issue_date,3,1,1)="","",OFFSET(INDIRECT(don_BasePointX),don_SEARCH_RESOLT__issue_date,3,1,1)))</f>
        <v>541-0046</v>
      </c>
      <c r="I156" s="1"/>
      <c r="J156" s="1"/>
      <c r="K156" s="1"/>
      <c r="L156" s="1"/>
      <c r="M156" s="1"/>
      <c r="N156" s="1"/>
      <c r="O156" s="1"/>
      <c r="P156" s="1"/>
      <c r="Q156" s="1"/>
      <c r="R156" s="1"/>
      <c r="S156" s="1"/>
      <c r="T156" s="1"/>
      <c r="U156" s="1"/>
      <c r="V156" s="1"/>
      <c r="W156" s="1"/>
      <c r="X156" s="1"/>
      <c r="Y156" s="231"/>
    </row>
    <row r="157" spans="1:25" ht="18" customHeight="1">
      <c r="B157" s="231" t="s">
        <v>10196</v>
      </c>
      <c r="E157" s="231" t="s">
        <v>1993</v>
      </c>
      <c r="H157" s="267" t="str">
        <f ca="1">IF(OR(don_BasePointX="ERROR",don_SearchEreaX="ERROR"),"",IF(OFFSET(INDIRECT(don_BasePointX),don_SEARCH_RESOLT__issue_date,4,1,1)="","",OFFSET(INDIRECT(don_BasePointX),don_SEARCH_RESOLT__issue_date,4,1,1)))</f>
        <v>大阪市中央区平野町3丁目6番1号</v>
      </c>
    </row>
    <row r="158" spans="1:25" ht="18" customHeight="1">
      <c r="B158" s="231" t="s">
        <v>2783</v>
      </c>
      <c r="E158" s="231" t="s">
        <v>1994</v>
      </c>
      <c r="H158" s="267" t="str">
        <f ca="1">IF(OR(don_BasePointX="ERROR",don_SearchEreaX="ERROR"),"",IF(OFFSET(INDIRECT(don_BasePointX),don_SEARCH_RESOLT__issue_date,5,1,1)="","",OFFSET(INDIRECT(don_BasePointX),don_SEARCH_RESOLT__issue_date,5,1,1)))</f>
        <v>あいおいニッセイ同和損保御堂筋ビル9階</v>
      </c>
    </row>
    <row r="159" spans="1:25" ht="18" customHeight="1">
      <c r="B159" s="231" t="s">
        <v>10197</v>
      </c>
      <c r="E159" s="231" t="s">
        <v>1995</v>
      </c>
      <c r="H159" s="267" t="str">
        <f ca="1">IF(OR(don_BasePointX="ERROR",don_SearchEreaX="ERROR"),"",IF(OFFSET(INDIRECT(don_BasePointX),don_SEARCH_RESOLT__issue_date,6,1,1)="","",OFFSET(INDIRECT(don_BasePointX),don_SEARCH_RESOLT__issue_date,6,1,1)))</f>
        <v>06-6222-6626</v>
      </c>
    </row>
    <row r="160" spans="1:25" ht="18" customHeight="1">
      <c r="B160" s="231" t="s">
        <v>10198</v>
      </c>
      <c r="E160" s="231" t="s">
        <v>1996</v>
      </c>
      <c r="H160" s="267" t="str">
        <f ca="1">IF(OR(don_BasePointX="ERROR",don_SearchEreaX="ERROR"),"",IF(OFFSET(INDIRECT(don_BasePointX),don_SEARCH_RESOLT__issue_date,7,1,1)="","",OFFSET(INDIRECT(don_BasePointX),don_SEARCH_RESOLT__issue_date,7,1,1)))</f>
        <v>06-6222-6627</v>
      </c>
    </row>
    <row r="161" spans="1:25" ht="18" customHeight="1">
      <c r="B161" s="231" t="s">
        <v>10199</v>
      </c>
      <c r="E161" s="231" t="s">
        <v>1997</v>
      </c>
      <c r="H161" s="267" t="str">
        <f ca="1">IF(OR(don_BasePointX="ERROR",don_SearchEreaX="ERROR"),"",IF(OFFSET(INDIRECT(don_BasePointX),don_SEARCH_RESOLT__issue_date,8,1,1)="","",OFFSET(INDIRECT(don_BasePointX),don_SEARCH_RESOLT__issue_date,8,1,1)))</f>
        <v/>
      </c>
    </row>
    <row r="162" spans="1:25" ht="18" customHeight="1">
      <c r="B162" s="231" t="s">
        <v>9543</v>
      </c>
      <c r="E162" s="231" t="s">
        <v>9545</v>
      </c>
      <c r="H162" s="267" t="str">
        <f ca="1">IF(OR(don_BasePointX="ERROR",don_SearchEreaX="ERROR"),"",IF(OFFSET(INDIRECT(don_BasePointX),don_SEARCH_RESOLT__issue_date,9,1,1)="","",OFFSET(INDIRECT(don_BasePointX),don_SEARCH_RESOLT__issue_date,9,1,1)))</f>
        <v>大阪市中央区平野町3丁目6番1号</v>
      </c>
    </row>
    <row r="163" spans="1:25" ht="18" customHeight="1">
      <c r="B163" s="231" t="s">
        <v>10695</v>
      </c>
      <c r="E163" s="231" t="s">
        <v>10698</v>
      </c>
      <c r="H163" s="267" t="str">
        <f ca="1">IF(OR(don_BasePointX="ERROR",don_SearchEreaX="ERROR"),"",IF(OFFSET(INDIRECT(don_BasePointX),don_SEARCH_RESOLT__issue_date,13,1,1)="","",OFFSET(INDIRECT(don_BasePointX),don_SEARCH_RESOLT__issue_date,13,1,1)))</f>
        <v>osaka@c-ias.co.jp</v>
      </c>
    </row>
    <row r="165" spans="1:25" ht="18" customHeight="1">
      <c r="A165" s="231" t="s">
        <v>1956</v>
      </c>
      <c r="B165" s="231" t="s">
        <v>10237</v>
      </c>
      <c r="E165" s="231" t="s">
        <v>1957</v>
      </c>
      <c r="F165" s="330">
        <f ca="1">IF(cst_shinsei_xx_NOTIFY_DATE="",TODAY(),cst_shinsei_xx_NOTIFY_DATE)</f>
        <v>44348</v>
      </c>
      <c r="G165" s="231" t="s">
        <v>1958</v>
      </c>
      <c r="H165" s="331">
        <f ca="1">IF(OR(don_BasePointX="ERROR",don_SearchEreaX="ERROR"),"",IF(ISERROR(MATCH(don_SEARCH_DATE__notify_date,INDIRECT(don_SearchEreaX),0)),MATCH(don_SEARCH_DATE__notify_date,INDIRECT(don_SearchEreaX),1),MATCH(don_SEARCH_DATE__notify_date,INDIRECT(don_SearchEreaX),0)))</f>
        <v>2</v>
      </c>
      <c r="I165" s="332"/>
      <c r="J165" s="332"/>
      <c r="K165" s="332"/>
      <c r="L165" s="332"/>
      <c r="M165" s="332"/>
      <c r="N165" s="332"/>
      <c r="O165" s="332"/>
      <c r="P165" s="332"/>
      <c r="Q165" s="332"/>
      <c r="R165" s="332"/>
      <c r="S165" s="332"/>
      <c r="T165" s="332"/>
      <c r="U165" s="332"/>
      <c r="V165" s="332"/>
      <c r="W165" s="332"/>
      <c r="X165" s="332"/>
      <c r="Y165" s="231"/>
    </row>
    <row r="166" spans="1:25" ht="18" customHeight="1">
      <c r="B166" s="231" t="s">
        <v>10195</v>
      </c>
      <c r="E166" s="231" t="s">
        <v>1959</v>
      </c>
      <c r="H166" s="267" t="str">
        <f ca="1">IF(OR(don_BasePointX="ERROR",don_SearchEreaX="ERROR"),"",IF(OFFSET(INDIRECT(don_BasePointX),don_SEARCH_RESOLT__notify_date,0,1,1)="","",OFFSET(INDIRECT(don_BasePointX),don_SEARCH_RESOLT__notify_date,0,1,1)))</f>
        <v/>
      </c>
      <c r="I166" s="111"/>
      <c r="J166" s="111"/>
      <c r="K166" s="111"/>
      <c r="L166" s="111"/>
      <c r="M166" s="111"/>
      <c r="N166" s="111"/>
      <c r="O166" s="111"/>
      <c r="P166" s="111"/>
      <c r="Q166" s="111"/>
      <c r="R166" s="111"/>
      <c r="S166" s="111"/>
      <c r="T166" s="111"/>
      <c r="U166" s="111"/>
      <c r="V166" s="111"/>
      <c r="W166" s="111"/>
      <c r="X166" s="111"/>
      <c r="Y166" s="231"/>
    </row>
    <row r="167" spans="1:25" ht="18" customHeight="1">
      <c r="B167" s="231" t="s">
        <v>2766</v>
      </c>
      <c r="E167" s="231" t="s">
        <v>1960</v>
      </c>
      <c r="H167" s="267" t="str">
        <f ca="1">IF(OR(don_BasePointX="ERROR",don_SearchEreaX="ERROR"),"",IF(OFFSET(INDIRECT(don_BasePointX),don_SEARCH_RESOLT__notify_date,1,1,1)="","",OFFSET(INDIRECT(don_BasePointX),don_SEARCH_RESOLT__notify_date,1,1,1)))</f>
        <v>株式会社 国際確認検査センター</v>
      </c>
      <c r="I167" s="111"/>
      <c r="J167" s="111"/>
      <c r="K167" s="111"/>
      <c r="L167" s="111"/>
      <c r="M167" s="111"/>
      <c r="N167" s="111"/>
      <c r="O167" s="111"/>
      <c r="P167" s="111"/>
      <c r="Q167" s="111"/>
      <c r="R167" s="111"/>
      <c r="S167" s="111"/>
      <c r="T167" s="111"/>
      <c r="U167" s="111"/>
      <c r="V167" s="111"/>
      <c r="W167" s="111"/>
      <c r="X167" s="111"/>
      <c r="Y167" s="231"/>
    </row>
    <row r="168" spans="1:25" ht="18" customHeight="1">
      <c r="B168" s="231" t="s">
        <v>9054</v>
      </c>
      <c r="E168" s="231" t="s">
        <v>1961</v>
      </c>
      <c r="H168" s="267" t="str">
        <f ca="1">IF(OR(don_BasePointX="ERROR",don_SearchEreaX="ERROR"),"",IF(OFFSET(INDIRECT(don_BasePointX),don_SEARCH_RESOLT__notify_date,2,1,1)="","",OFFSET(INDIRECT(don_BasePointX),don_SEARCH_RESOLT__notify_date,2,1,1)))</f>
        <v>代表取締役　　山 田  耕 藏</v>
      </c>
      <c r="I168" s="111"/>
      <c r="J168" s="111"/>
      <c r="K168" s="111"/>
      <c r="L168" s="111"/>
      <c r="M168" s="111"/>
      <c r="N168" s="111"/>
      <c r="O168" s="111"/>
      <c r="P168" s="111"/>
      <c r="Q168" s="111"/>
      <c r="R168" s="111"/>
      <c r="S168" s="111"/>
      <c r="T168" s="111"/>
      <c r="U168" s="111"/>
      <c r="V168" s="111"/>
      <c r="W168" s="111"/>
      <c r="X168" s="111"/>
      <c r="Y168" s="231"/>
    </row>
    <row r="169" spans="1:25" ht="18" customHeight="1">
      <c r="B169" s="231" t="s">
        <v>225</v>
      </c>
      <c r="E169" s="231" t="s">
        <v>1962</v>
      </c>
      <c r="H169" s="333" t="str">
        <f ca="1">IF(OR(don_BasePointX="ERROR",don_SearchEreaX="ERROR"),"",IF(OFFSET(INDIRECT(don_BasePointX),don_SEARCH_RESOLT__notify_date,3,1,1)="","",OFFSET(INDIRECT(don_BasePointX),don_SEARCH_RESOLT__notify_date,3,1,1)))</f>
        <v>541-0046</v>
      </c>
      <c r="I169" s="1"/>
      <c r="J169" s="1"/>
      <c r="K169" s="1"/>
      <c r="L169" s="1"/>
      <c r="M169" s="1"/>
      <c r="N169" s="1"/>
      <c r="O169" s="1"/>
      <c r="P169" s="1"/>
      <c r="Q169" s="1"/>
      <c r="R169" s="1"/>
      <c r="S169" s="1"/>
      <c r="T169" s="1"/>
      <c r="U169" s="1"/>
      <c r="V169" s="1"/>
      <c r="W169" s="1"/>
      <c r="X169" s="1"/>
      <c r="Y169" s="231"/>
    </row>
    <row r="170" spans="1:25" ht="18" customHeight="1">
      <c r="B170" s="231" t="s">
        <v>10196</v>
      </c>
      <c r="E170" s="231" t="s">
        <v>1963</v>
      </c>
      <c r="H170" s="267" t="str">
        <f ca="1">IF(OR(don_BasePointX="ERROR",don_SearchEreaX="ERROR"),"",IF(OFFSET(INDIRECT(don_BasePointX),don_SEARCH_RESOLT__notify_date,4,1,1)="","",OFFSET(INDIRECT(don_BasePointX),don_SEARCH_RESOLT__notify_date,4,1,1)))</f>
        <v>大阪市中央区平野町3丁目6番1号</v>
      </c>
    </row>
    <row r="171" spans="1:25" ht="18" customHeight="1">
      <c r="B171" s="231" t="s">
        <v>2783</v>
      </c>
      <c r="E171" s="231" t="s">
        <v>1964</v>
      </c>
      <c r="H171" s="267" t="str">
        <f ca="1">IF(OR(don_BasePointX="ERROR",don_SearchEreaX="ERROR"),"",IF(OFFSET(INDIRECT(don_BasePointX),don_SEARCH_RESOLT__notify_date,5,1,1)="","",OFFSET(INDIRECT(don_BasePointX),don_SEARCH_RESOLT__notify_date,5,1,1)))</f>
        <v>あいおいニッセイ同和損保御堂筋ビル9階</v>
      </c>
    </row>
    <row r="172" spans="1:25" ht="18" customHeight="1">
      <c r="B172" s="231" t="s">
        <v>10197</v>
      </c>
      <c r="E172" s="231" t="s">
        <v>1965</v>
      </c>
      <c r="H172" s="267" t="str">
        <f ca="1">IF(OR(don_BasePointX="ERROR",don_SearchEreaX="ERROR"),"",IF(OFFSET(INDIRECT(don_BasePointX),don_SEARCH_RESOLT__notify_date,6,1,1)="","",OFFSET(INDIRECT(don_BasePointX),don_SEARCH_RESOLT__notify_date,6,1,1)))</f>
        <v>06-6222-6626</v>
      </c>
    </row>
    <row r="173" spans="1:25" ht="18" customHeight="1">
      <c r="B173" s="231" t="s">
        <v>10198</v>
      </c>
      <c r="E173" s="231" t="s">
        <v>1966</v>
      </c>
      <c r="H173" s="267" t="str">
        <f ca="1">IF(OR(don_BasePointX="ERROR",don_SearchEreaX="ERROR"),"",IF(OFFSET(INDIRECT(don_BasePointX),don_SEARCH_RESOLT__notify_date,7,1,1)="","",OFFSET(INDIRECT(don_BasePointX),don_SEARCH_RESOLT__notify_date,7,1,1)))</f>
        <v>06-6222-6627</v>
      </c>
    </row>
    <row r="174" spans="1:25" ht="18" customHeight="1">
      <c r="B174" s="231" t="s">
        <v>10199</v>
      </c>
      <c r="E174" s="231" t="s">
        <v>1967</v>
      </c>
      <c r="H174" s="267" t="str">
        <f ca="1">IF(OR(don_BasePointX="ERROR",don_SearchEreaX="ERROR"),"",IF(OFFSET(INDIRECT(don_BasePointX),don_SEARCH_RESOLT__notify_date,8,1,1)="","",OFFSET(INDIRECT(don_BasePointX),don_SEARCH_RESOLT__notify_date,8,1,1)))</f>
        <v/>
      </c>
    </row>
    <row r="175" spans="1:25" ht="18" customHeight="1">
      <c r="B175" s="231" t="s">
        <v>9543</v>
      </c>
      <c r="E175" s="231" t="s">
        <v>9546</v>
      </c>
      <c r="H175" s="267" t="str">
        <f ca="1">IF(OR(don_BasePointX="ERROR",don_SearchEreaX="ERROR"),"",IF(OFFSET(INDIRECT(don_BasePointX),don_SEARCH_RESOLT__notify_date,9,1,1)="","",OFFSET(INDIRECT(don_BasePointX),don_SEARCH_RESOLT__notify_date,9,1,1)))</f>
        <v>大阪市中央区平野町3丁目6番1号</v>
      </c>
    </row>
    <row r="176" spans="1:25" ht="18" customHeight="1">
      <c r="B176" s="231" t="s">
        <v>10695</v>
      </c>
      <c r="E176" s="231" t="s">
        <v>10699</v>
      </c>
      <c r="H176" s="267" t="str">
        <f ca="1">IF(OR(don_BasePointX="ERROR",don_SearchEreaX="ERROR"),"",IF(OFFSET(INDIRECT(don_BasePointX),don_SEARCH_RESOLT__notify_date,13,1,1)="","",OFFSET(INDIRECT(don_BasePointX),don_SEARCH_RESOLT__notify_date,13,1,1)))</f>
        <v>osaka@c-ias.co.jp</v>
      </c>
    </row>
    <row r="178" spans="1:25" ht="18" customHeight="1">
      <c r="A178" s="231" t="s">
        <v>1998</v>
      </c>
      <c r="B178" s="231" t="s">
        <v>10237</v>
      </c>
      <c r="E178" s="231" t="s">
        <v>1999</v>
      </c>
      <c r="F178" s="330">
        <f ca="1">IF(shinsei_HIKIUKE_TUUTI_DATE="",TODAY(),shinsei_HIKIUKE_TUUTI_DATE)</f>
        <v>44348</v>
      </c>
      <c r="G178" s="231" t="s">
        <v>2009</v>
      </c>
      <c r="H178" s="331">
        <f ca="1">IF(OR(don_BasePointX="ERROR",don_SearchEreaX="ERROR"),"",IF(ISERROR(MATCH(don_SEARCH_DATE__hikiuke_tuuti_date,INDIRECT(don_SearchEreaX),0)),MATCH(don_SEARCH_DATE__hikiuke_tuuti_date,INDIRECT(don_SearchEreaX),1),MATCH(don_SEARCH_DATE__hikiuke_tuuti_date,INDIRECT(don_SearchEreaX),0)))</f>
        <v>2</v>
      </c>
      <c r="I178" s="332"/>
      <c r="J178" s="332"/>
      <c r="K178" s="332"/>
      <c r="L178" s="332"/>
      <c r="M178" s="332"/>
      <c r="N178" s="332"/>
      <c r="O178" s="332"/>
      <c r="P178" s="332"/>
      <c r="Q178" s="332"/>
      <c r="R178" s="332"/>
      <c r="S178" s="332"/>
      <c r="T178" s="332"/>
      <c r="U178" s="332"/>
      <c r="V178" s="332"/>
      <c r="W178" s="332"/>
      <c r="X178" s="332"/>
      <c r="Y178" s="231"/>
    </row>
    <row r="179" spans="1:25" ht="18" customHeight="1">
      <c r="B179" s="231" t="s">
        <v>10195</v>
      </c>
      <c r="E179" s="231" t="s">
        <v>2000</v>
      </c>
      <c r="H179" s="267" t="str">
        <f ca="1">IF(OR(don_BasePointX="ERROR",don_SearchEreaX="ERROR"),"",IF(OFFSET(INDIRECT(don_BasePointX),don_SEARCH_RESOLT__hikiuke_tuuti_date,0,1,1)="","",OFFSET(INDIRECT(don_BasePointX),don_SEARCH_RESOLT__hikiuke_tuuti_date,0,1,1)))</f>
        <v/>
      </c>
      <c r="I179" s="111"/>
      <c r="J179" s="111"/>
      <c r="K179" s="111"/>
      <c r="L179" s="111"/>
      <c r="M179" s="111"/>
      <c r="N179" s="111"/>
      <c r="O179" s="111"/>
      <c r="P179" s="111"/>
      <c r="Q179" s="111"/>
      <c r="R179" s="111"/>
      <c r="S179" s="111"/>
      <c r="T179" s="111"/>
      <c r="U179" s="111"/>
      <c r="V179" s="111"/>
      <c r="W179" s="111"/>
      <c r="X179" s="111"/>
      <c r="Y179" s="231"/>
    </row>
    <row r="180" spans="1:25" ht="18" customHeight="1">
      <c r="B180" s="231" t="s">
        <v>2766</v>
      </c>
      <c r="E180" s="231" t="s">
        <v>2001</v>
      </c>
      <c r="H180" s="267" t="str">
        <f ca="1">IF(OR(don_BasePointX="ERROR",don_SearchEreaX="ERROR"),"",IF(OFFSET(INDIRECT(don_BasePointX),don_SEARCH_RESOLT__hikiuke_tuuti_date,1,1,1)="","",OFFSET(INDIRECT(don_BasePointX),don_SEARCH_RESOLT__hikiuke_tuuti_date,1,1,1)))</f>
        <v>株式会社 国際確認検査センター</v>
      </c>
      <c r="I180" s="111"/>
      <c r="J180" s="111"/>
      <c r="K180" s="111"/>
      <c r="L180" s="111"/>
      <c r="M180" s="111"/>
      <c r="N180" s="111"/>
      <c r="O180" s="111"/>
      <c r="P180" s="111"/>
      <c r="Q180" s="111"/>
      <c r="R180" s="111"/>
      <c r="S180" s="111"/>
      <c r="T180" s="111"/>
      <c r="U180" s="111"/>
      <c r="V180" s="111"/>
      <c r="W180" s="111"/>
      <c r="X180" s="111"/>
      <c r="Y180" s="231"/>
    </row>
    <row r="181" spans="1:25" ht="18" customHeight="1">
      <c r="B181" s="231" t="s">
        <v>9054</v>
      </c>
      <c r="E181" s="231" t="s">
        <v>2002</v>
      </c>
      <c r="H181" s="267" t="str">
        <f ca="1">IF(OR(don_BasePointX="ERROR",don_SearchEreaX="ERROR"),"",IF(OFFSET(INDIRECT(don_BasePointX),don_SEARCH_RESOLT__hikiuke_tuuti_date,2,1,1)="","",OFFSET(INDIRECT(don_BasePointX),don_SEARCH_RESOLT__hikiuke_tuuti_date,2,1,1)))</f>
        <v>代表取締役　　山 田  耕 藏</v>
      </c>
      <c r="I181" s="111"/>
      <c r="J181" s="111"/>
      <c r="K181" s="111"/>
      <c r="L181" s="111"/>
      <c r="M181" s="111"/>
      <c r="N181" s="111"/>
      <c r="O181" s="111"/>
      <c r="P181" s="111"/>
      <c r="Q181" s="111"/>
      <c r="R181" s="111"/>
      <c r="S181" s="111"/>
      <c r="T181" s="111"/>
      <c r="U181" s="111"/>
      <c r="V181" s="111"/>
      <c r="W181" s="111"/>
      <c r="X181" s="111"/>
      <c r="Y181" s="231"/>
    </row>
    <row r="182" spans="1:25" ht="18" customHeight="1">
      <c r="B182" s="231" t="s">
        <v>225</v>
      </c>
      <c r="E182" s="231" t="s">
        <v>2003</v>
      </c>
      <c r="H182" s="333" t="str">
        <f ca="1">IF(OR(don_BasePointX="ERROR",don_SearchEreaX="ERROR"),"",IF(OFFSET(INDIRECT(don_BasePointX),don_SEARCH_RESOLT__hikiuke_tuuti_date,3,1,1)="","",OFFSET(INDIRECT(don_BasePointX),don_SEARCH_RESOLT__hikiuke_tuuti_date,3,1,1)))</f>
        <v>541-0046</v>
      </c>
      <c r="I182" s="1"/>
      <c r="J182" s="1"/>
      <c r="K182" s="1"/>
      <c r="L182" s="1"/>
      <c r="M182" s="1"/>
      <c r="N182" s="1"/>
      <c r="O182" s="1"/>
      <c r="P182" s="1"/>
      <c r="Q182" s="1"/>
      <c r="R182" s="1"/>
      <c r="S182" s="1"/>
      <c r="T182" s="1"/>
      <c r="U182" s="1"/>
      <c r="V182" s="1"/>
      <c r="W182" s="1"/>
      <c r="X182" s="1"/>
      <c r="Y182" s="231"/>
    </row>
    <row r="183" spans="1:25" ht="18" customHeight="1">
      <c r="B183" s="231" t="s">
        <v>10196</v>
      </c>
      <c r="E183" s="231" t="s">
        <v>2004</v>
      </c>
      <c r="H183" s="267" t="str">
        <f ca="1">IF(OR(don_BasePointX="ERROR",don_SearchEreaX="ERROR"),"",IF(OFFSET(INDIRECT(don_BasePointX),don_SEARCH_RESOLT__hikiuke_tuuti_date,4,1,1)="","",OFFSET(INDIRECT(don_BasePointX),don_SEARCH_RESOLT__hikiuke_tuuti_date,4,1,1)))</f>
        <v>大阪市中央区平野町3丁目6番1号</v>
      </c>
    </row>
    <row r="184" spans="1:25" ht="18" customHeight="1">
      <c r="B184" s="231" t="s">
        <v>2783</v>
      </c>
      <c r="E184" s="231" t="s">
        <v>2005</v>
      </c>
      <c r="H184" s="267" t="str">
        <f ca="1">IF(OR(don_BasePointX="ERROR",don_SearchEreaX="ERROR"),"",IF(OFFSET(INDIRECT(don_BasePointX),don_SEARCH_RESOLT__hikiuke_tuuti_date,5,1,1)="","",OFFSET(INDIRECT(don_BasePointX),don_SEARCH_RESOLT__hikiuke_tuuti_date,5,1,1)))</f>
        <v>あいおいニッセイ同和損保御堂筋ビル9階</v>
      </c>
    </row>
    <row r="185" spans="1:25" ht="18" customHeight="1">
      <c r="B185" s="231" t="s">
        <v>10197</v>
      </c>
      <c r="E185" s="231" t="s">
        <v>2006</v>
      </c>
      <c r="H185" s="267" t="str">
        <f ca="1">IF(OR(don_BasePointX="ERROR",don_SearchEreaX="ERROR"),"",IF(OFFSET(INDIRECT(don_BasePointX),don_SEARCH_RESOLT__hikiuke_tuuti_date,6,1,1)="","",OFFSET(INDIRECT(don_BasePointX),don_SEARCH_RESOLT__hikiuke_tuuti_date,6,1,1)))</f>
        <v>06-6222-6626</v>
      </c>
    </row>
    <row r="186" spans="1:25" ht="18" customHeight="1">
      <c r="B186" s="231" t="s">
        <v>10198</v>
      </c>
      <c r="E186" s="231" t="s">
        <v>2007</v>
      </c>
      <c r="H186" s="267" t="str">
        <f ca="1">IF(OR(don_BasePointX="ERROR",don_SearchEreaX="ERROR"),"",IF(OFFSET(INDIRECT(don_BasePointX),don_SEARCH_RESOLT__hikiuke_tuuti_date,7,1,1)="","",OFFSET(INDIRECT(don_BasePointX),don_SEARCH_RESOLT__hikiuke_tuuti_date,7,1,1)))</f>
        <v>06-6222-6627</v>
      </c>
    </row>
    <row r="187" spans="1:25" ht="18" customHeight="1">
      <c r="B187" s="231" t="s">
        <v>10199</v>
      </c>
      <c r="E187" s="231" t="s">
        <v>2008</v>
      </c>
      <c r="H187" s="267" t="str">
        <f ca="1">IF(OR(don_BasePointX="ERROR",don_SearchEreaX="ERROR"),"",IF(OFFSET(INDIRECT(don_BasePointX),don_SEARCH_RESOLT__hikiuke_tuuti_date,8,1,1)="","",OFFSET(INDIRECT(don_BasePointX),don_SEARCH_RESOLT__hikiuke_tuuti_date,8,1,1)))</f>
        <v/>
      </c>
    </row>
    <row r="188" spans="1:25" ht="18" customHeight="1">
      <c r="B188" s="231" t="s">
        <v>9543</v>
      </c>
      <c r="E188" s="231" t="s">
        <v>9547</v>
      </c>
      <c r="H188" s="267" t="str">
        <f ca="1">IF(OR(don_BasePointX="ERROR",don_SearchEreaX="ERROR"),"",IF(OFFSET(INDIRECT(don_BasePointX),don_SEARCH_RESOLT__hikiuke_tuuti_date,9,1,1)="","",OFFSET(INDIRECT(don_BasePointX),don_SEARCH_RESOLT__hikiuke_tuuti_date,9,1,1)))</f>
        <v>大阪市中央区平野町3丁目6番1号</v>
      </c>
    </row>
    <row r="189" spans="1:25" ht="18" customHeight="1">
      <c r="B189" s="231" t="s">
        <v>10695</v>
      </c>
      <c r="E189" s="231" t="s">
        <v>10700</v>
      </c>
      <c r="H189" s="267" t="str">
        <f ca="1">IF(OR(don_BasePointX="ERROR",don_SearchEreaX="ERROR"),"",IF(OFFSET(INDIRECT(don_BasePointX),don_SEARCH_RESOLT__hikiuke_tuuti_date,13,1,1)="","",OFFSET(INDIRECT(don_BasePointX),don_SEARCH_RESOLT__hikiuke_tuuti_date,13,1,1)))</f>
        <v>osaka@c-ias.co.jp</v>
      </c>
    </row>
    <row r="191" spans="1:25" ht="18" customHeight="1">
      <c r="A191" s="231" t="s">
        <v>2010</v>
      </c>
      <c r="B191" s="231" t="s">
        <v>10237</v>
      </c>
      <c r="E191" s="231" t="s">
        <v>2012</v>
      </c>
      <c r="F191" s="330">
        <f ca="1">IF(cst_shinsei_xy_REPORT_DATE="",TODAY(),cst_shinsei_xy_REPORT_DATE)</f>
        <v>44348</v>
      </c>
      <c r="G191" s="231" t="s">
        <v>2021</v>
      </c>
      <c r="H191" s="331">
        <f ca="1">IF(OR(don_BasePointX="ERROR",don_SearchEreaX="ERROR"),"",IF(ISERROR(MATCH(don_SEARCH_DATE__report_date,INDIRECT(don_SearchEreaX),0)),MATCH(don_SEARCH_DATE__report_date,INDIRECT(don_SearchEreaX),1),MATCH(don_SEARCH_DATE__report_date,INDIRECT(don_SearchEreaX),0)))</f>
        <v>2</v>
      </c>
      <c r="I191" s="332"/>
      <c r="J191" s="332"/>
      <c r="K191" s="332"/>
      <c r="L191" s="332"/>
      <c r="M191" s="332"/>
      <c r="N191" s="332"/>
      <c r="O191" s="332"/>
      <c r="P191" s="332"/>
      <c r="Q191" s="332"/>
      <c r="R191" s="332"/>
      <c r="S191" s="332"/>
      <c r="T191" s="332"/>
      <c r="U191" s="332"/>
      <c r="V191" s="332"/>
      <c r="W191" s="332"/>
      <c r="X191" s="332"/>
      <c r="Y191" s="231"/>
    </row>
    <row r="192" spans="1:25" ht="18" customHeight="1">
      <c r="B192" s="231" t="s">
        <v>10195</v>
      </c>
      <c r="E192" s="231" t="s">
        <v>2013</v>
      </c>
      <c r="H192" s="267" t="str">
        <f ca="1">IF(OR(don_BasePointX="ERROR",don_SearchEreaX="ERROR"),"",IF(OFFSET(INDIRECT(don_BasePointX),don_SEARCH_RESOLT__report_date,0,1,1)="","",OFFSET(INDIRECT(don_BasePointX),don_SEARCH_RESOLT__report_date,0,1,1)))</f>
        <v/>
      </c>
      <c r="I192" s="111"/>
      <c r="J192" s="111"/>
      <c r="K192" s="111"/>
      <c r="L192" s="111"/>
      <c r="M192" s="111"/>
      <c r="N192" s="111"/>
      <c r="O192" s="111"/>
      <c r="P192" s="111"/>
      <c r="Q192" s="111"/>
      <c r="R192" s="111"/>
      <c r="S192" s="111"/>
      <c r="T192" s="111"/>
      <c r="U192" s="111"/>
      <c r="V192" s="111"/>
      <c r="W192" s="111"/>
      <c r="X192" s="111"/>
      <c r="Y192" s="231"/>
    </row>
    <row r="193" spans="1:25" ht="18" customHeight="1">
      <c r="B193" s="231" t="s">
        <v>2766</v>
      </c>
      <c r="E193" s="231" t="s">
        <v>2014</v>
      </c>
      <c r="H193" s="267" t="str">
        <f ca="1">IF(OR(don_BasePointX="ERROR",don_SearchEreaX="ERROR"),"",IF(OFFSET(INDIRECT(don_BasePointX),don_SEARCH_RESOLT__report_date,1,1,1)="","",OFFSET(INDIRECT(don_BasePointX),don_SEARCH_RESOLT__report_date,1,1,1)))</f>
        <v>株式会社 国際確認検査センター</v>
      </c>
      <c r="I193" s="111"/>
      <c r="J193" s="111"/>
      <c r="K193" s="111"/>
      <c r="L193" s="111"/>
      <c r="M193" s="111"/>
      <c r="N193" s="111"/>
      <c r="O193" s="111"/>
      <c r="P193" s="111"/>
      <c r="Q193" s="111"/>
      <c r="R193" s="111"/>
      <c r="S193" s="111"/>
      <c r="T193" s="111"/>
      <c r="U193" s="111"/>
      <c r="V193" s="111"/>
      <c r="W193" s="111"/>
      <c r="X193" s="111"/>
      <c r="Y193" s="231"/>
    </row>
    <row r="194" spans="1:25" ht="18" customHeight="1">
      <c r="B194" s="231" t="s">
        <v>9054</v>
      </c>
      <c r="E194" s="231" t="s">
        <v>2015</v>
      </c>
      <c r="H194" s="267" t="str">
        <f ca="1">IF(OR(don_BasePointX="ERROR",don_SearchEreaX="ERROR"),"",IF(OFFSET(INDIRECT(don_BasePointX),don_SEARCH_RESOLT__report_date,2,1,1)="","",OFFSET(INDIRECT(don_BasePointX),don_SEARCH_RESOLT__report_date,2,1,1)))</f>
        <v>代表取締役　　山 田  耕 藏</v>
      </c>
      <c r="I194" s="111"/>
      <c r="J194" s="111"/>
      <c r="K194" s="111"/>
      <c r="L194" s="111"/>
      <c r="M194" s="111"/>
      <c r="N194" s="111"/>
      <c r="O194" s="111"/>
      <c r="P194" s="111"/>
      <c r="Q194" s="111"/>
      <c r="R194" s="111"/>
      <c r="S194" s="111"/>
      <c r="T194" s="111"/>
      <c r="U194" s="111"/>
      <c r="V194" s="111"/>
      <c r="W194" s="111"/>
      <c r="X194" s="111"/>
      <c r="Y194" s="231"/>
    </row>
    <row r="195" spans="1:25" ht="18" customHeight="1">
      <c r="B195" s="231" t="s">
        <v>225</v>
      </c>
      <c r="E195" s="231" t="s">
        <v>2016</v>
      </c>
      <c r="H195" s="333" t="str">
        <f ca="1">IF(OR(don_BasePointX="ERROR",don_SearchEreaX="ERROR"),"",IF(OFFSET(INDIRECT(don_BasePointX),don_SEARCH_RESOLT__report_date,3,1,1)="","",OFFSET(INDIRECT(don_BasePointX),don_SEARCH_RESOLT__report_date,3,1,1)))</f>
        <v>541-0046</v>
      </c>
      <c r="I195" s="1"/>
      <c r="J195" s="1"/>
      <c r="K195" s="1"/>
      <c r="L195" s="1"/>
      <c r="M195" s="1"/>
      <c r="N195" s="1"/>
      <c r="O195" s="1"/>
      <c r="P195" s="1"/>
      <c r="Q195" s="1"/>
      <c r="R195" s="1"/>
      <c r="S195" s="1"/>
      <c r="T195" s="1"/>
      <c r="U195" s="1"/>
      <c r="V195" s="1"/>
      <c r="W195" s="1"/>
      <c r="X195" s="1"/>
      <c r="Y195" s="231"/>
    </row>
    <row r="196" spans="1:25" ht="18" customHeight="1">
      <c r="B196" s="231" t="s">
        <v>10196</v>
      </c>
      <c r="E196" s="231" t="s">
        <v>2022</v>
      </c>
      <c r="H196" s="267" t="str">
        <f ca="1">IF(OR(don_BasePointX="ERROR",don_SearchEreaX="ERROR"),"",IF(OFFSET(INDIRECT(don_BasePointX),don_SEARCH_RESOLT__report_date,4,1,1)="","",OFFSET(INDIRECT(don_BasePointX),don_SEARCH_RESOLT__report_date,4,1,1)))</f>
        <v>大阪市中央区平野町3丁目6番1号</v>
      </c>
    </row>
    <row r="197" spans="1:25" ht="18" customHeight="1">
      <c r="B197" s="231" t="s">
        <v>2783</v>
      </c>
      <c r="E197" s="231" t="s">
        <v>2017</v>
      </c>
      <c r="H197" s="267" t="str">
        <f ca="1">IF(OR(don_BasePointX="ERROR",don_SearchEreaX="ERROR"),"",IF(OFFSET(INDIRECT(don_BasePointX),don_SEARCH_RESOLT__report_date,5,1,1)="","",OFFSET(INDIRECT(don_BasePointX),don_SEARCH_RESOLT__report_date,5,1,1)))</f>
        <v>あいおいニッセイ同和損保御堂筋ビル9階</v>
      </c>
    </row>
    <row r="198" spans="1:25" ht="18" customHeight="1">
      <c r="B198" s="231" t="s">
        <v>10197</v>
      </c>
      <c r="E198" s="231" t="s">
        <v>2018</v>
      </c>
      <c r="H198" s="267" t="str">
        <f ca="1">IF(OR(don_BasePointX="ERROR",don_SearchEreaX="ERROR"),"",IF(OFFSET(INDIRECT(don_BasePointX),don_SEARCH_RESOLT__report_date,6,1,1)="","",OFFSET(INDIRECT(don_BasePointX),don_SEARCH_RESOLT__report_date,6,1,1)))</f>
        <v>06-6222-6626</v>
      </c>
    </row>
    <row r="199" spans="1:25" ht="18" customHeight="1">
      <c r="B199" s="231" t="s">
        <v>10198</v>
      </c>
      <c r="E199" s="231" t="s">
        <v>2019</v>
      </c>
      <c r="H199" s="267" t="str">
        <f ca="1">IF(OR(don_BasePointX="ERROR",don_SearchEreaX="ERROR"),"",IF(OFFSET(INDIRECT(don_BasePointX),don_SEARCH_RESOLT__report_date,7,1,1)="","",OFFSET(INDIRECT(don_BasePointX),don_SEARCH_RESOLT__report_date,7,1,1)))</f>
        <v>06-6222-6627</v>
      </c>
    </row>
    <row r="200" spans="1:25" ht="18" customHeight="1">
      <c r="B200" s="231" t="s">
        <v>10199</v>
      </c>
      <c r="E200" s="231" t="s">
        <v>2020</v>
      </c>
      <c r="H200" s="267" t="str">
        <f ca="1">IF(OR(don_BasePointX="ERROR",don_SearchEreaX="ERROR"),"",IF(OFFSET(INDIRECT(don_BasePointX),don_SEARCH_RESOLT__report_date,8,1,1)="","",OFFSET(INDIRECT(don_BasePointX),don_SEARCH_RESOLT__report_date,8,1,1)))</f>
        <v/>
      </c>
    </row>
    <row r="201" spans="1:25" ht="18" customHeight="1">
      <c r="B201" s="231" t="s">
        <v>9543</v>
      </c>
      <c r="E201" s="231" t="s">
        <v>9548</v>
      </c>
      <c r="H201" s="267" t="str">
        <f ca="1">IF(OR(don_BasePointX="ERROR",don_SearchEreaX="ERROR"),"",IF(OFFSET(INDIRECT(don_BasePointX),don_SEARCH_RESOLT__report_date,9,1,1)="","",OFFSET(INDIRECT(don_BasePointX),don_SEARCH_RESOLT__report_date,9,1,1)))</f>
        <v>大阪市中央区平野町3丁目6番1号</v>
      </c>
    </row>
    <row r="202" spans="1:25" ht="18" customHeight="1">
      <c r="B202" s="231" t="s">
        <v>10695</v>
      </c>
      <c r="E202" s="231" t="s">
        <v>10701</v>
      </c>
      <c r="H202" s="267" t="str">
        <f ca="1">IF(OR(don_BasePointX="ERROR",don_SearchEreaX="ERROR"),"",IF(OFFSET(INDIRECT(don_BasePointX),don_SEARCH_RESOLT__report_date,13,1,1)="","",OFFSET(INDIRECT(don_BasePointX),don_SEARCH_RESOLT__report_date,13,1,1)))</f>
        <v>osaka@c-ias.co.jp</v>
      </c>
    </row>
    <row r="204" spans="1:25" ht="18" customHeight="1">
      <c r="A204" s="231" t="s">
        <v>2023</v>
      </c>
      <c r="B204" s="231" t="s">
        <v>10237</v>
      </c>
      <c r="E204" s="231" t="s">
        <v>2024</v>
      </c>
      <c r="F204" s="330">
        <f ca="1">IF(shinsei_PROVO_DATE="",TODAY(),shinsei_PROVO_DATE)</f>
        <v>44223</v>
      </c>
      <c r="G204" s="231" t="s">
        <v>2034</v>
      </c>
      <c r="H204" s="331">
        <f ca="1">IF(OR(don_BasePointX="ERROR",don_SearchEreaX="ERROR"),"",IF(ISERROR(MATCH(don_SEARCH_DATE__provo_date,INDIRECT(don_SearchEreaX),0)),MATCH(don_SEARCH_DATE__provo_date,INDIRECT(don_SearchEreaX),1),MATCH(don_SEARCH_DATE__provo_date,INDIRECT(don_SearchEreaX),0)))</f>
        <v>2</v>
      </c>
      <c r="I204" s="332"/>
      <c r="J204" s="332"/>
      <c r="K204" s="332"/>
      <c r="L204" s="332"/>
      <c r="M204" s="332"/>
      <c r="N204" s="332"/>
      <c r="O204" s="332"/>
      <c r="P204" s="332"/>
      <c r="Q204" s="332"/>
      <c r="R204" s="332"/>
      <c r="S204" s="332"/>
      <c r="T204" s="332"/>
      <c r="U204" s="332"/>
      <c r="V204" s="332"/>
      <c r="W204" s="332"/>
      <c r="X204" s="332"/>
      <c r="Y204" s="231"/>
    </row>
    <row r="205" spans="1:25" ht="18" customHeight="1">
      <c r="B205" s="231" t="s">
        <v>10195</v>
      </c>
      <c r="E205" s="231" t="s">
        <v>2025</v>
      </c>
      <c r="H205" s="267" t="str">
        <f ca="1">IF(OR(don_BasePointX="ERROR",don_SearchEreaX="ERROR"),"",IF(OFFSET(INDIRECT(don_BasePointX),don_SEARCH_RESOLT__provo_date,0,1,1)="","",OFFSET(INDIRECT(don_BasePointX),don_SEARCH_RESOLT__provo_date,0,1,1)))</f>
        <v/>
      </c>
      <c r="I205" s="111"/>
      <c r="J205" s="111"/>
      <c r="K205" s="111"/>
      <c r="L205" s="111"/>
      <c r="M205" s="111"/>
      <c r="N205" s="111"/>
      <c r="O205" s="111"/>
      <c r="P205" s="111"/>
      <c r="Q205" s="111"/>
      <c r="R205" s="111"/>
      <c r="S205" s="111"/>
      <c r="T205" s="111"/>
      <c r="U205" s="111"/>
      <c r="V205" s="111"/>
      <c r="W205" s="111"/>
      <c r="X205" s="111"/>
      <c r="Y205" s="231"/>
    </row>
    <row r="206" spans="1:25" ht="18" customHeight="1">
      <c r="B206" s="231" t="s">
        <v>2766</v>
      </c>
      <c r="E206" s="231" t="s">
        <v>2026</v>
      </c>
      <c r="H206" s="267" t="str">
        <f ca="1">IF(OR(don_BasePointX="ERROR",don_SearchEreaX="ERROR"),"",IF(OFFSET(INDIRECT(don_BasePointX),don_SEARCH_RESOLT__provo_date,1,1,1)="","",OFFSET(INDIRECT(don_BasePointX),don_SEARCH_RESOLT__provo_date,1,1,1)))</f>
        <v>株式会社 国際確認検査センター</v>
      </c>
      <c r="I206" s="111"/>
      <c r="J206" s="111"/>
      <c r="K206" s="111"/>
      <c r="L206" s="111"/>
      <c r="M206" s="111"/>
      <c r="N206" s="111"/>
      <c r="O206" s="111"/>
      <c r="P206" s="111"/>
      <c r="Q206" s="111"/>
      <c r="R206" s="111"/>
      <c r="S206" s="111"/>
      <c r="T206" s="111"/>
      <c r="U206" s="111"/>
      <c r="V206" s="111"/>
      <c r="W206" s="111"/>
      <c r="X206" s="111"/>
      <c r="Y206" s="231"/>
    </row>
    <row r="207" spans="1:25" ht="18" customHeight="1">
      <c r="B207" s="231" t="s">
        <v>9054</v>
      </c>
      <c r="E207" s="231" t="s">
        <v>2027</v>
      </c>
      <c r="H207" s="267" t="str">
        <f ca="1">IF(OR(don_BasePointX="ERROR",don_SearchEreaX="ERROR"),"",IF(OFFSET(INDIRECT(don_BasePointX),don_SEARCH_RESOLT__provo_date,2,1,1)="","",OFFSET(INDIRECT(don_BasePointX),don_SEARCH_RESOLT__provo_date,2,1,1)))</f>
        <v>代表取締役　　山 田  耕 藏</v>
      </c>
      <c r="I207" s="111"/>
      <c r="J207" s="111"/>
      <c r="K207" s="111"/>
      <c r="L207" s="111"/>
      <c r="M207" s="111"/>
      <c r="N207" s="111"/>
      <c r="O207" s="111"/>
      <c r="P207" s="111"/>
      <c r="Q207" s="111"/>
      <c r="R207" s="111"/>
      <c r="S207" s="111"/>
      <c r="T207" s="111"/>
      <c r="U207" s="111"/>
      <c r="V207" s="111"/>
      <c r="W207" s="111"/>
      <c r="X207" s="111"/>
      <c r="Y207" s="231"/>
    </row>
    <row r="208" spans="1:25" ht="18" customHeight="1">
      <c r="B208" s="231" t="s">
        <v>225</v>
      </c>
      <c r="E208" s="231" t="s">
        <v>2028</v>
      </c>
      <c r="H208" s="333" t="str">
        <f ca="1">IF(OR(don_BasePointX="ERROR",don_SearchEreaX="ERROR"),"",IF(OFFSET(INDIRECT(don_BasePointX),don_SEARCH_RESOLT__provo_date,3,1,1)="","",OFFSET(INDIRECT(don_BasePointX),don_SEARCH_RESOLT__provo_date,3,1,1)))</f>
        <v>541-0046</v>
      </c>
      <c r="I208" s="1"/>
      <c r="J208" s="1"/>
      <c r="K208" s="1"/>
      <c r="L208" s="1"/>
      <c r="M208" s="1"/>
      <c r="N208" s="1"/>
      <c r="O208" s="1"/>
      <c r="P208" s="1"/>
      <c r="Q208" s="1"/>
      <c r="R208" s="1"/>
      <c r="S208" s="1"/>
      <c r="T208" s="1"/>
      <c r="U208" s="1"/>
      <c r="V208" s="1"/>
      <c r="W208" s="1"/>
      <c r="X208" s="1"/>
      <c r="Y208" s="231"/>
    </row>
    <row r="209" spans="1:8" ht="18" customHeight="1">
      <c r="B209" s="231" t="s">
        <v>10196</v>
      </c>
      <c r="E209" s="231" t="s">
        <v>2029</v>
      </c>
      <c r="H209" s="267" t="str">
        <f ca="1">IF(OR(don_BasePointX="ERROR",don_SearchEreaX="ERROR"),"",IF(OFFSET(INDIRECT(don_BasePointX),don_SEARCH_RESOLT__provo_date,4,1,1)="","",OFFSET(INDIRECT(don_BasePointX),don_SEARCH_RESOLT__provo_date,4,1,1)))</f>
        <v>大阪市中央区平野町3丁目6番1号</v>
      </c>
    </row>
    <row r="210" spans="1:8" ht="18" customHeight="1">
      <c r="B210" s="231" t="s">
        <v>2783</v>
      </c>
      <c r="E210" s="231" t="s">
        <v>2030</v>
      </c>
      <c r="H210" s="267" t="str">
        <f ca="1">IF(OR(don_BasePointX="ERROR",don_SearchEreaX="ERROR"),"",IF(OFFSET(INDIRECT(don_BasePointX),don_SEARCH_RESOLT__provo_date,5,1,1)="","",OFFSET(INDIRECT(don_BasePointX),don_SEARCH_RESOLT__provo_date,5,1,1)))</f>
        <v>あいおいニッセイ同和損保御堂筋ビル9階</v>
      </c>
    </row>
    <row r="211" spans="1:8" ht="18" customHeight="1">
      <c r="B211" s="231" t="s">
        <v>10197</v>
      </c>
      <c r="E211" s="231" t="s">
        <v>2031</v>
      </c>
      <c r="H211" s="267" t="str">
        <f ca="1">IF(OR(don_BasePointX="ERROR",don_SearchEreaX="ERROR"),"",IF(OFFSET(INDIRECT(don_BasePointX),don_SEARCH_RESOLT__provo_date,6,1,1)="","",OFFSET(INDIRECT(don_BasePointX),don_SEARCH_RESOLT__provo_date,6,1,1)))</f>
        <v>06-6222-6626</v>
      </c>
    </row>
    <row r="212" spans="1:8" ht="18" customHeight="1">
      <c r="B212" s="231" t="s">
        <v>10198</v>
      </c>
      <c r="E212" s="231" t="s">
        <v>2032</v>
      </c>
      <c r="H212" s="267" t="str">
        <f ca="1">IF(OR(don_BasePointX="ERROR",don_SearchEreaX="ERROR"),"",IF(OFFSET(INDIRECT(don_BasePointX),don_SEARCH_RESOLT__provo_date,7,1,1)="","",OFFSET(INDIRECT(don_BasePointX),don_SEARCH_RESOLT__provo_date,7,1,1)))</f>
        <v>06-6222-6627</v>
      </c>
    </row>
    <row r="213" spans="1:8" ht="18" customHeight="1">
      <c r="B213" s="231" t="s">
        <v>10199</v>
      </c>
      <c r="E213" s="231" t="s">
        <v>2033</v>
      </c>
      <c r="H213" s="267" t="str">
        <f ca="1">IF(OR(don_BasePointX="ERROR",don_SearchEreaX="ERROR"),"",IF(OFFSET(INDIRECT(don_BasePointX),don_SEARCH_RESOLT__provo_date,8,1,1)="","",OFFSET(INDIRECT(don_BasePointX),don_SEARCH_RESOLT__provo_date,8,1,1)))</f>
        <v/>
      </c>
    </row>
    <row r="214" spans="1:8" ht="18" customHeight="1">
      <c r="B214" s="231" t="s">
        <v>9543</v>
      </c>
      <c r="E214" s="231" t="s">
        <v>9549</v>
      </c>
      <c r="H214" s="267" t="str">
        <f ca="1">IF(OR(don_BasePointX="ERROR",don_SearchEreaX="ERROR"),"",IF(OFFSET(INDIRECT(don_BasePointX),don_SEARCH_RESOLT__provo_date,9,1,1)="","",OFFSET(INDIRECT(don_BasePointX),don_SEARCH_RESOLT__provo_date,9,1,1)))</f>
        <v>大阪市中央区平野町3丁目6番1号</v>
      </c>
    </row>
    <row r="215" spans="1:8" ht="18" customHeight="1">
      <c r="B215" s="231" t="s">
        <v>10695</v>
      </c>
      <c r="E215" s="231" t="s">
        <v>10702</v>
      </c>
      <c r="H215" s="267" t="str">
        <f ca="1">IF(OR(don_BasePointX="ERROR",don_SearchEreaX="ERROR"),"",IF(OFFSET(INDIRECT(don_BasePointX),don_SEARCH_RESOLT__provo_date,13,1,1)="","",OFFSET(INDIRECT(don_BasePointX),don_SEARCH_RESOLT__provo_date,13,1,1)))</f>
        <v>osaka@c-ias.co.jp</v>
      </c>
    </row>
    <row r="217" spans="1:8" ht="18" customHeight="1">
      <c r="A217" s="231" t="s">
        <v>2035</v>
      </c>
      <c r="B217" s="231" t="s">
        <v>10237</v>
      </c>
      <c r="E217" s="231" t="s">
        <v>2036</v>
      </c>
      <c r="F217" s="330">
        <f ca="1">IF(shinsei_FIRE_SUBMIT_DATE="",TODAY(),shinsei_FIRE_SUBMIT_DATE)</f>
        <v>44258</v>
      </c>
      <c r="G217" s="231" t="s">
        <v>2046</v>
      </c>
      <c r="H217" s="331">
        <f ca="1">IF(OR(don_BasePointX="ERROR",don_SearchEreaX="ERROR"),"",IF(ISERROR(MATCH(don_SEARCH_DATE__fire_submit_date,INDIRECT(don_SearchEreaX),0)),MATCH(don_SEARCH_DATE__fire_submit_date,INDIRECT(don_SearchEreaX),1),MATCH(don_SEARCH_DATE__fire_submit_date,INDIRECT(don_SearchEreaX),0)))</f>
        <v>2</v>
      </c>
    </row>
    <row r="218" spans="1:8" ht="18" customHeight="1">
      <c r="B218" s="231" t="s">
        <v>10195</v>
      </c>
      <c r="E218" s="231" t="s">
        <v>2037</v>
      </c>
      <c r="H218" s="267" t="str">
        <f ca="1">IF(OR(don_BasePointX="ERROR",don_SearchEreaX="ERROR"),"",IF(OFFSET(INDIRECT(don_BasePointX),don_SEARCH_RESOLT__fire_submit_date,0,1,1)="","",OFFSET(INDIRECT(don_BasePointX),don_SEARCH_RESOLT__fire_submit_date,0,1,1)))</f>
        <v/>
      </c>
    </row>
    <row r="219" spans="1:8" ht="18" customHeight="1">
      <c r="B219" s="231" t="s">
        <v>2766</v>
      </c>
      <c r="E219" s="231" t="s">
        <v>2038</v>
      </c>
      <c r="H219" s="267" t="str">
        <f ca="1">IF(OR(don_BasePointX="ERROR",don_SearchEreaX="ERROR"),"",IF(OFFSET(INDIRECT(don_BasePointX),don_SEARCH_RESOLT__fire_submit_date,1,1,1)="","",OFFSET(INDIRECT(don_BasePointX),don_SEARCH_RESOLT__fire_submit_date,1,1,1)))</f>
        <v>株式会社 国際確認検査センター</v>
      </c>
    </row>
    <row r="220" spans="1:8" ht="18" customHeight="1">
      <c r="B220" s="231" t="s">
        <v>9054</v>
      </c>
      <c r="E220" s="231" t="s">
        <v>2039</v>
      </c>
      <c r="H220" s="267" t="str">
        <f ca="1">IF(OR(don_BasePointX="ERROR",don_SearchEreaX="ERROR"),"",IF(OFFSET(INDIRECT(don_BasePointX),don_SEARCH_RESOLT__fire_submit_date,2,1,1)="","",OFFSET(INDIRECT(don_BasePointX),don_SEARCH_RESOLT__fire_submit_date,2,1,1)))</f>
        <v>代表取締役　　山 田  耕 藏</v>
      </c>
    </row>
    <row r="221" spans="1:8" ht="18" customHeight="1">
      <c r="B221" s="231" t="s">
        <v>225</v>
      </c>
      <c r="E221" s="231" t="s">
        <v>2040</v>
      </c>
      <c r="H221" s="333" t="str">
        <f ca="1">IF(OR(don_BasePointX="ERROR",don_SearchEreaX="ERROR"),"",IF(OFFSET(INDIRECT(don_BasePointX),don_SEARCH_RESOLT__fire_submit_date,3,1,1)="","",OFFSET(INDIRECT(don_BasePointX),don_SEARCH_RESOLT__fire_submit_date,3,1,1)))</f>
        <v>541-0046</v>
      </c>
    </row>
    <row r="222" spans="1:8" ht="18" customHeight="1">
      <c r="B222" s="231" t="s">
        <v>10196</v>
      </c>
      <c r="E222" s="231" t="s">
        <v>2041</v>
      </c>
      <c r="H222" s="267" t="str">
        <f ca="1">IF(OR(don_BasePointX="ERROR",don_SearchEreaX="ERROR"),"",IF(OFFSET(INDIRECT(don_BasePointX),don_SEARCH_RESOLT__fire_submit_date,4,1,1)="","",OFFSET(INDIRECT(don_BasePointX),don_SEARCH_RESOLT__fire_submit_date,4,1,1)))</f>
        <v>大阪市中央区平野町3丁目6番1号</v>
      </c>
    </row>
    <row r="223" spans="1:8" ht="18" customHeight="1">
      <c r="B223" s="231" t="s">
        <v>2783</v>
      </c>
      <c r="E223" s="231" t="s">
        <v>2042</v>
      </c>
      <c r="H223" s="267" t="str">
        <f ca="1">IF(OR(don_BasePointX="ERROR",don_SearchEreaX="ERROR"),"",IF(OFFSET(INDIRECT(don_BasePointX),don_SEARCH_RESOLT__fire_submit_date,5,1,1)="","",OFFSET(INDIRECT(don_BasePointX),don_SEARCH_RESOLT__fire_submit_date,5,1,1)))</f>
        <v>あいおいニッセイ同和損保御堂筋ビル9階</v>
      </c>
    </row>
    <row r="224" spans="1:8" ht="18" customHeight="1">
      <c r="B224" s="231" t="s">
        <v>10197</v>
      </c>
      <c r="E224" s="231" t="s">
        <v>2043</v>
      </c>
      <c r="H224" s="267" t="str">
        <f ca="1">IF(OR(don_BasePointX="ERROR",don_SearchEreaX="ERROR"),"",IF(OFFSET(INDIRECT(don_BasePointX),don_SEARCH_RESOLT__fire_submit_date,6,1,1)="","",OFFSET(INDIRECT(don_BasePointX),don_SEARCH_RESOLT__fire_submit_date,6,1,1)))</f>
        <v>06-6222-6626</v>
      </c>
    </row>
    <row r="225" spans="1:8" ht="18" customHeight="1">
      <c r="B225" s="231" t="s">
        <v>10198</v>
      </c>
      <c r="E225" s="231" t="s">
        <v>2044</v>
      </c>
      <c r="H225" s="267" t="str">
        <f ca="1">IF(OR(don_BasePointX="ERROR",don_SearchEreaX="ERROR"),"",IF(OFFSET(INDIRECT(don_BasePointX),don_SEARCH_RESOLT__fire_submit_date,7,1,1)="","",OFFSET(INDIRECT(don_BasePointX),don_SEARCH_RESOLT__fire_submit_date,7,1,1)))</f>
        <v>06-6222-6627</v>
      </c>
    </row>
    <row r="226" spans="1:8" ht="18" customHeight="1">
      <c r="B226" s="231" t="s">
        <v>10199</v>
      </c>
      <c r="E226" s="231" t="s">
        <v>2045</v>
      </c>
      <c r="H226" s="267" t="str">
        <f ca="1">IF(OR(don_BasePointX="ERROR",don_SearchEreaX="ERROR"),"",IF(OFFSET(INDIRECT(don_BasePointX),don_SEARCH_RESOLT__fire_submit_date,8,1,1)="","",OFFSET(INDIRECT(don_BasePointX),don_SEARCH_RESOLT__fire_submit_date,8,1,1)))</f>
        <v/>
      </c>
    </row>
    <row r="227" spans="1:8" ht="18" customHeight="1">
      <c r="B227" s="231" t="s">
        <v>9543</v>
      </c>
      <c r="E227" s="231" t="s">
        <v>9550</v>
      </c>
      <c r="H227" s="267" t="str">
        <f ca="1">IF(OR(don_BasePointX="ERROR",don_SearchEreaX="ERROR"),"",IF(OFFSET(INDIRECT(don_BasePointX),don_SEARCH_RESOLT__fire_submit_date,9,1,1)="","",OFFSET(INDIRECT(don_BasePointX),don_SEARCH_RESOLT__fire_submit_date,9,1,1)))</f>
        <v>大阪市中央区平野町3丁目6番1号</v>
      </c>
    </row>
    <row r="228" spans="1:8" ht="18" customHeight="1">
      <c r="B228" s="231" t="s">
        <v>10695</v>
      </c>
      <c r="E228" s="231" t="s">
        <v>10703</v>
      </c>
      <c r="H228" s="267" t="str">
        <f ca="1">IF(OR(don_BasePointX="ERROR",don_SearchEreaX="ERROR"),"",IF(OFFSET(INDIRECT(don_BasePointX),don_SEARCH_RESOLT__fire_submit_date,13,1,1)="","",OFFSET(INDIRECT(don_BasePointX),don_SEARCH_RESOLT__fire_submit_date,13,1,1)))</f>
        <v>osaka@c-ias.co.jp</v>
      </c>
    </row>
    <row r="230" spans="1:8" ht="18" customHeight="1">
      <c r="A230" s="231" t="s">
        <v>2047</v>
      </c>
      <c r="B230" s="231" t="s">
        <v>10237</v>
      </c>
      <c r="E230" s="231" t="s">
        <v>2048</v>
      </c>
      <c r="F230" s="330">
        <f ca="1">IF(shinsei_FIRE_NOTIFY_DATE="",TODAY(),shinsei_FIRE_NOTIFY_DATE)</f>
        <v>44348</v>
      </c>
      <c r="G230" s="231" t="s">
        <v>2057</v>
      </c>
      <c r="H230" s="331">
        <f ca="1">IF(OR(don_BasePointX="ERROR",don_SearchEreaX="ERROR"),"",IF(ISERROR(MATCH(don_SEARCH_DATE__fire_notify_date,INDIRECT(don_SearchEreaX),0)),MATCH(don_SEARCH_DATE__fire_notify_date,INDIRECT(don_SearchEreaX),1),MATCH(don_SEARCH_DATE__fire_notify_date,INDIRECT(don_SearchEreaX),0)))</f>
        <v>2</v>
      </c>
    </row>
    <row r="231" spans="1:8" ht="18" customHeight="1">
      <c r="B231" s="231" t="s">
        <v>10195</v>
      </c>
      <c r="E231" s="231" t="s">
        <v>2058</v>
      </c>
      <c r="H231" s="267" t="str">
        <f ca="1">IF(OR(don_BasePointX="ERROR",don_SearchEreaX="ERROR"),"",IF(OFFSET(INDIRECT(don_BasePointX),don_SEARCH_RESOLT__fire_notify_date,0,1,1)="","",OFFSET(INDIRECT(don_BasePointX),don_SEARCH_RESOLT__fire_notify_date,0,1,1)))</f>
        <v/>
      </c>
    </row>
    <row r="232" spans="1:8" ht="18" customHeight="1">
      <c r="B232" s="231" t="s">
        <v>2766</v>
      </c>
      <c r="E232" s="231" t="s">
        <v>2049</v>
      </c>
      <c r="H232" s="267" t="str">
        <f ca="1">IF(OR(don_BasePointX="ERROR",don_SearchEreaX="ERROR"),"",IF(OFFSET(INDIRECT(don_BasePointX),don_SEARCH_RESOLT__fire_notify_date,1,1,1)="","",OFFSET(INDIRECT(don_BasePointX),don_SEARCH_RESOLT__fire_notify_date,1,1,1)))</f>
        <v>株式会社 国際確認検査センター</v>
      </c>
    </row>
    <row r="233" spans="1:8" ht="18" customHeight="1">
      <c r="B233" s="231" t="s">
        <v>9054</v>
      </c>
      <c r="E233" s="231" t="s">
        <v>2050</v>
      </c>
      <c r="H233" s="267" t="str">
        <f ca="1">IF(OR(don_BasePointX="ERROR",don_SearchEreaX="ERROR"),"",IF(OFFSET(INDIRECT(don_BasePointX),don_SEARCH_RESOLT__fire_notify_date,2,1,1)="","",OFFSET(INDIRECT(don_BasePointX),don_SEARCH_RESOLT__fire_notify_date,2,1,1)))</f>
        <v>代表取締役　　山 田  耕 藏</v>
      </c>
    </row>
    <row r="234" spans="1:8" ht="18" customHeight="1">
      <c r="B234" s="231" t="s">
        <v>225</v>
      </c>
      <c r="E234" s="231" t="s">
        <v>2051</v>
      </c>
      <c r="H234" s="333" t="str">
        <f ca="1">IF(OR(don_BasePointX="ERROR",don_SearchEreaX="ERROR"),"",IF(OFFSET(INDIRECT(don_BasePointX),don_SEARCH_RESOLT__fire_notify_date,3,1,1)="","",OFFSET(INDIRECT(don_BasePointX),don_SEARCH_RESOLT__fire_notify_date,3,1,1)))</f>
        <v>541-0046</v>
      </c>
    </row>
    <row r="235" spans="1:8" ht="18" customHeight="1">
      <c r="B235" s="231" t="s">
        <v>10196</v>
      </c>
      <c r="E235" s="231" t="s">
        <v>2052</v>
      </c>
      <c r="H235" s="267" t="str">
        <f ca="1">IF(OR(don_BasePointX="ERROR",don_SearchEreaX="ERROR"),"",IF(OFFSET(INDIRECT(don_BasePointX),don_SEARCH_RESOLT__fire_notify_date,4,1,1)="","",OFFSET(INDIRECT(don_BasePointX),don_SEARCH_RESOLT__fire_notify_date,4,1,1)))</f>
        <v>大阪市中央区平野町3丁目6番1号</v>
      </c>
    </row>
    <row r="236" spans="1:8" ht="18" customHeight="1">
      <c r="B236" s="231" t="s">
        <v>2783</v>
      </c>
      <c r="E236" s="231" t="s">
        <v>2053</v>
      </c>
      <c r="H236" s="267" t="str">
        <f ca="1">IF(OR(don_BasePointX="ERROR",don_SearchEreaX="ERROR"),"",IF(OFFSET(INDIRECT(don_BasePointX),don_SEARCH_RESOLT__fire_notify_date,5,1,1)="","",OFFSET(INDIRECT(don_BasePointX),don_SEARCH_RESOLT__fire_notify_date,5,1,1)))</f>
        <v>あいおいニッセイ同和損保御堂筋ビル9階</v>
      </c>
    </row>
    <row r="237" spans="1:8" ht="18" customHeight="1">
      <c r="B237" s="231" t="s">
        <v>10197</v>
      </c>
      <c r="E237" s="231" t="s">
        <v>2054</v>
      </c>
      <c r="H237" s="267" t="str">
        <f ca="1">IF(OR(don_BasePointX="ERROR",don_SearchEreaX="ERROR"),"",IF(OFFSET(INDIRECT(don_BasePointX),don_SEARCH_RESOLT__fire_notify_date,6,1,1)="","",OFFSET(INDIRECT(don_BasePointX),don_SEARCH_RESOLT__fire_notify_date,6,1,1)))</f>
        <v>06-6222-6626</v>
      </c>
    </row>
    <row r="238" spans="1:8" ht="18" customHeight="1">
      <c r="B238" s="231" t="s">
        <v>10198</v>
      </c>
      <c r="E238" s="231" t="s">
        <v>2055</v>
      </c>
      <c r="H238" s="267" t="str">
        <f ca="1">IF(OR(don_BasePointX="ERROR",don_SearchEreaX="ERROR"),"",IF(OFFSET(INDIRECT(don_BasePointX),don_SEARCH_RESOLT__fire_notify_date,7,1,1)="","",OFFSET(INDIRECT(don_BasePointX),don_SEARCH_RESOLT__fire_notify_date,7,1,1)))</f>
        <v>06-6222-6627</v>
      </c>
    </row>
    <row r="239" spans="1:8" ht="18" customHeight="1">
      <c r="B239" s="231" t="s">
        <v>10199</v>
      </c>
      <c r="E239" s="231" t="s">
        <v>2056</v>
      </c>
      <c r="H239" s="267" t="str">
        <f ca="1">IF(OR(don_BasePointX="ERROR",don_SearchEreaX="ERROR"),"",IF(OFFSET(INDIRECT(don_BasePointX),don_SEARCH_RESOLT__fire_notify_date,8,1,1)="","",OFFSET(INDIRECT(don_BasePointX),don_SEARCH_RESOLT__fire_notify_date,8,1,1)))</f>
        <v/>
      </c>
    </row>
    <row r="240" spans="1:8" ht="18" customHeight="1">
      <c r="B240" s="231" t="s">
        <v>9543</v>
      </c>
      <c r="E240" s="231" t="s">
        <v>9551</v>
      </c>
      <c r="H240" s="267" t="str">
        <f ca="1">IF(OR(don_BasePointX="ERROR",don_SearchEreaX="ERROR"),"",IF(OFFSET(INDIRECT(don_BasePointX),don_SEARCH_RESOLT__fire_notify_date,9,1,1)="","",OFFSET(INDIRECT(don_BasePointX),don_SEARCH_RESOLT__fire_notify_date,9,1,1)))</f>
        <v>大阪市中央区平野町3丁目6番1号</v>
      </c>
    </row>
    <row r="241" spans="1:8" ht="18" customHeight="1">
      <c r="B241" s="231" t="s">
        <v>10695</v>
      </c>
      <c r="E241" s="231" t="s">
        <v>10704</v>
      </c>
      <c r="H241" s="267" t="str">
        <f ca="1">IF(OR(don_BasePointX="ERROR",don_SearchEreaX="ERROR"),"",IF(OFFSET(INDIRECT(don_BasePointX),don_SEARCH_RESOLT__fire_notify_date,13,1,1)="","",OFFSET(INDIRECT(don_BasePointX),don_SEARCH_RESOLT__fire_notify_date,13,1,1)))</f>
        <v>osaka@c-ias.co.jp</v>
      </c>
    </row>
    <row r="243" spans="1:8" ht="18" customHeight="1">
      <c r="A243" s="231" t="s">
        <v>2059</v>
      </c>
      <c r="B243" s="231" t="s">
        <v>10237</v>
      </c>
      <c r="E243" s="231" t="s">
        <v>2119</v>
      </c>
      <c r="F243" s="330">
        <f ca="1">IF(shinsei_HEALTH_NOTIFY_DATE="",TODAY(),shinsei_HEALTH_NOTIFY_DATE)</f>
        <v>44348</v>
      </c>
      <c r="G243" s="231" t="s">
        <v>638</v>
      </c>
      <c r="H243" s="331">
        <f ca="1">IF(OR(don_BasePointX="ERROR",don_SearchEreaX="ERROR"),"",IF(ISERROR(MATCH(don_SEARCH_DATE__health_notify_date,INDIRECT(don_SearchEreaX),0)),MATCH(don_SEARCH_DATE__health_notify_date,INDIRECT(don_SearchEreaX),1),MATCH(don_SEARCH_DATE__health_notify_date,INDIRECT(don_SearchEreaX),0)))</f>
        <v>2</v>
      </c>
    </row>
    <row r="244" spans="1:8" ht="18" customHeight="1">
      <c r="B244" s="231" t="s">
        <v>10195</v>
      </c>
      <c r="E244" s="231" t="s">
        <v>2120</v>
      </c>
      <c r="H244" s="267" t="str">
        <f ca="1">IF(OR(don_BasePointX="ERROR",don_SearchEreaX="ERROR"),"",IF(OFFSET(INDIRECT(don_BasePointX),don_SEARCH_RESOLT__health_notify_date,0,1,1)="","",OFFSET(INDIRECT(don_BasePointX),don_SEARCH_RESOLT__health_notify_date,0,1,1)))</f>
        <v/>
      </c>
    </row>
    <row r="245" spans="1:8" ht="18" customHeight="1">
      <c r="B245" s="231" t="s">
        <v>2766</v>
      </c>
      <c r="E245" s="231" t="s">
        <v>2121</v>
      </c>
      <c r="H245" s="267" t="str">
        <f ca="1">IF(OR(don_BasePointX="ERROR",don_SearchEreaX="ERROR"),"",IF(OFFSET(INDIRECT(don_BasePointX),don_SEARCH_RESOLT__health_notify_date,1,1,1)="","",OFFSET(INDIRECT(don_BasePointX),don_SEARCH_RESOLT__health_notify_date,1,1,1)))</f>
        <v>株式会社 国際確認検査センター</v>
      </c>
    </row>
    <row r="246" spans="1:8" ht="18" customHeight="1">
      <c r="B246" s="231" t="s">
        <v>9054</v>
      </c>
      <c r="E246" s="231" t="s">
        <v>2122</v>
      </c>
      <c r="H246" s="267" t="str">
        <f ca="1">IF(OR(don_BasePointX="ERROR",don_SearchEreaX="ERROR"),"",IF(OFFSET(INDIRECT(don_BasePointX),don_SEARCH_RESOLT__health_notify_date,2,1,1)="","",OFFSET(INDIRECT(don_BasePointX),don_SEARCH_RESOLT__health_notify_date,2,1,1)))</f>
        <v>代表取締役　　山 田  耕 藏</v>
      </c>
    </row>
    <row r="247" spans="1:8" ht="18" customHeight="1">
      <c r="B247" s="231" t="s">
        <v>225</v>
      </c>
      <c r="E247" s="231" t="s">
        <v>2123</v>
      </c>
      <c r="H247" s="333" t="str">
        <f ca="1">IF(OR(don_BasePointX="ERROR",don_SearchEreaX="ERROR"),"",IF(OFFSET(INDIRECT(don_BasePointX),don_SEARCH_RESOLT__health_notify_date,3,1,1)="","",OFFSET(INDIRECT(don_BasePointX),don_SEARCH_RESOLT__health_notify_date,3,1,1)))</f>
        <v>541-0046</v>
      </c>
    </row>
    <row r="248" spans="1:8" ht="18" customHeight="1">
      <c r="B248" s="231" t="s">
        <v>10196</v>
      </c>
      <c r="E248" s="231" t="s">
        <v>2124</v>
      </c>
      <c r="H248" s="267" t="str">
        <f ca="1">IF(OR(don_BasePointX="ERROR",don_SearchEreaX="ERROR"),"",IF(OFFSET(INDIRECT(don_BasePointX),don_SEARCH_RESOLT__health_notify_date,4,1,1)="","",OFFSET(INDIRECT(don_BasePointX),don_SEARCH_RESOLT__health_notify_date,4,1,1)))</f>
        <v>大阪市中央区平野町3丁目6番1号</v>
      </c>
    </row>
    <row r="249" spans="1:8" ht="18" customHeight="1">
      <c r="B249" s="231" t="s">
        <v>2783</v>
      </c>
      <c r="E249" s="231" t="s">
        <v>2125</v>
      </c>
      <c r="H249" s="267" t="str">
        <f ca="1">IF(OR(don_BasePointX="ERROR",don_SearchEreaX="ERROR"),"",IF(OFFSET(INDIRECT(don_BasePointX),don_SEARCH_RESOLT__health_notify_date,5,1,1)="","",OFFSET(INDIRECT(don_BasePointX),don_SEARCH_RESOLT__health_notify_date,5,1,1)))</f>
        <v>あいおいニッセイ同和損保御堂筋ビル9階</v>
      </c>
    </row>
    <row r="250" spans="1:8" ht="18" customHeight="1">
      <c r="B250" s="231" t="s">
        <v>10197</v>
      </c>
      <c r="E250" s="231" t="s">
        <v>2126</v>
      </c>
      <c r="H250" s="267" t="str">
        <f ca="1">IF(OR(don_BasePointX="ERROR",don_SearchEreaX="ERROR"),"",IF(OFFSET(INDIRECT(don_BasePointX),don_SEARCH_RESOLT__health_notify_date,6,1,1)="","",OFFSET(INDIRECT(don_BasePointX),don_SEARCH_RESOLT__health_notify_date,6,1,1)))</f>
        <v>06-6222-6626</v>
      </c>
    </row>
    <row r="251" spans="1:8" ht="18" customHeight="1">
      <c r="B251" s="231" t="s">
        <v>10198</v>
      </c>
      <c r="E251" s="231" t="s">
        <v>636</v>
      </c>
      <c r="H251" s="267" t="str">
        <f ca="1">IF(OR(don_BasePointX="ERROR",don_SearchEreaX="ERROR"),"",IF(OFFSET(INDIRECT(don_BasePointX),don_SEARCH_RESOLT__health_notify_date,7,1,1)="","",OFFSET(INDIRECT(don_BasePointX),don_SEARCH_RESOLT__health_notify_date,7,1,1)))</f>
        <v>06-6222-6627</v>
      </c>
    </row>
    <row r="252" spans="1:8" ht="18" customHeight="1">
      <c r="B252" s="231" t="s">
        <v>10199</v>
      </c>
      <c r="E252" s="231" t="s">
        <v>637</v>
      </c>
      <c r="H252" s="267" t="str">
        <f ca="1">IF(OR(don_BasePointX="ERROR",don_SearchEreaX="ERROR"),"",IF(OFFSET(INDIRECT(don_BasePointX),don_SEARCH_RESOLT__health_notify_date,8,1,1)="","",OFFSET(INDIRECT(don_BasePointX),don_SEARCH_RESOLT__health_notify_date,8,1,1)))</f>
        <v/>
      </c>
    </row>
    <row r="253" spans="1:8" ht="18" customHeight="1">
      <c r="B253" s="231" t="s">
        <v>9543</v>
      </c>
      <c r="E253" s="231" t="s">
        <v>9552</v>
      </c>
      <c r="H253" s="267" t="str">
        <f ca="1">IF(OR(don_BasePointX="ERROR",don_SearchEreaX="ERROR"),"",IF(OFFSET(INDIRECT(don_BasePointX),don_SEARCH_RESOLT__health_notify_date,9,1,1)="","",OFFSET(INDIRECT(don_BasePointX),don_SEARCH_RESOLT__health_notify_date,9,1,1)))</f>
        <v>大阪市中央区平野町3丁目6番1号</v>
      </c>
    </row>
    <row r="254" spans="1:8" ht="18" customHeight="1">
      <c r="B254" s="231" t="s">
        <v>10695</v>
      </c>
      <c r="E254" s="231" t="s">
        <v>10705</v>
      </c>
      <c r="H254" s="267" t="str">
        <f ca="1">IF(OR(don_BasePointX="ERROR",don_SearchEreaX="ERROR"),"",IF(OFFSET(INDIRECT(don_BasePointX),don_SEARCH_RESOLT__health_notify_date,13,1,1)="","",OFFSET(INDIRECT(don_BasePointX),don_SEARCH_RESOLT__health_notify_date,13,1,1)))</f>
        <v>osaka@c-ias.co.jp</v>
      </c>
    </row>
    <row r="256" spans="1:8" ht="18" customHeight="1">
      <c r="A256" s="231" t="s">
        <v>2060</v>
      </c>
      <c r="B256" s="231" t="s">
        <v>10237</v>
      </c>
      <c r="E256" s="231" t="s">
        <v>2108</v>
      </c>
      <c r="F256" s="330">
        <f ca="1">IF(shinsei_STRPROVO_NOTIFY_DATE="",TODAY(),shinsei_STRPROVO_NOTIFY_DATE)</f>
        <v>44348</v>
      </c>
      <c r="G256" s="231" t="s">
        <v>2118</v>
      </c>
      <c r="H256" s="331">
        <f ca="1">IF(OR(don_BasePointX="ERROR",don_SearchEreaX="ERROR"),"",IF(ISERROR(MATCH(don_SEARCH_DATE__str_prove_notify_date,INDIRECT(don_SearchEreaX),0)),MATCH(don_SEARCH_DATE__str_prove_notify_date,INDIRECT(don_SearchEreaX),1),MATCH(don_SEARCH_DATE__str_prove_notify_date,INDIRECT(don_SearchEreaX),0)))</f>
        <v>2</v>
      </c>
    </row>
    <row r="257" spans="1:8" ht="18" customHeight="1">
      <c r="B257" s="231" t="s">
        <v>10195</v>
      </c>
      <c r="E257" s="231" t="s">
        <v>2109</v>
      </c>
      <c r="H257" s="267" t="str">
        <f ca="1">IF(OR(don_BasePointX="ERROR",don_SearchEreaX="ERROR"),"",IF(OFFSET(INDIRECT(don_BasePointX),don_SEARCH_RESOLT__str_prove_notify_date,0,1,1)="","",OFFSET(INDIRECT(don_BasePointX),don_SEARCH_RESOLT__str_prove_notify_date,0,1,1)))</f>
        <v/>
      </c>
    </row>
    <row r="258" spans="1:8" ht="18" customHeight="1">
      <c r="B258" s="231" t="s">
        <v>2766</v>
      </c>
      <c r="E258" s="231" t="s">
        <v>2110</v>
      </c>
      <c r="H258" s="267" t="str">
        <f ca="1">IF(OR(don_BasePointX="ERROR",don_SearchEreaX="ERROR"),"",IF(OFFSET(INDIRECT(don_BasePointX),don_SEARCH_RESOLT__str_prove_notify_date,1,1,1)="","",OFFSET(INDIRECT(don_BasePointX),don_SEARCH_RESOLT__str_prove_notify_date,1,1,1)))</f>
        <v>株式会社 国際確認検査センター</v>
      </c>
    </row>
    <row r="259" spans="1:8" ht="18" customHeight="1">
      <c r="B259" s="231" t="s">
        <v>9054</v>
      </c>
      <c r="E259" s="231" t="s">
        <v>2111</v>
      </c>
      <c r="H259" s="267" t="str">
        <f ca="1">IF(OR(don_BasePointX="ERROR",don_SearchEreaX="ERROR"),"",IF(OFFSET(INDIRECT(don_BasePointX),don_SEARCH_RESOLT__str_prove_notify_date,2,1,1)="","",OFFSET(INDIRECT(don_BasePointX),don_SEARCH_RESOLT__str_prove_notify_date,2,1,1)))</f>
        <v>代表取締役　　山 田  耕 藏</v>
      </c>
    </row>
    <row r="260" spans="1:8" ht="18" customHeight="1">
      <c r="B260" s="231" t="s">
        <v>225</v>
      </c>
      <c r="E260" s="231" t="s">
        <v>2112</v>
      </c>
      <c r="H260" s="333" t="str">
        <f ca="1">IF(OR(don_BasePointX="ERROR",don_SearchEreaX="ERROR"),"",IF(OFFSET(INDIRECT(don_BasePointX),don_SEARCH_RESOLT__str_prove_notify_date,3,1,1)="","",OFFSET(INDIRECT(don_BasePointX),don_SEARCH_RESOLT__str_prove_notify_date,3,1,1)))</f>
        <v>541-0046</v>
      </c>
    </row>
    <row r="261" spans="1:8" ht="18" customHeight="1">
      <c r="B261" s="231" t="s">
        <v>10196</v>
      </c>
      <c r="E261" s="231" t="s">
        <v>2113</v>
      </c>
      <c r="H261" s="267" t="str">
        <f ca="1">IF(OR(don_BasePointX="ERROR",don_SearchEreaX="ERROR"),"",IF(OFFSET(INDIRECT(don_BasePointX),don_SEARCH_RESOLT__str_prove_notify_date,4,1,1)="","",OFFSET(INDIRECT(don_BasePointX),don_SEARCH_RESOLT__str_prove_notify_date,4,1,1)))</f>
        <v>大阪市中央区平野町3丁目6番1号</v>
      </c>
    </row>
    <row r="262" spans="1:8" ht="18" customHeight="1">
      <c r="B262" s="231" t="s">
        <v>2783</v>
      </c>
      <c r="E262" s="231" t="s">
        <v>2114</v>
      </c>
      <c r="H262" s="267" t="str">
        <f ca="1">IF(OR(don_BasePointX="ERROR",don_SearchEreaX="ERROR"),"",IF(OFFSET(INDIRECT(don_BasePointX),don_SEARCH_RESOLT__str_prove_notify_date,5,1,1)="","",OFFSET(INDIRECT(don_BasePointX),don_SEARCH_RESOLT__str_prove_notify_date,5,1,1)))</f>
        <v>あいおいニッセイ同和損保御堂筋ビル9階</v>
      </c>
    </row>
    <row r="263" spans="1:8" ht="18" customHeight="1">
      <c r="B263" s="231" t="s">
        <v>10197</v>
      </c>
      <c r="E263" s="231" t="s">
        <v>2115</v>
      </c>
      <c r="H263" s="267" t="str">
        <f ca="1">IF(OR(don_BasePointX="ERROR",don_SearchEreaX="ERROR"),"",IF(OFFSET(INDIRECT(don_BasePointX),don_SEARCH_RESOLT__str_prove_notify_date,6,1,1)="","",OFFSET(INDIRECT(don_BasePointX),don_SEARCH_RESOLT__str_prove_notify_date,6,1,1)))</f>
        <v>06-6222-6626</v>
      </c>
    </row>
    <row r="264" spans="1:8" ht="18" customHeight="1">
      <c r="B264" s="231" t="s">
        <v>10198</v>
      </c>
      <c r="E264" s="231" t="s">
        <v>2116</v>
      </c>
      <c r="H264" s="267" t="str">
        <f ca="1">IF(OR(don_BasePointX="ERROR",don_SearchEreaX="ERROR"),"",IF(OFFSET(INDIRECT(don_BasePointX),don_SEARCH_RESOLT__str_prove_notify_date,7,1,1)="","",OFFSET(INDIRECT(don_BasePointX),don_SEARCH_RESOLT__str_prove_notify_date,7,1,1)))</f>
        <v>06-6222-6627</v>
      </c>
    </row>
    <row r="265" spans="1:8" ht="18" customHeight="1">
      <c r="B265" s="231" t="s">
        <v>10199</v>
      </c>
      <c r="E265" s="231" t="s">
        <v>2117</v>
      </c>
      <c r="H265" s="267" t="str">
        <f ca="1">IF(OR(don_BasePointX="ERROR",don_SearchEreaX="ERROR"),"",IF(OFFSET(INDIRECT(don_BasePointX),don_SEARCH_RESOLT__str_prove_notify_date,8,1,1)="","",OFFSET(INDIRECT(don_BasePointX),don_SEARCH_RESOLT__str_prove_notify_date,8,1,1)))</f>
        <v/>
      </c>
    </row>
    <row r="266" spans="1:8" ht="18" customHeight="1">
      <c r="B266" s="231" t="s">
        <v>9543</v>
      </c>
      <c r="E266" s="231" t="s">
        <v>9553</v>
      </c>
      <c r="H266" s="267" t="str">
        <f ca="1">IF(OR(don_BasePointX="ERROR",don_SearchEreaX="ERROR"),"",IF(OFFSET(INDIRECT(don_BasePointX),don_SEARCH_RESOLT__str_prove_notify_date,9,1,1)="","",OFFSET(INDIRECT(don_BasePointX),don_SEARCH_RESOLT__str_prove_notify_date,9,1,1)))</f>
        <v>大阪市中央区平野町3丁目6番1号</v>
      </c>
    </row>
    <row r="267" spans="1:8" ht="18" customHeight="1">
      <c r="B267" s="231" t="s">
        <v>10695</v>
      </c>
      <c r="E267" s="231" t="s">
        <v>10706</v>
      </c>
      <c r="H267" s="267" t="str">
        <f ca="1">IF(OR(don_BasePointX="ERROR",don_SearchEreaX="ERROR"),"",IF(OFFSET(INDIRECT(don_BasePointX),don_SEARCH_RESOLT__str_prove_notify_date,13,1,1)="","",OFFSET(INDIRECT(don_BasePointX),don_SEARCH_RESOLT__str_prove_notify_date,13,1,1)))</f>
        <v>osaka@c-ias.co.jp</v>
      </c>
    </row>
    <row r="269" spans="1:8" ht="18" customHeight="1">
      <c r="A269" s="231" t="s">
        <v>2061</v>
      </c>
      <c r="B269" s="231" t="s">
        <v>10237</v>
      </c>
      <c r="E269" s="231" t="s">
        <v>2097</v>
      </c>
      <c r="F269" s="330">
        <f ca="1">IF(shinsei_STRIRAI_DATE="",TODAY(),shinsei_STRIRAI_DATE)</f>
        <v>44348</v>
      </c>
      <c r="G269" s="231" t="s">
        <v>2107</v>
      </c>
      <c r="H269" s="331">
        <f ca="1">IF(OR(don_BasePointX="ERROR",don_SearchEreaX="ERROR"),"",IF(ISERROR(MATCH(don_SEARCH_DATE__str_irai_date,INDIRECT(don_SearchEreaX),0)),MATCH(don_SEARCH_DATE__str_irai_date,INDIRECT(don_SearchEreaX),1),MATCH(don_SEARCH_DATE__str_irai_date,INDIRECT(don_SearchEreaX),0)))</f>
        <v>2</v>
      </c>
    </row>
    <row r="270" spans="1:8" ht="18" customHeight="1">
      <c r="B270" s="231" t="s">
        <v>10195</v>
      </c>
      <c r="E270" s="231" t="s">
        <v>2098</v>
      </c>
      <c r="H270" s="267" t="str">
        <f ca="1">IF(OR(don_BasePointX="ERROR",don_SearchEreaX="ERROR"),"",IF(OFFSET(INDIRECT(don_BasePointX),don_SEARCH_RESOLT__str_irai_date,0,1,1)="","",OFFSET(INDIRECT(don_BasePointX),don_SEARCH_RESOLT__str_irai_date,0,1,1)))</f>
        <v/>
      </c>
    </row>
    <row r="271" spans="1:8" ht="18" customHeight="1">
      <c r="B271" s="231" t="s">
        <v>2766</v>
      </c>
      <c r="E271" s="231" t="s">
        <v>2099</v>
      </c>
      <c r="H271" s="267" t="str">
        <f ca="1">IF(OR(don_BasePointX="ERROR",don_SearchEreaX="ERROR"),"",IF(OFFSET(INDIRECT(don_BasePointX),don_SEARCH_RESOLT__str_irai_date,1,1,1)="","",OFFSET(INDIRECT(don_BasePointX),don_SEARCH_RESOLT__str_irai_date,1,1,1)))</f>
        <v>株式会社 国際確認検査センター</v>
      </c>
    </row>
    <row r="272" spans="1:8" ht="18" customHeight="1">
      <c r="B272" s="231" t="s">
        <v>9054</v>
      </c>
      <c r="E272" s="231" t="s">
        <v>2100</v>
      </c>
      <c r="H272" s="267" t="str">
        <f ca="1">IF(OR(don_BasePointX="ERROR",don_SearchEreaX="ERROR"),"",IF(OFFSET(INDIRECT(don_BasePointX),don_SEARCH_RESOLT__str_irai_date,2,1,1)="","",OFFSET(INDIRECT(don_BasePointX),don_SEARCH_RESOLT__str_irai_date,2,1,1)))</f>
        <v>代表取締役　　山 田  耕 藏</v>
      </c>
    </row>
    <row r="273" spans="1:8" ht="18" customHeight="1">
      <c r="B273" s="231" t="s">
        <v>225</v>
      </c>
      <c r="E273" s="231" t="s">
        <v>2101</v>
      </c>
      <c r="H273" s="333" t="str">
        <f ca="1">IF(OR(don_BasePointX="ERROR",don_SearchEreaX="ERROR"),"",IF(OFFSET(INDIRECT(don_BasePointX),don_SEARCH_RESOLT__str_irai_date,3,1,1)="","",OFFSET(INDIRECT(don_BasePointX),don_SEARCH_RESOLT__str_irai_date,3,1,1)))</f>
        <v>541-0046</v>
      </c>
    </row>
    <row r="274" spans="1:8" ht="18" customHeight="1">
      <c r="B274" s="231" t="s">
        <v>10196</v>
      </c>
      <c r="E274" s="231" t="s">
        <v>2102</v>
      </c>
      <c r="H274" s="267" t="str">
        <f ca="1">IF(OR(don_BasePointX="ERROR",don_SearchEreaX="ERROR"),"",IF(OFFSET(INDIRECT(don_BasePointX),don_SEARCH_RESOLT__str_irai_date,4,1,1)="","",OFFSET(INDIRECT(don_BasePointX),don_SEARCH_RESOLT__str_irai_date,4,1,1)))</f>
        <v>大阪市中央区平野町3丁目6番1号</v>
      </c>
    </row>
    <row r="275" spans="1:8" ht="18" customHeight="1">
      <c r="B275" s="231" t="s">
        <v>2783</v>
      </c>
      <c r="E275" s="231" t="s">
        <v>2103</v>
      </c>
      <c r="H275" s="267" t="str">
        <f ca="1">IF(OR(don_BasePointX="ERROR",don_SearchEreaX="ERROR"),"",IF(OFFSET(INDIRECT(don_BasePointX),don_SEARCH_RESOLT__str_irai_date,5,1,1)="","",OFFSET(INDIRECT(don_BasePointX),don_SEARCH_RESOLT__str_irai_date,5,1,1)))</f>
        <v>あいおいニッセイ同和損保御堂筋ビル9階</v>
      </c>
    </row>
    <row r="276" spans="1:8" ht="18" customHeight="1">
      <c r="B276" s="231" t="s">
        <v>10197</v>
      </c>
      <c r="E276" s="231" t="s">
        <v>2104</v>
      </c>
      <c r="H276" s="267" t="str">
        <f ca="1">IF(OR(don_BasePointX="ERROR",don_SearchEreaX="ERROR"),"",IF(OFFSET(INDIRECT(don_BasePointX),don_SEARCH_RESOLT__str_irai_date,6,1,1)="","",OFFSET(INDIRECT(don_BasePointX),don_SEARCH_RESOLT__str_irai_date,6,1,1)))</f>
        <v>06-6222-6626</v>
      </c>
    </row>
    <row r="277" spans="1:8" ht="18" customHeight="1">
      <c r="B277" s="231" t="s">
        <v>10198</v>
      </c>
      <c r="E277" s="231" t="s">
        <v>2105</v>
      </c>
      <c r="H277" s="267" t="str">
        <f ca="1">IF(OR(don_BasePointX="ERROR",don_SearchEreaX="ERROR"),"",IF(OFFSET(INDIRECT(don_BasePointX),don_SEARCH_RESOLT__str_irai_date,7,1,1)="","",OFFSET(INDIRECT(don_BasePointX),don_SEARCH_RESOLT__str_irai_date,7,1,1)))</f>
        <v>06-6222-6627</v>
      </c>
    </row>
    <row r="278" spans="1:8" ht="18" customHeight="1">
      <c r="B278" s="231" t="s">
        <v>10199</v>
      </c>
      <c r="E278" s="231" t="s">
        <v>2106</v>
      </c>
      <c r="H278" s="267" t="str">
        <f ca="1">IF(OR(don_BasePointX="ERROR",don_SearchEreaX="ERROR"),"",IF(OFFSET(INDIRECT(don_BasePointX),don_SEARCH_RESOLT__str_irai_date,8,1,1)="","",OFFSET(INDIRECT(don_BasePointX),don_SEARCH_RESOLT__str_irai_date,8,1,1)))</f>
        <v/>
      </c>
    </row>
    <row r="279" spans="1:8" ht="18" customHeight="1">
      <c r="B279" s="231" t="s">
        <v>9543</v>
      </c>
      <c r="E279" s="231" t="s">
        <v>9554</v>
      </c>
      <c r="H279" s="267" t="str">
        <f ca="1">IF(OR(don_BasePointX="ERROR",don_SearchEreaX="ERROR"),"",IF(OFFSET(INDIRECT(don_BasePointX),don_SEARCH_RESOLT__str_irai_date,9,1,1)="","",OFFSET(INDIRECT(don_BasePointX),don_SEARCH_RESOLT__str_irai_date,9,1,1)))</f>
        <v>大阪市中央区平野町3丁目6番1号</v>
      </c>
    </row>
    <row r="280" spans="1:8" ht="18" customHeight="1">
      <c r="B280" s="231" t="s">
        <v>10695</v>
      </c>
      <c r="E280" s="231" t="s">
        <v>10707</v>
      </c>
      <c r="H280" s="267" t="str">
        <f ca="1">IF(OR(don_BasePointX="ERROR",don_SearchEreaX="ERROR"),"",IF(OFFSET(INDIRECT(don_BasePointX),don_SEARCH_RESOLT__str_irai_date,13,1,1)="","",OFFSET(INDIRECT(don_BasePointX),don_SEARCH_RESOLT__str_irai_date,13,1,1)))</f>
        <v>osaka@c-ias.co.jp</v>
      </c>
    </row>
    <row r="282" spans="1:8" ht="18" customHeight="1">
      <c r="A282" s="231" t="s">
        <v>2062</v>
      </c>
      <c r="B282" s="231" t="s">
        <v>10237</v>
      </c>
      <c r="E282" s="231" t="s">
        <v>2086</v>
      </c>
      <c r="F282" s="330">
        <f ca="1">IF(shinsei_STR_EXCEEDED_DATE="",TODAY(),shinsei_STR_EXCEEDED_DATE)</f>
        <v>44348</v>
      </c>
      <c r="G282" s="231" t="s">
        <v>2096</v>
      </c>
      <c r="H282" s="331">
        <f ca="1">IF(OR(don_BasePointX="ERROR",don_SearchEreaX="ERROR"),"",IF(ISERROR(MATCH(don_SEARCH_DATE__str_encyou_tuuti_date,INDIRECT(don_SearchEreaX),0)),MATCH(don_SEARCH_DATE__str_encyou_tuuti_date,INDIRECT(don_SearchEreaX),1),MATCH(don_SEARCH_DATE__str_encyou_tuuti_date,INDIRECT(don_SearchEreaX),0)))</f>
        <v>2</v>
      </c>
    </row>
    <row r="283" spans="1:8" ht="18" customHeight="1">
      <c r="B283" s="231" t="s">
        <v>10195</v>
      </c>
      <c r="E283" s="231" t="s">
        <v>2087</v>
      </c>
      <c r="H283" s="267" t="str">
        <f ca="1">IF(OR(don_BasePointX="ERROR",don_SearchEreaX="ERROR"),"",IF(OFFSET(INDIRECT(don_BasePointX),don_SEARCH_RESOLT__str_encyou_tuuti_date,0,1,1)="","",OFFSET(INDIRECT(don_BasePointX),don_SEARCH_RESOLT__str_encyou_tuuti_date,0,1,1)))</f>
        <v/>
      </c>
    </row>
    <row r="284" spans="1:8" ht="18" customHeight="1">
      <c r="B284" s="231" t="s">
        <v>2766</v>
      </c>
      <c r="E284" s="231" t="s">
        <v>2088</v>
      </c>
      <c r="H284" s="267" t="str">
        <f ca="1">IF(OR(don_BasePointX="ERROR",don_SearchEreaX="ERROR"),"",IF(OFFSET(INDIRECT(don_BasePointX),don_SEARCH_RESOLT__str_encyou_tuuti_date,1,1,1)="","",OFFSET(INDIRECT(don_BasePointX),don_SEARCH_RESOLT__str_encyou_tuuti_date,1,1,1)))</f>
        <v>株式会社 国際確認検査センター</v>
      </c>
    </row>
    <row r="285" spans="1:8" ht="18" customHeight="1">
      <c r="B285" s="231" t="s">
        <v>9054</v>
      </c>
      <c r="E285" s="231" t="s">
        <v>2089</v>
      </c>
      <c r="H285" s="267" t="str">
        <f ca="1">IF(OR(don_BasePointX="ERROR",don_SearchEreaX="ERROR"),"",IF(OFFSET(INDIRECT(don_BasePointX),don_SEARCH_RESOLT__str_encyou_tuuti_date,2,1,1)="","",OFFSET(INDIRECT(don_BasePointX),don_SEARCH_RESOLT__str_encyou_tuuti_date,2,1,1)))</f>
        <v>代表取締役　　山 田  耕 藏</v>
      </c>
    </row>
    <row r="286" spans="1:8" ht="18" customHeight="1">
      <c r="B286" s="231" t="s">
        <v>225</v>
      </c>
      <c r="E286" s="231" t="s">
        <v>2090</v>
      </c>
      <c r="H286" s="333" t="str">
        <f ca="1">IF(OR(don_BasePointX="ERROR",don_SearchEreaX="ERROR"),"",IF(OFFSET(INDIRECT(don_BasePointX),don_SEARCH_RESOLT__str_encyou_tuuti_date,3,1,1)="","",OFFSET(INDIRECT(don_BasePointX),don_SEARCH_RESOLT__str_encyou_tuuti_date,3,1,1)))</f>
        <v>541-0046</v>
      </c>
    </row>
    <row r="287" spans="1:8" ht="18" customHeight="1">
      <c r="B287" s="231" t="s">
        <v>10196</v>
      </c>
      <c r="E287" s="231" t="s">
        <v>2091</v>
      </c>
      <c r="H287" s="267" t="str">
        <f ca="1">IF(OR(don_BasePointX="ERROR",don_SearchEreaX="ERROR"),"",IF(OFFSET(INDIRECT(don_BasePointX),don_SEARCH_RESOLT__str_encyou_tuuti_date,4,1,1)="","",OFFSET(INDIRECT(don_BasePointX),don_SEARCH_RESOLT__str_encyou_tuuti_date,4,1,1)))</f>
        <v>大阪市中央区平野町3丁目6番1号</v>
      </c>
    </row>
    <row r="288" spans="1:8" ht="18" customHeight="1">
      <c r="B288" s="231" t="s">
        <v>2783</v>
      </c>
      <c r="E288" s="231" t="s">
        <v>2092</v>
      </c>
      <c r="H288" s="267" t="str">
        <f ca="1">IF(OR(don_BasePointX="ERROR",don_SearchEreaX="ERROR"),"",IF(OFFSET(INDIRECT(don_BasePointX),don_SEARCH_RESOLT__str_encyou_tuuti_date,5,1,1)="","",OFFSET(INDIRECT(don_BasePointX),don_SEARCH_RESOLT__str_encyou_tuuti_date,5,1,1)))</f>
        <v>あいおいニッセイ同和損保御堂筋ビル9階</v>
      </c>
    </row>
    <row r="289" spans="1:8" ht="18" customHeight="1">
      <c r="B289" s="231" t="s">
        <v>10197</v>
      </c>
      <c r="E289" s="231" t="s">
        <v>2093</v>
      </c>
      <c r="H289" s="267" t="str">
        <f ca="1">IF(OR(don_BasePointX="ERROR",don_SearchEreaX="ERROR"),"",IF(OFFSET(INDIRECT(don_BasePointX),don_SEARCH_RESOLT__str_encyou_tuuti_date,6,1,1)="","",OFFSET(INDIRECT(don_BasePointX),don_SEARCH_RESOLT__str_encyou_tuuti_date,6,1,1)))</f>
        <v>06-6222-6626</v>
      </c>
    </row>
    <row r="290" spans="1:8" ht="18" customHeight="1">
      <c r="B290" s="231" t="s">
        <v>10198</v>
      </c>
      <c r="E290" s="231" t="s">
        <v>2094</v>
      </c>
      <c r="H290" s="267" t="str">
        <f ca="1">IF(OR(don_BasePointX="ERROR",don_SearchEreaX="ERROR"),"",IF(OFFSET(INDIRECT(don_BasePointX),don_SEARCH_RESOLT__str_encyou_tuuti_date,7,1,1)="","",OFFSET(INDIRECT(don_BasePointX),don_SEARCH_RESOLT__str_encyou_tuuti_date,7,1,1)))</f>
        <v>06-6222-6627</v>
      </c>
    </row>
    <row r="291" spans="1:8" ht="18" customHeight="1">
      <c r="B291" s="231" t="s">
        <v>10199</v>
      </c>
      <c r="E291" s="231" t="s">
        <v>2095</v>
      </c>
      <c r="H291" s="267" t="str">
        <f ca="1">IF(OR(don_BasePointX="ERROR",don_SearchEreaX="ERROR"),"",IF(OFFSET(INDIRECT(don_BasePointX),don_SEARCH_RESOLT__str_encyou_tuuti_date,8,1,1)="","",OFFSET(INDIRECT(don_BasePointX),don_SEARCH_RESOLT__str_encyou_tuuti_date,8,1,1)))</f>
        <v/>
      </c>
    </row>
    <row r="292" spans="1:8" ht="18" customHeight="1">
      <c r="B292" s="231" t="s">
        <v>9543</v>
      </c>
      <c r="E292" s="231" t="s">
        <v>9555</v>
      </c>
      <c r="H292" s="267" t="str">
        <f ca="1">IF(OR(don_BasePointX="ERROR",don_SearchEreaX="ERROR"),"",IF(OFFSET(INDIRECT(don_BasePointX),don_SEARCH_RESOLT__str_encyou_tuuti_date,9,1,1)="","",OFFSET(INDIRECT(don_BasePointX),don_SEARCH_RESOLT__str_encyou_tuuti_date,9,1,1)))</f>
        <v>大阪市中央区平野町3丁目6番1号</v>
      </c>
    </row>
    <row r="293" spans="1:8" ht="18" customHeight="1">
      <c r="B293" s="231" t="s">
        <v>10695</v>
      </c>
      <c r="E293" s="231" t="s">
        <v>10708</v>
      </c>
      <c r="H293" s="267" t="str">
        <f ca="1">IF(OR(don_BasePointX="ERROR",don_SearchEreaX="ERROR"),"",IF(OFFSET(INDIRECT(don_BasePointX),don_SEARCH_RESOLT__str_encyou_tuuti_date,13,1,1)="","",OFFSET(INDIRECT(don_BasePointX),don_SEARCH_RESOLT__str_encyou_tuuti_date,13,1,1)))</f>
        <v>osaka@c-ias.co.jp</v>
      </c>
    </row>
    <row r="295" spans="1:8" ht="18" customHeight="1">
      <c r="A295" s="231" t="s">
        <v>3035</v>
      </c>
      <c r="B295" s="231" t="s">
        <v>10237</v>
      </c>
      <c r="E295" s="231" t="s">
        <v>2075</v>
      </c>
      <c r="F295" s="330">
        <f ca="1">IF(cst_charge_income_INCOME_DATE="",TODAY(),cst_charge_income_INCOME_DATE)</f>
        <v>44348</v>
      </c>
      <c r="G295" s="231" t="s">
        <v>2085</v>
      </c>
      <c r="H295" s="331">
        <f ca="1">IF(OR(don_BasePointX="ERROR",don_SearchEreaX="ERROR"),"",IF(ISERROR(MATCH(don_SEARCH_DATE__income_date,INDIRECT(don_SearchEreaX),0)),MATCH(don_SEARCH_DATE__income_date,INDIRECT(don_SearchEreaX),1),MATCH(don_SEARCH_DATE__income_date,INDIRECT(don_SearchEreaX),0)))</f>
        <v>2</v>
      </c>
    </row>
    <row r="296" spans="1:8" ht="18" customHeight="1">
      <c r="B296" s="231" t="s">
        <v>10195</v>
      </c>
      <c r="E296" s="231" t="s">
        <v>2076</v>
      </c>
      <c r="H296" s="267" t="str">
        <f ca="1">IF(OR(don_BasePointX="ERROR",don_SearchEreaX="ERROR"),"",IF(OFFSET(INDIRECT(don_BasePointX),don_SEARCH_RESOLT__income_date,0,1,1)="","",OFFSET(INDIRECT(don_BasePointX),don_SEARCH_RESOLT__income_date,0,1,1)))</f>
        <v/>
      </c>
    </row>
    <row r="297" spans="1:8" ht="18" customHeight="1">
      <c r="B297" s="231" t="s">
        <v>2766</v>
      </c>
      <c r="E297" s="231" t="s">
        <v>2077</v>
      </c>
      <c r="H297" s="267" t="str">
        <f ca="1">IF(OR(don_BasePointX="ERROR",don_SearchEreaX="ERROR"),"",IF(OFFSET(INDIRECT(don_BasePointX),don_SEARCH_RESOLT__income_date,1,1,1)="","",OFFSET(INDIRECT(don_BasePointX),don_SEARCH_RESOLT__income_date,1,1,1)))</f>
        <v>株式会社 国際確認検査センター</v>
      </c>
    </row>
    <row r="298" spans="1:8" ht="18" customHeight="1">
      <c r="B298" s="231" t="s">
        <v>9054</v>
      </c>
      <c r="E298" s="231" t="s">
        <v>2078</v>
      </c>
      <c r="H298" s="267" t="str">
        <f ca="1">IF(OR(don_BasePointX="ERROR",don_SearchEreaX="ERROR"),"",IF(OFFSET(INDIRECT(don_BasePointX),don_SEARCH_RESOLT__income_date,2,1,1)="","",OFFSET(INDIRECT(don_BasePointX),don_SEARCH_RESOLT__income_date,2,1,1)))</f>
        <v>代表取締役　　山 田  耕 藏</v>
      </c>
    </row>
    <row r="299" spans="1:8" ht="18" customHeight="1">
      <c r="B299" s="231" t="s">
        <v>225</v>
      </c>
      <c r="E299" s="231" t="s">
        <v>2079</v>
      </c>
      <c r="H299" s="333" t="str">
        <f ca="1">IF(OR(don_BasePointX="ERROR",don_SearchEreaX="ERROR"),"",IF(OFFSET(INDIRECT(don_BasePointX),don_SEARCH_RESOLT__income_date,3,1,1)="","",OFFSET(INDIRECT(don_BasePointX),don_SEARCH_RESOLT__income_date,3,1,1)))</f>
        <v>541-0046</v>
      </c>
    </row>
    <row r="300" spans="1:8" ht="18" customHeight="1">
      <c r="B300" s="231" t="s">
        <v>10196</v>
      </c>
      <c r="E300" s="231" t="s">
        <v>2080</v>
      </c>
      <c r="H300" s="267" t="str">
        <f ca="1">IF(OR(don_BasePointX="ERROR",don_SearchEreaX="ERROR"),"",IF(OFFSET(INDIRECT(don_BasePointX),don_SEARCH_RESOLT__income_date,4,1,1)="","",OFFSET(INDIRECT(don_BasePointX),don_SEARCH_RESOLT__income_date,4,1,1)))</f>
        <v>大阪市中央区平野町3丁目6番1号</v>
      </c>
    </row>
    <row r="301" spans="1:8" ht="18" customHeight="1">
      <c r="B301" s="231" t="s">
        <v>2783</v>
      </c>
      <c r="E301" s="231" t="s">
        <v>2081</v>
      </c>
      <c r="H301" s="267" t="str">
        <f ca="1">IF(OR(don_BasePointX="ERROR",don_SearchEreaX="ERROR"),"",IF(OFFSET(INDIRECT(don_BasePointX),don_SEARCH_RESOLT__income_date,5,1,1)="","",OFFSET(INDIRECT(don_BasePointX),don_SEARCH_RESOLT__income_date,5,1,1)))</f>
        <v>あいおいニッセイ同和損保御堂筋ビル9階</v>
      </c>
    </row>
    <row r="302" spans="1:8" ht="18" customHeight="1">
      <c r="B302" s="231" t="s">
        <v>10197</v>
      </c>
      <c r="E302" s="231" t="s">
        <v>2082</v>
      </c>
      <c r="H302" s="267" t="str">
        <f ca="1">IF(OR(don_BasePointX="ERROR",don_SearchEreaX="ERROR"),"",IF(OFFSET(INDIRECT(don_BasePointX),don_SEARCH_RESOLT__income_date,6,1,1)="","",OFFSET(INDIRECT(don_BasePointX),don_SEARCH_RESOLT__income_date,6,1,1)))</f>
        <v>06-6222-6626</v>
      </c>
    </row>
    <row r="303" spans="1:8" ht="18" customHeight="1">
      <c r="B303" s="231" t="s">
        <v>10198</v>
      </c>
      <c r="E303" s="231" t="s">
        <v>2083</v>
      </c>
      <c r="H303" s="267" t="str">
        <f ca="1">IF(OR(don_BasePointX="ERROR",don_SearchEreaX="ERROR"),"",IF(OFFSET(INDIRECT(don_BasePointX),don_SEARCH_RESOLT__income_date,7,1,1)="","",OFFSET(INDIRECT(don_BasePointX),don_SEARCH_RESOLT__income_date,7,1,1)))</f>
        <v>06-6222-6627</v>
      </c>
    </row>
    <row r="304" spans="1:8" ht="18" customHeight="1">
      <c r="B304" s="231" t="s">
        <v>10199</v>
      </c>
      <c r="E304" s="231" t="s">
        <v>2084</v>
      </c>
      <c r="H304" s="267" t="str">
        <f ca="1">IF(OR(don_BasePointX="ERROR",don_SearchEreaX="ERROR"),"",IF(OFFSET(INDIRECT(don_BasePointX),don_SEARCH_RESOLT__income_date,8,1,1)="","",OFFSET(INDIRECT(don_BasePointX),don_SEARCH_RESOLT__income_date,8,1,1)))</f>
        <v/>
      </c>
    </row>
    <row r="305" spans="1:8" ht="18" customHeight="1">
      <c r="B305" s="231" t="s">
        <v>9543</v>
      </c>
      <c r="E305" s="231" t="s">
        <v>9556</v>
      </c>
      <c r="H305" s="267" t="str">
        <f ca="1">IF(OR(don_BasePointX="ERROR",don_SearchEreaX="ERROR"),"",IF(OFFSET(INDIRECT(don_BasePointX),don_SEARCH_RESOLT__income_date,9,1,1)="","",OFFSET(INDIRECT(don_BasePointX),don_SEARCH_RESOLT__income_date,9,1,1)))</f>
        <v>大阪市中央区平野町3丁目6番1号</v>
      </c>
    </row>
    <row r="306" spans="1:8" ht="18" customHeight="1">
      <c r="B306" s="231" t="s">
        <v>10695</v>
      </c>
      <c r="E306" s="231" t="s">
        <v>10709</v>
      </c>
      <c r="H306" s="267" t="str">
        <f ca="1">IF(OR(don_BasePointX="ERROR",don_SearchEreaX="ERROR"),"",IF(OFFSET(INDIRECT(don_BasePointX),don_SEARCH_RESOLT__income_date,13,1,1)="","",OFFSET(INDIRECT(don_BasePointX),don_SEARCH_RESOLT__income_date,13,1,1)))</f>
        <v>osaka@c-ias.co.jp</v>
      </c>
    </row>
    <row r="308" spans="1:8" ht="18" customHeight="1">
      <c r="A308" s="231" t="s">
        <v>2063</v>
      </c>
      <c r="B308" s="231" t="s">
        <v>10237</v>
      </c>
      <c r="E308" s="231" t="s">
        <v>2064</v>
      </c>
      <c r="F308" s="330">
        <f ca="1">IF(shinsei_CHARGE_ID__BASE_DATE="",TODAY(),shinsei_CHARGE_ID__BASE_DATE)</f>
        <v>44258</v>
      </c>
      <c r="G308" s="231" t="s">
        <v>2074</v>
      </c>
      <c r="H308" s="331">
        <f ca="1">IF(OR(don_BasePointX="ERROR",don_SearchEreaX="ERROR"),"",IF(ISERROR(MATCH(don_SEARCH_DATE__charge_base_date,INDIRECT(don_SearchEreaX),0)),MATCH(don_SEARCH_DATE__charge_base_date,INDIRECT(don_SearchEreaX),1),MATCH(don_SEARCH_DATE__charge_base_date,INDIRECT(don_SearchEreaX),0)))</f>
        <v>2</v>
      </c>
    </row>
    <row r="309" spans="1:8" ht="18" customHeight="1">
      <c r="B309" s="231" t="s">
        <v>10195</v>
      </c>
      <c r="E309" s="231" t="s">
        <v>2065</v>
      </c>
      <c r="H309" s="267" t="str">
        <f ca="1">IF(OR(don_BasePointX="ERROR",don_SearchEreaX="ERROR"),"",IF(OFFSET(INDIRECT(don_BasePointX),don_SEARCH_RESOLT__charge_base_date,0,1,1)="","",OFFSET(INDIRECT(don_BasePointX),don_SEARCH_RESOLT__charge_base_date,0,1,1)))</f>
        <v/>
      </c>
    </row>
    <row r="310" spans="1:8" ht="18" customHeight="1">
      <c r="B310" s="231" t="s">
        <v>2766</v>
      </c>
      <c r="E310" s="231" t="s">
        <v>2066</v>
      </c>
      <c r="H310" s="267" t="str">
        <f ca="1">IF(OR(don_BasePointX="ERROR",don_SearchEreaX="ERROR"),"",IF(OFFSET(INDIRECT(don_BasePointX),don_SEARCH_RESOLT__charge_base_date,1,1,1)="","",OFFSET(INDIRECT(don_BasePointX),don_SEARCH_RESOLT__charge_base_date,1,1,1)))</f>
        <v>株式会社 国際確認検査センター</v>
      </c>
    </row>
    <row r="311" spans="1:8" ht="18" customHeight="1">
      <c r="B311" s="231" t="s">
        <v>9054</v>
      </c>
      <c r="E311" s="231" t="s">
        <v>2067</v>
      </c>
      <c r="H311" s="267" t="str">
        <f ca="1">IF(OR(don_BasePointX="ERROR",don_SearchEreaX="ERROR"),"",IF(OFFSET(INDIRECT(don_BasePointX),don_SEARCH_RESOLT__charge_base_date,2,1,1)="","",OFFSET(INDIRECT(don_BasePointX),don_SEARCH_RESOLT__charge_base_date,2,1,1)))</f>
        <v>代表取締役　　山 田  耕 藏</v>
      </c>
    </row>
    <row r="312" spans="1:8" ht="18" customHeight="1">
      <c r="B312" s="231" t="s">
        <v>225</v>
      </c>
      <c r="E312" s="231" t="s">
        <v>2068</v>
      </c>
      <c r="H312" s="333" t="str">
        <f ca="1">IF(OR(don_BasePointX="ERROR",don_SearchEreaX="ERROR"),"",IF(OFFSET(INDIRECT(don_BasePointX),don_SEARCH_RESOLT__charge_base_date,3,1,1)="","",OFFSET(INDIRECT(don_BasePointX),don_SEARCH_RESOLT__charge_base_date,3,1,1)))</f>
        <v>541-0046</v>
      </c>
    </row>
    <row r="313" spans="1:8" ht="18" customHeight="1">
      <c r="B313" s="231" t="s">
        <v>10196</v>
      </c>
      <c r="E313" s="231" t="s">
        <v>2069</v>
      </c>
      <c r="H313" s="267" t="str">
        <f ca="1">IF(OR(don_BasePointX="ERROR",don_SearchEreaX="ERROR"),"",IF(OFFSET(INDIRECT(don_BasePointX),don_SEARCH_RESOLT__charge_base_date,4,1,1)="","",OFFSET(INDIRECT(don_BasePointX),don_SEARCH_RESOLT__charge_base_date,4,1,1)))</f>
        <v>大阪市中央区平野町3丁目6番1号</v>
      </c>
    </row>
    <row r="314" spans="1:8" ht="18" customHeight="1">
      <c r="B314" s="231" t="s">
        <v>2783</v>
      </c>
      <c r="E314" s="231" t="s">
        <v>2070</v>
      </c>
      <c r="H314" s="267" t="str">
        <f ca="1">IF(OR(don_BasePointX="ERROR",don_SearchEreaX="ERROR"),"",IF(OFFSET(INDIRECT(don_BasePointX),don_SEARCH_RESOLT__charge_base_date,5,1,1)="","",OFFSET(INDIRECT(don_BasePointX),don_SEARCH_RESOLT__charge_base_date,5,1,1)))</f>
        <v>あいおいニッセイ同和損保御堂筋ビル9階</v>
      </c>
    </row>
    <row r="315" spans="1:8" ht="18" customHeight="1">
      <c r="B315" s="231" t="s">
        <v>10197</v>
      </c>
      <c r="E315" s="231" t="s">
        <v>2071</v>
      </c>
      <c r="H315" s="267" t="str">
        <f ca="1">IF(OR(don_BasePointX="ERROR",don_SearchEreaX="ERROR"),"",IF(OFFSET(INDIRECT(don_BasePointX),don_SEARCH_RESOLT__charge_base_date,6,1,1)="","",OFFSET(INDIRECT(don_BasePointX),don_SEARCH_RESOLT__charge_base_date,6,1,1)))</f>
        <v>06-6222-6626</v>
      </c>
    </row>
    <row r="316" spans="1:8" ht="18" customHeight="1">
      <c r="B316" s="231" t="s">
        <v>10198</v>
      </c>
      <c r="E316" s="231" t="s">
        <v>2072</v>
      </c>
      <c r="H316" s="267" t="str">
        <f ca="1">IF(OR(don_BasePointX="ERROR",don_SearchEreaX="ERROR"),"",IF(OFFSET(INDIRECT(don_BasePointX),don_SEARCH_RESOLT__charge_base_date,7,1,1)="","",OFFSET(INDIRECT(don_BasePointX),don_SEARCH_RESOLT__charge_base_date,7,1,1)))</f>
        <v>06-6222-6627</v>
      </c>
    </row>
    <row r="317" spans="1:8" ht="18" customHeight="1">
      <c r="B317" s="231" t="s">
        <v>10199</v>
      </c>
      <c r="E317" s="231" t="s">
        <v>2073</v>
      </c>
      <c r="H317" s="267" t="str">
        <f ca="1">IF(OR(don_BasePointX="ERROR",don_SearchEreaX="ERROR"),"",IF(OFFSET(INDIRECT(don_BasePointX),don_SEARCH_RESOLT__charge_base_date,8,1,1)="","",OFFSET(INDIRECT(don_BasePointX),don_SEARCH_RESOLT__charge_base_date,8,1,1)))</f>
        <v/>
      </c>
    </row>
    <row r="318" spans="1:8" ht="18" customHeight="1">
      <c r="B318" s="231" t="s">
        <v>9543</v>
      </c>
      <c r="E318" s="231" t="s">
        <v>9557</v>
      </c>
      <c r="H318" s="267" t="str">
        <f ca="1">IF(OR(don_BasePointX="ERROR",don_SearchEreaX="ERROR"),"",IF(OFFSET(INDIRECT(don_BasePointX),don_SEARCH_RESOLT__charge_base_date,9,1,1)="","",OFFSET(INDIRECT(don_BasePointX),don_SEARCH_RESOLT__charge_base_date,9,1,1)))</f>
        <v>大阪市中央区平野町3丁目6番1号</v>
      </c>
    </row>
    <row r="319" spans="1:8" ht="18" customHeight="1">
      <c r="B319" s="231" t="s">
        <v>10695</v>
      </c>
      <c r="E319" s="231" t="s">
        <v>10710</v>
      </c>
      <c r="H319" s="267" t="str">
        <f ca="1">IF(OR(don_BasePointX="ERROR",don_SearchEreaX="ERROR"),"",IF(OFFSET(INDIRECT(don_BasePointX),don_SEARCH_RESOLT__charge_base_date,13,1,1)="","",OFFSET(INDIRECT(don_BasePointX),don_SEARCH_RESOLT__charge_base_date,13,1,1)))</f>
        <v>osaka@c-ias.co.jp</v>
      </c>
    </row>
  </sheetData>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op Down 1">
              <controlPr defaultSize="0" print="0" autoLine="0" autoPict="0">
                <anchor moveWithCells="1">
                  <from>
                    <xdr:col>5</xdr:col>
                    <xdr:colOff>0</xdr:colOff>
                    <xdr:row>73</xdr:row>
                    <xdr:rowOff>0</xdr:rowOff>
                  </from>
                  <to>
                    <xdr:col>6</xdr:col>
                    <xdr:colOff>0</xdr:colOff>
                    <xdr:row>74</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pageSetUpPr fitToPage="1"/>
  </sheetPr>
  <dimension ref="A1:AR174"/>
  <sheetViews>
    <sheetView zoomScale="80" zoomScaleNormal="80" workbookViewId="0">
      <pane xSplit="2" ySplit="3" topLeftCell="C4" activePane="bottomRight" state="frozen"/>
      <selection pane="topRight" activeCell="C1" sqref="C1"/>
      <selection pane="bottomLeft" activeCell="A4" sqref="A4"/>
      <selection pane="bottomRight" activeCell="C4" sqref="C4"/>
    </sheetView>
  </sheetViews>
  <sheetFormatPr defaultColWidth="8.125" defaultRowHeight="18" customHeight="1"/>
  <cols>
    <col min="1" max="1" width="3.375" style="368" customWidth="1"/>
    <col min="2" max="2" width="33.75" style="368" bestFit="1" customWidth="1"/>
    <col min="3" max="3" width="38" style="368" customWidth="1"/>
    <col min="4" max="4" width="8.625" style="409" customWidth="1"/>
    <col min="5" max="10" width="8.625" style="328" customWidth="1"/>
    <col min="11" max="11" width="8.625" style="410" customWidth="1"/>
    <col min="12" max="18" width="8.625" style="328" customWidth="1"/>
    <col min="19" max="19" width="3.625" style="446" customWidth="1"/>
    <col min="20" max="21" width="5.625" style="326" customWidth="1"/>
    <col min="22" max="22" width="5.625" style="166" customWidth="1"/>
    <col min="23" max="24" width="5.625" style="2" customWidth="1"/>
    <col min="25" max="33" width="5.625" style="166" customWidth="1"/>
    <col min="34" max="37" width="5.625" style="326" customWidth="1"/>
    <col min="38" max="42" width="4.625" style="166" customWidth="1"/>
    <col min="43" max="43" width="8.625" style="166" customWidth="1"/>
    <col min="44" max="44" width="9.375" style="166" customWidth="1"/>
    <col min="45" max="16384" width="8.125" style="166"/>
  </cols>
  <sheetData>
    <row r="1" spans="1:44" s="230" customFormat="1" ht="18" customHeight="1">
      <c r="A1" s="334"/>
      <c r="B1" s="335"/>
      <c r="C1" s="337"/>
      <c r="D1" s="343" t="s">
        <v>1380</v>
      </c>
      <c r="E1" s="344"/>
      <c r="F1" s="344"/>
      <c r="G1" s="346" t="s">
        <v>1385</v>
      </c>
      <c r="H1" s="347"/>
      <c r="I1" s="347"/>
      <c r="J1" s="347"/>
      <c r="K1" s="349" t="s">
        <v>10246</v>
      </c>
      <c r="L1" s="350"/>
      <c r="M1" s="350"/>
      <c r="N1" s="350"/>
      <c r="O1" s="350"/>
      <c r="P1" s="350"/>
      <c r="Q1" s="350"/>
      <c r="R1" s="350"/>
      <c r="S1" s="674" t="s">
        <v>10247</v>
      </c>
      <c r="T1" s="675" t="s">
        <v>10248</v>
      </c>
      <c r="U1" s="675"/>
      <c r="V1" s="676"/>
      <c r="W1" s="672"/>
      <c r="X1" s="672"/>
      <c r="Y1" s="672"/>
      <c r="Z1" s="672"/>
      <c r="AA1" s="672"/>
      <c r="AB1" s="672"/>
      <c r="AC1" s="672"/>
      <c r="AD1" s="672"/>
      <c r="AE1" s="672"/>
      <c r="AF1" s="672"/>
      <c r="AG1" s="672"/>
      <c r="AH1" s="672"/>
      <c r="AI1" s="672"/>
      <c r="AJ1" s="497"/>
      <c r="AK1" s="498"/>
      <c r="AL1" s="673" t="s">
        <v>10256</v>
      </c>
      <c r="AM1" s="673"/>
      <c r="AN1" s="673"/>
      <c r="AO1" s="673"/>
      <c r="AP1" s="673"/>
      <c r="AQ1" s="477" t="s">
        <v>10114</v>
      </c>
      <c r="AR1" s="478"/>
    </row>
    <row r="2" spans="1:44" s="368" customFormat="1" ht="42" customHeight="1">
      <c r="A2" s="354"/>
      <c r="B2" s="354" t="s">
        <v>10259</v>
      </c>
      <c r="C2" s="355" t="s">
        <v>10261</v>
      </c>
      <c r="D2" s="358" t="s">
        <v>10017</v>
      </c>
      <c r="E2" s="358" t="s">
        <v>10018</v>
      </c>
      <c r="F2" s="358" t="s">
        <v>10019</v>
      </c>
      <c r="G2" s="358" t="s">
        <v>10020</v>
      </c>
      <c r="H2" s="358" t="s">
        <v>10270</v>
      </c>
      <c r="I2" s="358" t="s">
        <v>10021</v>
      </c>
      <c r="J2" s="358" t="s">
        <v>10022</v>
      </c>
      <c r="K2" s="358" t="s">
        <v>10271</v>
      </c>
      <c r="L2" s="358" t="s">
        <v>10272</v>
      </c>
      <c r="M2" s="358" t="s">
        <v>1401</v>
      </c>
      <c r="N2" s="359" t="s">
        <v>10273</v>
      </c>
      <c r="O2" s="359" t="s">
        <v>10274</v>
      </c>
      <c r="P2" s="359" t="s">
        <v>10275</v>
      </c>
      <c r="Q2" s="359" t="s">
        <v>10276</v>
      </c>
      <c r="R2" s="359" t="s">
        <v>10277</v>
      </c>
      <c r="S2" s="674"/>
      <c r="T2" s="358" t="s">
        <v>10285</v>
      </c>
      <c r="U2" s="358" t="s">
        <v>10286</v>
      </c>
      <c r="V2" s="671" t="s">
        <v>10302</v>
      </c>
      <c r="W2" s="671"/>
      <c r="X2" s="671"/>
      <c r="Y2" s="671"/>
      <c r="Z2" s="671"/>
      <c r="AA2" s="671"/>
      <c r="AB2" s="671"/>
      <c r="AC2" s="671"/>
      <c r="AD2" s="671" t="s">
        <v>10307</v>
      </c>
      <c r="AE2" s="671"/>
      <c r="AF2" s="677" t="s">
        <v>10308</v>
      </c>
      <c r="AG2" s="671"/>
      <c r="AH2" s="671" t="s">
        <v>10311</v>
      </c>
      <c r="AI2" s="671"/>
      <c r="AJ2" s="671" t="s">
        <v>10927</v>
      </c>
      <c r="AK2" s="671"/>
      <c r="AL2" s="354" t="s">
        <v>9530</v>
      </c>
      <c r="AM2" s="354" t="s">
        <v>9531</v>
      </c>
      <c r="AN2" s="354" t="s">
        <v>9532</v>
      </c>
      <c r="AO2" s="354" t="s">
        <v>9533</v>
      </c>
      <c r="AP2" s="354" t="s">
        <v>9534</v>
      </c>
      <c r="AQ2" s="354" t="s">
        <v>10115</v>
      </c>
      <c r="AR2" s="354"/>
    </row>
    <row r="3" spans="1:44" s="368" customFormat="1" ht="42" customHeight="1">
      <c r="A3" s="369"/>
      <c r="B3" s="354"/>
      <c r="C3" s="354"/>
      <c r="D3" s="358"/>
      <c r="E3" s="358"/>
      <c r="F3" s="358"/>
      <c r="G3" s="358"/>
      <c r="H3" s="358"/>
      <c r="I3" s="358"/>
      <c r="J3" s="358"/>
      <c r="K3" s="358"/>
      <c r="L3" s="358"/>
      <c r="M3" s="358"/>
      <c r="N3" s="358"/>
      <c r="O3" s="358"/>
      <c r="P3" s="358" t="s">
        <v>10375</v>
      </c>
      <c r="Q3" s="358"/>
      <c r="R3" s="500"/>
      <c r="S3" s="391"/>
      <c r="T3" s="358"/>
      <c r="U3" s="358"/>
      <c r="V3" s="354" t="s">
        <v>10421</v>
      </c>
      <c r="W3" s="390" t="s">
        <v>10422</v>
      </c>
      <c r="X3" s="390" t="s">
        <v>10423</v>
      </c>
      <c r="Y3" s="354" t="s">
        <v>10424</v>
      </c>
      <c r="Z3" s="354" t="s">
        <v>10425</v>
      </c>
      <c r="AA3" s="354" t="s">
        <v>10426</v>
      </c>
      <c r="AB3" s="354" t="s">
        <v>10427</v>
      </c>
      <c r="AC3" s="354" t="s">
        <v>10428</v>
      </c>
      <c r="AD3" s="366" t="s">
        <v>10432</v>
      </c>
      <c r="AE3" s="366" t="s">
        <v>10433</v>
      </c>
      <c r="AF3" s="366" t="s">
        <v>10432</v>
      </c>
      <c r="AG3" s="366" t="s">
        <v>10433</v>
      </c>
      <c r="AH3" s="358" t="s">
        <v>10432</v>
      </c>
      <c r="AI3" s="358" t="s">
        <v>10433</v>
      </c>
      <c r="AJ3" s="358" t="s">
        <v>10432</v>
      </c>
      <c r="AK3" s="358" t="s">
        <v>10433</v>
      </c>
      <c r="AL3" s="354"/>
      <c r="AM3" s="354"/>
      <c r="AN3" s="354"/>
      <c r="AO3" s="354"/>
      <c r="AP3" s="354"/>
      <c r="AQ3" s="354"/>
      <c r="AR3" s="354"/>
    </row>
    <row r="4" spans="1:44" ht="18" customHeight="1">
      <c r="A4" s="395"/>
      <c r="B4" s="314" t="s">
        <v>10652</v>
      </c>
      <c r="C4" s="317" t="s">
        <v>8023</v>
      </c>
      <c r="D4" s="397">
        <v>1</v>
      </c>
      <c r="E4" s="384"/>
      <c r="F4" s="384"/>
      <c r="G4" s="397">
        <v>1</v>
      </c>
      <c r="H4" s="397">
        <v>1</v>
      </c>
      <c r="I4" s="384"/>
      <c r="J4" s="384"/>
      <c r="K4" s="384"/>
      <c r="L4" s="397">
        <v>1</v>
      </c>
      <c r="M4" s="384"/>
      <c r="N4" s="384"/>
      <c r="O4" s="384"/>
      <c r="P4" s="384"/>
      <c r="Q4" s="384"/>
      <c r="R4" s="384"/>
      <c r="S4" s="391"/>
      <c r="T4" s="315"/>
      <c r="U4" s="315"/>
      <c r="V4" s="383"/>
      <c r="W4" s="388"/>
      <c r="X4" s="388"/>
      <c r="Y4" s="383"/>
      <c r="Z4" s="383"/>
      <c r="AA4" s="383"/>
      <c r="AB4" s="383"/>
      <c r="AC4" s="383"/>
      <c r="AD4" s="383"/>
      <c r="AE4" s="383"/>
      <c r="AF4" s="383"/>
      <c r="AG4" s="383"/>
      <c r="AH4" s="315"/>
      <c r="AI4" s="315"/>
      <c r="AJ4" s="315"/>
      <c r="AK4" s="315"/>
      <c r="AL4" s="383"/>
      <c r="AM4" s="383"/>
      <c r="AN4" s="383"/>
      <c r="AO4" s="383"/>
      <c r="AP4" s="383"/>
      <c r="AQ4" s="383"/>
      <c r="AR4" s="383"/>
    </row>
    <row r="5" spans="1:44" ht="18" customHeight="1">
      <c r="A5" s="395"/>
      <c r="B5" s="314" t="s">
        <v>8032</v>
      </c>
      <c r="C5" s="317" t="s">
        <v>8033</v>
      </c>
      <c r="D5" s="384"/>
      <c r="E5" s="397">
        <v>1</v>
      </c>
      <c r="F5" s="384"/>
      <c r="G5" s="397">
        <v>1</v>
      </c>
      <c r="H5" s="397">
        <v>1</v>
      </c>
      <c r="I5" s="384"/>
      <c r="J5" s="384"/>
      <c r="K5" s="384"/>
      <c r="L5" s="397">
        <v>1</v>
      </c>
      <c r="M5" s="384"/>
      <c r="N5" s="384"/>
      <c r="O5" s="384"/>
      <c r="P5" s="384"/>
      <c r="Q5" s="384"/>
      <c r="R5" s="384"/>
      <c r="S5" s="391"/>
      <c r="T5" s="315"/>
      <c r="U5" s="315"/>
      <c r="V5" s="383"/>
      <c r="W5" s="388"/>
      <c r="X5" s="388"/>
      <c r="Y5" s="383"/>
      <c r="Z5" s="383"/>
      <c r="AA5" s="383"/>
      <c r="AB5" s="383"/>
      <c r="AC5" s="383"/>
      <c r="AD5" s="383"/>
      <c r="AE5" s="383"/>
      <c r="AF5" s="383"/>
      <c r="AG5" s="383"/>
      <c r="AH5" s="315"/>
      <c r="AI5" s="315"/>
      <c r="AJ5" s="315"/>
      <c r="AK5" s="315"/>
      <c r="AL5" s="383"/>
      <c r="AM5" s="383"/>
      <c r="AN5" s="383"/>
      <c r="AO5" s="383"/>
      <c r="AP5" s="383"/>
      <c r="AQ5" s="383"/>
      <c r="AR5" s="383"/>
    </row>
    <row r="6" spans="1:44" ht="18" customHeight="1">
      <c r="A6" s="395"/>
      <c r="B6" s="314" t="s">
        <v>8034</v>
      </c>
      <c r="C6" s="317" t="s">
        <v>8035</v>
      </c>
      <c r="D6" s="384"/>
      <c r="E6" s="384"/>
      <c r="F6" s="397">
        <v>1</v>
      </c>
      <c r="G6" s="397">
        <v>1</v>
      </c>
      <c r="H6" s="397">
        <v>1</v>
      </c>
      <c r="I6" s="384"/>
      <c r="J6" s="384"/>
      <c r="K6" s="384"/>
      <c r="L6" s="397">
        <v>1</v>
      </c>
      <c r="M6" s="384"/>
      <c r="N6" s="384"/>
      <c r="O6" s="384"/>
      <c r="P6" s="384"/>
      <c r="Q6" s="384"/>
      <c r="R6" s="384"/>
      <c r="S6" s="391"/>
      <c r="T6" s="315"/>
      <c r="U6" s="315"/>
      <c r="V6" s="383"/>
      <c r="W6" s="388"/>
      <c r="X6" s="388"/>
      <c r="Y6" s="383"/>
      <c r="Z6" s="383"/>
      <c r="AA6" s="383"/>
      <c r="AB6" s="383"/>
      <c r="AC6" s="383"/>
      <c r="AD6" s="383"/>
      <c r="AE6" s="383"/>
      <c r="AF6" s="383"/>
      <c r="AG6" s="383"/>
      <c r="AH6" s="315"/>
      <c r="AI6" s="315"/>
      <c r="AJ6" s="315"/>
      <c r="AK6" s="315"/>
      <c r="AL6" s="383"/>
      <c r="AM6" s="383"/>
      <c r="AN6" s="383"/>
      <c r="AO6" s="383"/>
      <c r="AP6" s="383"/>
      <c r="AQ6" s="383"/>
      <c r="AR6" s="383"/>
    </row>
    <row r="7" spans="1:44" ht="18" customHeight="1">
      <c r="A7" s="395"/>
      <c r="B7" s="314" t="s">
        <v>8030</v>
      </c>
      <c r="C7" s="317" t="s">
        <v>8031</v>
      </c>
      <c r="D7" s="397">
        <v>1</v>
      </c>
      <c r="E7" s="384"/>
      <c r="F7" s="384"/>
      <c r="G7" s="397">
        <v>1</v>
      </c>
      <c r="H7" s="397">
        <v>1</v>
      </c>
      <c r="I7" s="384"/>
      <c r="J7" s="384"/>
      <c r="K7" s="397">
        <v>1</v>
      </c>
      <c r="L7" s="384"/>
      <c r="M7" s="384"/>
      <c r="N7" s="384"/>
      <c r="O7" s="384"/>
      <c r="P7" s="384"/>
      <c r="Q7" s="384"/>
      <c r="R7" s="384"/>
      <c r="S7" s="391"/>
      <c r="T7" s="315"/>
      <c r="U7" s="315"/>
      <c r="V7" s="383"/>
      <c r="W7" s="390"/>
      <c r="X7" s="390"/>
      <c r="Y7" s="383"/>
      <c r="Z7" s="383"/>
      <c r="AA7" s="383"/>
      <c r="AB7" s="383"/>
      <c r="AC7" s="383"/>
      <c r="AD7" s="383"/>
      <c r="AE7" s="383"/>
      <c r="AF7" s="383"/>
      <c r="AG7" s="383"/>
      <c r="AH7" s="315"/>
      <c r="AI7" s="315"/>
      <c r="AJ7" s="315"/>
      <c r="AK7" s="315"/>
      <c r="AL7" s="383"/>
      <c r="AM7" s="383"/>
      <c r="AN7" s="383"/>
      <c r="AO7" s="383"/>
      <c r="AP7" s="383"/>
      <c r="AQ7" s="383"/>
      <c r="AR7" s="383"/>
    </row>
    <row r="8" spans="1:44" ht="18" customHeight="1">
      <c r="A8" s="395"/>
      <c r="B8" s="314" t="s">
        <v>9919</v>
      </c>
      <c r="C8" s="317" t="s">
        <v>9920</v>
      </c>
      <c r="D8" s="384"/>
      <c r="E8" s="397">
        <v>1</v>
      </c>
      <c r="F8" s="397">
        <v>1</v>
      </c>
      <c r="G8" s="397">
        <v>1</v>
      </c>
      <c r="H8" s="397">
        <v>1</v>
      </c>
      <c r="I8" s="384"/>
      <c r="J8" s="384"/>
      <c r="K8" s="384"/>
      <c r="L8" s="397">
        <v>1</v>
      </c>
      <c r="M8" s="384"/>
      <c r="N8" s="384"/>
      <c r="O8" s="384"/>
      <c r="P8" s="384"/>
      <c r="Q8" s="384"/>
      <c r="R8" s="384"/>
      <c r="S8" s="391"/>
      <c r="T8" s="315"/>
      <c r="U8" s="315"/>
      <c r="V8" s="383"/>
      <c r="W8" s="390"/>
      <c r="X8" s="390"/>
      <c r="Y8" s="383"/>
      <c r="Z8" s="383"/>
      <c r="AA8" s="383"/>
      <c r="AB8" s="383"/>
      <c r="AC8" s="383"/>
      <c r="AD8" s="383"/>
      <c r="AE8" s="383"/>
      <c r="AF8" s="383"/>
      <c r="AG8" s="383"/>
      <c r="AH8" s="315"/>
      <c r="AI8" s="315"/>
      <c r="AJ8" s="315"/>
      <c r="AK8" s="315"/>
      <c r="AL8" s="401">
        <v>1</v>
      </c>
      <c r="AM8" s="401">
        <v>1</v>
      </c>
      <c r="AN8" s="401">
        <v>1</v>
      </c>
      <c r="AO8" s="401">
        <v>1</v>
      </c>
      <c r="AP8" s="401">
        <v>1</v>
      </c>
      <c r="AQ8" s="383"/>
      <c r="AR8" s="383"/>
    </row>
    <row r="9" spans="1:44" ht="18" customHeight="1">
      <c r="A9" s="395"/>
      <c r="B9" s="314" t="s">
        <v>8024</v>
      </c>
      <c r="C9" s="317" t="s">
        <v>8025</v>
      </c>
      <c r="D9" s="397">
        <v>1</v>
      </c>
      <c r="E9" s="384"/>
      <c r="F9" s="384"/>
      <c r="G9" s="397">
        <v>1</v>
      </c>
      <c r="H9" s="397">
        <v>1</v>
      </c>
      <c r="I9" s="384"/>
      <c r="J9" s="384"/>
      <c r="K9" s="397">
        <v>1</v>
      </c>
      <c r="L9" s="384"/>
      <c r="M9" s="384"/>
      <c r="N9" s="384"/>
      <c r="O9" s="384"/>
      <c r="P9" s="384"/>
      <c r="Q9" s="384"/>
      <c r="R9" s="384"/>
      <c r="S9" s="391"/>
      <c r="T9" s="315"/>
      <c r="U9" s="315"/>
      <c r="V9" s="383"/>
      <c r="W9" s="390"/>
      <c r="X9" s="390"/>
      <c r="Y9" s="383"/>
      <c r="Z9" s="383"/>
      <c r="AA9" s="383"/>
      <c r="AB9" s="383"/>
      <c r="AC9" s="383"/>
      <c r="AD9" s="383"/>
      <c r="AE9" s="383"/>
      <c r="AF9" s="383"/>
      <c r="AG9" s="383"/>
      <c r="AH9" s="315"/>
      <c r="AI9" s="315"/>
      <c r="AJ9" s="315"/>
      <c r="AK9" s="315"/>
      <c r="AL9" s="383"/>
      <c r="AM9" s="401">
        <v>1</v>
      </c>
      <c r="AN9" s="401">
        <v>1</v>
      </c>
      <c r="AO9" s="401">
        <v>1</v>
      </c>
      <c r="AP9" s="401">
        <v>1</v>
      </c>
      <c r="AQ9" s="383"/>
      <c r="AR9" s="383"/>
    </row>
    <row r="10" spans="1:44" ht="18" customHeight="1">
      <c r="A10" s="395"/>
      <c r="B10" s="314" t="s">
        <v>8026</v>
      </c>
      <c r="C10" s="317" t="s">
        <v>8027</v>
      </c>
      <c r="D10" s="397">
        <v>1</v>
      </c>
      <c r="E10" s="384"/>
      <c r="F10" s="384"/>
      <c r="G10" s="397">
        <v>1</v>
      </c>
      <c r="H10" s="397">
        <v>1</v>
      </c>
      <c r="I10" s="384"/>
      <c r="J10" s="384"/>
      <c r="K10" s="397">
        <v>1</v>
      </c>
      <c r="L10" s="384"/>
      <c r="M10" s="384"/>
      <c r="N10" s="384"/>
      <c r="O10" s="384"/>
      <c r="P10" s="384"/>
      <c r="Q10" s="384"/>
      <c r="R10" s="384"/>
      <c r="S10" s="391"/>
      <c r="T10" s="315"/>
      <c r="U10" s="315"/>
      <c r="V10" s="383"/>
      <c r="W10" s="390"/>
      <c r="X10" s="390"/>
      <c r="Y10" s="383"/>
      <c r="Z10" s="383"/>
      <c r="AA10" s="383"/>
      <c r="AB10" s="383"/>
      <c r="AC10" s="383"/>
      <c r="AD10" s="383"/>
      <c r="AE10" s="383"/>
      <c r="AF10" s="383"/>
      <c r="AG10" s="383"/>
      <c r="AH10" s="315"/>
      <c r="AI10" s="315"/>
      <c r="AJ10" s="315"/>
      <c r="AK10" s="315"/>
      <c r="AL10" s="383"/>
      <c r="AM10" s="401">
        <v>1</v>
      </c>
      <c r="AN10" s="401">
        <v>1</v>
      </c>
      <c r="AO10" s="401">
        <v>1</v>
      </c>
      <c r="AP10" s="401">
        <v>1</v>
      </c>
      <c r="AQ10" s="383"/>
      <c r="AR10" s="383"/>
    </row>
    <row r="11" spans="1:44" ht="18" customHeight="1">
      <c r="A11" s="395"/>
      <c r="B11" s="314" t="s">
        <v>8028</v>
      </c>
      <c r="C11" s="317" t="s">
        <v>8029</v>
      </c>
      <c r="D11" s="397">
        <v>1</v>
      </c>
      <c r="E11" s="384"/>
      <c r="F11" s="384"/>
      <c r="G11" s="397">
        <v>1</v>
      </c>
      <c r="H11" s="397">
        <v>1</v>
      </c>
      <c r="I11" s="384"/>
      <c r="J11" s="384"/>
      <c r="K11" s="397">
        <v>1</v>
      </c>
      <c r="L11" s="384"/>
      <c r="M11" s="384"/>
      <c r="N11" s="384"/>
      <c r="O11" s="384"/>
      <c r="P11" s="384"/>
      <c r="Q11" s="384"/>
      <c r="R11" s="384"/>
      <c r="S11" s="391"/>
      <c r="T11" s="315"/>
      <c r="U11" s="315"/>
      <c r="V11" s="383"/>
      <c r="W11" s="390"/>
      <c r="X11" s="390"/>
      <c r="Y11" s="383"/>
      <c r="Z11" s="383"/>
      <c r="AA11" s="383"/>
      <c r="AB11" s="383"/>
      <c r="AC11" s="383"/>
      <c r="AD11" s="383"/>
      <c r="AE11" s="383"/>
      <c r="AF11" s="383"/>
      <c r="AG11" s="383"/>
      <c r="AH11" s="315"/>
      <c r="AI11" s="315"/>
      <c r="AJ11" s="315"/>
      <c r="AK11" s="315"/>
      <c r="AL11" s="401">
        <v>1</v>
      </c>
      <c r="AM11" s="383"/>
      <c r="AN11" s="383"/>
      <c r="AO11" s="383"/>
      <c r="AP11" s="383"/>
      <c r="AQ11" s="383"/>
      <c r="AR11" s="383"/>
    </row>
    <row r="12" spans="1:44" s="393" customFormat="1" ht="18" customHeight="1">
      <c r="A12" s="382"/>
      <c r="B12" s="382"/>
      <c r="C12" s="374"/>
      <c r="D12" s="358"/>
      <c r="E12" s="358"/>
      <c r="F12" s="358"/>
      <c r="G12" s="384"/>
      <c r="H12" s="384"/>
      <c r="I12" s="384"/>
      <c r="J12" s="384"/>
      <c r="K12" s="384"/>
      <c r="L12" s="384"/>
      <c r="M12" s="384"/>
      <c r="N12" s="384"/>
      <c r="O12" s="384"/>
      <c r="P12" s="384"/>
      <c r="Q12" s="384"/>
      <c r="R12" s="384"/>
      <c r="S12" s="391"/>
      <c r="T12" s="384"/>
      <c r="U12" s="384"/>
      <c r="V12" s="370"/>
      <c r="W12" s="390"/>
      <c r="X12" s="390"/>
      <c r="Y12" s="370"/>
      <c r="Z12" s="370"/>
      <c r="AA12" s="370"/>
      <c r="AB12" s="370"/>
      <c r="AC12" s="370"/>
      <c r="AD12" s="370"/>
      <c r="AE12" s="370"/>
      <c r="AF12" s="370"/>
      <c r="AG12" s="370"/>
      <c r="AH12" s="384"/>
      <c r="AI12" s="384"/>
      <c r="AJ12" s="384"/>
      <c r="AK12" s="384"/>
      <c r="AL12" s="370"/>
      <c r="AM12" s="370"/>
      <c r="AN12" s="370"/>
      <c r="AO12" s="370"/>
      <c r="AP12" s="370"/>
      <c r="AQ12" s="370"/>
      <c r="AR12" s="370"/>
    </row>
    <row r="13" spans="1:44" s="393" customFormat="1" ht="18" customHeight="1">
      <c r="A13" s="395"/>
      <c r="B13" s="314" t="s">
        <v>10686</v>
      </c>
      <c r="C13" s="374"/>
      <c r="D13" s="397">
        <v>1</v>
      </c>
      <c r="E13" s="397">
        <v>1</v>
      </c>
      <c r="F13" s="397">
        <v>1</v>
      </c>
      <c r="G13" s="397">
        <v>1</v>
      </c>
      <c r="H13" s="397">
        <v>1</v>
      </c>
      <c r="I13" s="384"/>
      <c r="J13" s="384"/>
      <c r="K13" s="384"/>
      <c r="L13" s="397">
        <v>1</v>
      </c>
      <c r="M13" s="384"/>
      <c r="N13" s="384"/>
      <c r="O13" s="384"/>
      <c r="P13" s="384"/>
      <c r="Q13" s="384"/>
      <c r="R13" s="384"/>
      <c r="S13" s="391"/>
      <c r="T13" s="384"/>
      <c r="U13" s="384"/>
      <c r="V13" s="370"/>
      <c r="W13" s="390"/>
      <c r="X13" s="390"/>
      <c r="Y13" s="370"/>
      <c r="Z13" s="370"/>
      <c r="AA13" s="370"/>
      <c r="AB13" s="370"/>
      <c r="AC13" s="370"/>
      <c r="AD13" s="370"/>
      <c r="AE13" s="370"/>
      <c r="AF13" s="370"/>
      <c r="AG13" s="370"/>
      <c r="AH13" s="384"/>
      <c r="AI13" s="384"/>
      <c r="AJ13" s="384"/>
      <c r="AK13" s="384"/>
      <c r="AL13" s="370"/>
      <c r="AM13" s="370"/>
      <c r="AN13" s="370"/>
      <c r="AO13" s="370"/>
      <c r="AP13" s="370"/>
      <c r="AQ13" s="370"/>
      <c r="AR13" s="370"/>
    </row>
    <row r="14" spans="1:44" s="393" customFormat="1" ht="18" customHeight="1">
      <c r="A14" s="395"/>
      <c r="B14" s="314" t="s">
        <v>10688</v>
      </c>
      <c r="C14" s="374"/>
      <c r="D14" s="397">
        <v>1</v>
      </c>
      <c r="E14" s="358"/>
      <c r="F14" s="358"/>
      <c r="G14" s="384"/>
      <c r="H14" s="384"/>
      <c r="I14" s="397">
        <v>1</v>
      </c>
      <c r="J14" s="384"/>
      <c r="K14" s="384"/>
      <c r="L14" s="397">
        <v>1</v>
      </c>
      <c r="M14" s="384"/>
      <c r="N14" s="384"/>
      <c r="O14" s="384"/>
      <c r="P14" s="384"/>
      <c r="Q14" s="384"/>
      <c r="R14" s="384"/>
      <c r="S14" s="391"/>
      <c r="T14" s="384"/>
      <c r="U14" s="384"/>
      <c r="V14" s="370"/>
      <c r="W14" s="390"/>
      <c r="X14" s="390"/>
      <c r="Y14" s="370"/>
      <c r="Z14" s="370"/>
      <c r="AA14" s="370"/>
      <c r="AB14" s="370"/>
      <c r="AC14" s="370"/>
      <c r="AD14" s="370"/>
      <c r="AE14" s="370"/>
      <c r="AF14" s="370"/>
      <c r="AG14" s="370"/>
      <c r="AH14" s="384"/>
      <c r="AI14" s="384"/>
      <c r="AJ14" s="384"/>
      <c r="AK14" s="384"/>
      <c r="AL14" s="370"/>
      <c r="AM14" s="370"/>
      <c r="AN14" s="370"/>
      <c r="AO14" s="370"/>
      <c r="AP14" s="370"/>
      <c r="AQ14" s="370"/>
      <c r="AR14" s="370"/>
    </row>
    <row r="15" spans="1:44" s="393" customFormat="1" ht="18" customHeight="1">
      <c r="A15" s="395"/>
      <c r="B15" s="314" t="s">
        <v>10689</v>
      </c>
      <c r="C15" s="374"/>
      <c r="D15" s="397">
        <v>1</v>
      </c>
      <c r="E15" s="397">
        <v>1</v>
      </c>
      <c r="F15" s="397">
        <v>1</v>
      </c>
      <c r="G15" s="384"/>
      <c r="H15" s="384"/>
      <c r="I15" s="384"/>
      <c r="J15" s="397">
        <v>1</v>
      </c>
      <c r="K15" s="384"/>
      <c r="L15" s="397">
        <v>1</v>
      </c>
      <c r="M15" s="384"/>
      <c r="N15" s="384"/>
      <c r="O15" s="384"/>
      <c r="P15" s="384"/>
      <c r="Q15" s="384"/>
      <c r="R15" s="384"/>
      <c r="S15" s="391"/>
      <c r="T15" s="384"/>
      <c r="U15" s="384"/>
      <c r="V15" s="370"/>
      <c r="W15" s="390"/>
      <c r="X15" s="390"/>
      <c r="Y15" s="370"/>
      <c r="Z15" s="370"/>
      <c r="AA15" s="370"/>
      <c r="AB15" s="370"/>
      <c r="AC15" s="370"/>
      <c r="AD15" s="370"/>
      <c r="AE15" s="370"/>
      <c r="AF15" s="370"/>
      <c r="AG15" s="370"/>
      <c r="AH15" s="384"/>
      <c r="AI15" s="384"/>
      <c r="AJ15" s="384"/>
      <c r="AK15" s="384"/>
      <c r="AL15" s="370"/>
      <c r="AM15" s="370"/>
      <c r="AN15" s="370"/>
      <c r="AO15" s="370"/>
      <c r="AP15" s="370"/>
      <c r="AQ15" s="370"/>
      <c r="AR15" s="370"/>
    </row>
    <row r="16" spans="1:44" s="393" customFormat="1" ht="18" customHeight="1">
      <c r="A16" s="382"/>
      <c r="B16" s="382"/>
      <c r="C16" s="374"/>
      <c r="D16" s="358"/>
      <c r="E16" s="358"/>
      <c r="F16" s="358"/>
      <c r="G16" s="384"/>
      <c r="H16" s="384"/>
      <c r="I16" s="384"/>
      <c r="J16" s="384"/>
      <c r="K16" s="384"/>
      <c r="L16" s="384"/>
      <c r="M16" s="384"/>
      <c r="N16" s="384"/>
      <c r="O16" s="384"/>
      <c r="P16" s="384"/>
      <c r="Q16" s="384"/>
      <c r="R16" s="384"/>
      <c r="S16" s="391"/>
      <c r="T16" s="384"/>
      <c r="U16" s="384"/>
      <c r="V16" s="370"/>
      <c r="W16" s="390"/>
      <c r="X16" s="390"/>
      <c r="Y16" s="370"/>
      <c r="Z16" s="370"/>
      <c r="AA16" s="370"/>
      <c r="AB16" s="370"/>
      <c r="AC16" s="370"/>
      <c r="AD16" s="370"/>
      <c r="AE16" s="370"/>
      <c r="AF16" s="370"/>
      <c r="AG16" s="370"/>
      <c r="AH16" s="384"/>
      <c r="AI16" s="384"/>
      <c r="AJ16" s="384"/>
      <c r="AK16" s="384"/>
      <c r="AL16" s="370"/>
      <c r="AM16" s="370"/>
      <c r="AN16" s="370"/>
      <c r="AO16" s="370"/>
      <c r="AP16" s="370"/>
      <c r="AQ16" s="370"/>
      <c r="AR16" s="370"/>
    </row>
    <row r="17" spans="1:44" s="393" customFormat="1" ht="18" customHeight="1">
      <c r="A17" s="395"/>
      <c r="B17" s="496" t="s">
        <v>10011</v>
      </c>
      <c r="C17" s="374"/>
      <c r="D17" s="358"/>
      <c r="E17" s="358"/>
      <c r="F17" s="358"/>
      <c r="G17" s="384"/>
      <c r="H17" s="384"/>
      <c r="I17" s="384"/>
      <c r="J17" s="384"/>
      <c r="K17" s="384"/>
      <c r="L17" s="384"/>
      <c r="M17" s="384"/>
      <c r="N17" s="384"/>
      <c r="O17" s="384"/>
      <c r="P17" s="384"/>
      <c r="Q17" s="384"/>
      <c r="R17" s="384"/>
      <c r="S17" s="391"/>
      <c r="T17" s="384"/>
      <c r="U17" s="384"/>
      <c r="V17" s="370"/>
      <c r="W17" s="390"/>
      <c r="X17" s="390"/>
      <c r="Y17" s="370"/>
      <c r="Z17" s="370"/>
      <c r="AA17" s="370"/>
      <c r="AB17" s="370"/>
      <c r="AC17" s="370"/>
      <c r="AD17" s="370"/>
      <c r="AE17" s="370"/>
      <c r="AF17" s="370"/>
      <c r="AG17" s="370"/>
      <c r="AH17" s="384"/>
      <c r="AI17" s="384"/>
      <c r="AJ17" s="384"/>
      <c r="AK17" s="384"/>
      <c r="AL17" s="370"/>
      <c r="AM17" s="370"/>
      <c r="AN17" s="370"/>
      <c r="AO17" s="370"/>
      <c r="AP17" s="370"/>
      <c r="AQ17" s="370"/>
      <c r="AR17" s="370"/>
    </row>
    <row r="18" spans="1:44" s="393" customFormat="1" ht="18" customHeight="1">
      <c r="A18" s="395"/>
      <c r="B18" s="314" t="s">
        <v>10111</v>
      </c>
      <c r="C18" s="374"/>
      <c r="D18" s="397">
        <v>1</v>
      </c>
      <c r="E18" s="358"/>
      <c r="F18" s="358"/>
      <c r="G18" s="397">
        <v>1</v>
      </c>
      <c r="H18" s="384"/>
      <c r="I18" s="384"/>
      <c r="J18" s="384"/>
      <c r="K18" s="384"/>
      <c r="L18" s="397">
        <v>1</v>
      </c>
      <c r="M18" s="384"/>
      <c r="N18" s="384"/>
      <c r="O18" s="384"/>
      <c r="P18" s="384"/>
      <c r="Q18" s="384"/>
      <c r="R18" s="384"/>
      <c r="S18" s="391"/>
      <c r="T18" s="384"/>
      <c r="U18" s="384"/>
      <c r="V18" s="370"/>
      <c r="W18" s="390"/>
      <c r="X18" s="390"/>
      <c r="Y18" s="370"/>
      <c r="Z18" s="370"/>
      <c r="AA18" s="370"/>
      <c r="AB18" s="370"/>
      <c r="AC18" s="370"/>
      <c r="AD18" s="370"/>
      <c r="AE18" s="370"/>
      <c r="AF18" s="370"/>
      <c r="AG18" s="370"/>
      <c r="AH18" s="384"/>
      <c r="AI18" s="384"/>
      <c r="AJ18" s="384"/>
      <c r="AK18" s="384"/>
      <c r="AL18" s="401">
        <v>1</v>
      </c>
      <c r="AM18" s="370"/>
      <c r="AN18" s="370"/>
      <c r="AO18" s="370"/>
      <c r="AP18" s="370"/>
      <c r="AQ18" s="401">
        <v>1</v>
      </c>
      <c r="AR18" s="370"/>
    </row>
    <row r="19" spans="1:44" s="393" customFormat="1" ht="18" customHeight="1">
      <c r="A19" s="395"/>
      <c r="B19" s="314" t="s">
        <v>10112</v>
      </c>
      <c r="C19" s="374"/>
      <c r="D19" s="397">
        <v>1</v>
      </c>
      <c r="E19" s="358"/>
      <c r="F19" s="358"/>
      <c r="G19" s="384"/>
      <c r="H19" s="397">
        <v>1</v>
      </c>
      <c r="I19" s="384"/>
      <c r="J19" s="384"/>
      <c r="K19" s="384"/>
      <c r="L19" s="397">
        <v>1</v>
      </c>
      <c r="M19" s="384"/>
      <c r="N19" s="384"/>
      <c r="O19" s="384"/>
      <c r="P19" s="384"/>
      <c r="Q19" s="384"/>
      <c r="R19" s="384"/>
      <c r="S19" s="391"/>
      <c r="T19" s="384"/>
      <c r="U19" s="384"/>
      <c r="V19" s="370"/>
      <c r="W19" s="390"/>
      <c r="X19" s="390"/>
      <c r="Y19" s="370"/>
      <c r="Z19" s="370"/>
      <c r="AA19" s="370"/>
      <c r="AB19" s="370"/>
      <c r="AC19" s="370"/>
      <c r="AD19" s="370"/>
      <c r="AE19" s="370"/>
      <c r="AF19" s="370"/>
      <c r="AG19" s="370"/>
      <c r="AH19" s="384"/>
      <c r="AI19" s="384"/>
      <c r="AJ19" s="384"/>
      <c r="AK19" s="384"/>
      <c r="AL19" s="401">
        <v>1</v>
      </c>
      <c r="AM19" s="370"/>
      <c r="AN19" s="370"/>
      <c r="AO19" s="370"/>
      <c r="AP19" s="370"/>
      <c r="AQ19" s="401">
        <v>1</v>
      </c>
      <c r="AR19" s="370"/>
    </row>
    <row r="20" spans="1:44" s="393" customFormat="1" ht="18" customHeight="1">
      <c r="A20" s="395"/>
      <c r="B20" s="314" t="s">
        <v>10113</v>
      </c>
      <c r="C20" s="374"/>
      <c r="D20" s="397">
        <v>1</v>
      </c>
      <c r="E20" s="358"/>
      <c r="F20" s="358"/>
      <c r="G20" s="397">
        <v>1</v>
      </c>
      <c r="H20" s="384"/>
      <c r="I20" s="384"/>
      <c r="J20" s="384"/>
      <c r="K20" s="384"/>
      <c r="L20" s="397">
        <v>1</v>
      </c>
      <c r="M20" s="384"/>
      <c r="N20" s="384"/>
      <c r="O20" s="384"/>
      <c r="P20" s="384"/>
      <c r="Q20" s="384"/>
      <c r="R20" s="384"/>
      <c r="S20" s="391"/>
      <c r="T20" s="384"/>
      <c r="U20" s="384"/>
      <c r="V20" s="370"/>
      <c r="W20" s="390"/>
      <c r="X20" s="390"/>
      <c r="Y20" s="370"/>
      <c r="Z20" s="370"/>
      <c r="AA20" s="370"/>
      <c r="AB20" s="370"/>
      <c r="AC20" s="370"/>
      <c r="AD20" s="370"/>
      <c r="AE20" s="370"/>
      <c r="AF20" s="370"/>
      <c r="AG20" s="370"/>
      <c r="AH20" s="384"/>
      <c r="AI20" s="384"/>
      <c r="AJ20" s="384"/>
      <c r="AK20" s="384"/>
      <c r="AL20" s="401">
        <v>1</v>
      </c>
      <c r="AM20" s="370"/>
      <c r="AN20" s="370"/>
      <c r="AO20" s="370"/>
      <c r="AP20" s="370"/>
      <c r="AQ20" s="370"/>
      <c r="AR20" s="401" t="s">
        <v>10677</v>
      </c>
    </row>
    <row r="21" spans="1:44" s="393" customFormat="1" ht="18" customHeight="1">
      <c r="A21" s="382"/>
      <c r="B21" s="382"/>
      <c r="C21" s="374"/>
      <c r="D21" s="358"/>
      <c r="E21" s="358"/>
      <c r="F21" s="358"/>
      <c r="G21" s="384"/>
      <c r="H21" s="384"/>
      <c r="I21" s="384"/>
      <c r="J21" s="384"/>
      <c r="K21" s="384"/>
      <c r="L21" s="384"/>
      <c r="M21" s="384"/>
      <c r="N21" s="384"/>
      <c r="O21" s="384"/>
      <c r="P21" s="384"/>
      <c r="Q21" s="384"/>
      <c r="R21" s="384"/>
      <c r="S21" s="391"/>
      <c r="T21" s="384"/>
      <c r="U21" s="384"/>
      <c r="V21" s="370"/>
      <c r="W21" s="390"/>
      <c r="X21" s="390"/>
      <c r="Y21" s="370"/>
      <c r="Z21" s="370"/>
      <c r="AA21" s="370"/>
      <c r="AB21" s="370"/>
      <c r="AC21" s="370"/>
      <c r="AD21" s="370"/>
      <c r="AE21" s="370"/>
      <c r="AF21" s="370"/>
      <c r="AG21" s="370"/>
      <c r="AH21" s="384"/>
      <c r="AI21" s="384"/>
      <c r="AJ21" s="384"/>
      <c r="AK21" s="384"/>
      <c r="AL21" s="370"/>
      <c r="AM21" s="370"/>
      <c r="AN21" s="370"/>
      <c r="AO21" s="370"/>
      <c r="AP21" s="370"/>
      <c r="AQ21" s="370"/>
      <c r="AR21" s="370"/>
    </row>
    <row r="22" spans="1:44" ht="18" customHeight="1">
      <c r="A22" s="395"/>
      <c r="B22" s="314" t="s">
        <v>8038</v>
      </c>
      <c r="C22" s="317" t="s">
        <v>8038</v>
      </c>
      <c r="D22" s="397">
        <v>1</v>
      </c>
      <c r="E22" s="384"/>
      <c r="F22" s="384"/>
      <c r="G22" s="397">
        <v>1</v>
      </c>
      <c r="H22" s="397">
        <v>1</v>
      </c>
      <c r="I22" s="384"/>
      <c r="J22" s="384"/>
      <c r="K22" s="384"/>
      <c r="L22" s="397">
        <v>1</v>
      </c>
      <c r="M22" s="384"/>
      <c r="N22" s="384"/>
      <c r="O22" s="384"/>
      <c r="P22" s="384"/>
      <c r="Q22" s="384"/>
      <c r="R22" s="384"/>
      <c r="S22" s="391"/>
      <c r="T22" s="401">
        <v>1</v>
      </c>
      <c r="U22" s="315"/>
      <c r="V22" s="383"/>
      <c r="W22" s="390"/>
      <c r="X22" s="390"/>
      <c r="Y22" s="383"/>
      <c r="Z22" s="383"/>
      <c r="AA22" s="383"/>
      <c r="AB22" s="383"/>
      <c r="AC22" s="383"/>
      <c r="AD22" s="383"/>
      <c r="AE22" s="383"/>
      <c r="AF22" s="383"/>
      <c r="AG22" s="383"/>
      <c r="AH22" s="315"/>
      <c r="AI22" s="315"/>
      <c r="AJ22" s="315"/>
      <c r="AK22" s="315"/>
      <c r="AL22" s="383"/>
      <c r="AM22" s="383"/>
      <c r="AN22" s="383"/>
      <c r="AO22" s="383"/>
      <c r="AP22" s="383"/>
      <c r="AQ22" s="383"/>
      <c r="AR22" s="383"/>
    </row>
    <row r="23" spans="1:44" ht="18" customHeight="1">
      <c r="A23" s="395"/>
      <c r="B23" s="314" t="s">
        <v>10009</v>
      </c>
      <c r="C23" s="317" t="s">
        <v>10012</v>
      </c>
      <c r="D23" s="397">
        <v>1</v>
      </c>
      <c r="E23" s="384"/>
      <c r="F23" s="384"/>
      <c r="G23" s="397">
        <v>1</v>
      </c>
      <c r="H23" s="397">
        <v>1</v>
      </c>
      <c r="I23" s="384"/>
      <c r="J23" s="384"/>
      <c r="K23" s="384"/>
      <c r="L23" s="397">
        <v>1</v>
      </c>
      <c r="M23" s="384"/>
      <c r="N23" s="384"/>
      <c r="O23" s="384"/>
      <c r="P23" s="384"/>
      <c r="Q23" s="384"/>
      <c r="R23" s="384"/>
      <c r="S23" s="391"/>
      <c r="T23" s="401">
        <v>1</v>
      </c>
      <c r="U23" s="315"/>
      <c r="V23" s="383"/>
      <c r="W23" s="390"/>
      <c r="X23" s="390"/>
      <c r="Y23" s="383"/>
      <c r="Z23" s="383"/>
      <c r="AA23" s="383"/>
      <c r="AB23" s="383"/>
      <c r="AC23" s="383"/>
      <c r="AD23" s="383"/>
      <c r="AE23" s="383"/>
      <c r="AF23" s="383"/>
      <c r="AG23" s="383"/>
      <c r="AH23" s="315"/>
      <c r="AI23" s="315"/>
      <c r="AJ23" s="315"/>
      <c r="AK23" s="315"/>
      <c r="AL23" s="383"/>
      <c r="AM23" s="383"/>
      <c r="AN23" s="383"/>
      <c r="AO23" s="383"/>
      <c r="AP23" s="383"/>
      <c r="AQ23" s="383"/>
      <c r="AR23" s="383"/>
    </row>
    <row r="24" spans="1:44" ht="18" customHeight="1">
      <c r="A24" s="395"/>
      <c r="B24" s="314" t="s">
        <v>8039</v>
      </c>
      <c r="C24" s="317" t="s">
        <v>10653</v>
      </c>
      <c r="D24" s="397">
        <v>1</v>
      </c>
      <c r="E24" s="384"/>
      <c r="F24" s="384"/>
      <c r="G24" s="397">
        <v>1</v>
      </c>
      <c r="H24" s="397">
        <v>1</v>
      </c>
      <c r="I24" s="384"/>
      <c r="J24" s="384"/>
      <c r="K24" s="384"/>
      <c r="L24" s="397">
        <v>1</v>
      </c>
      <c r="M24" s="384"/>
      <c r="N24" s="384"/>
      <c r="O24" s="384"/>
      <c r="P24" s="384"/>
      <c r="Q24" s="384"/>
      <c r="R24" s="384"/>
      <c r="S24" s="391"/>
      <c r="T24" s="315"/>
      <c r="U24" s="401">
        <v>1</v>
      </c>
      <c r="V24" s="383"/>
      <c r="W24" s="390"/>
      <c r="X24" s="390"/>
      <c r="Y24" s="383"/>
      <c r="Z24" s="383"/>
      <c r="AA24" s="383"/>
      <c r="AB24" s="383"/>
      <c r="AC24" s="383"/>
      <c r="AD24" s="383"/>
      <c r="AE24" s="383"/>
      <c r="AF24" s="383"/>
      <c r="AG24" s="383"/>
      <c r="AH24" s="315"/>
      <c r="AI24" s="315"/>
      <c r="AJ24" s="315"/>
      <c r="AK24" s="315"/>
      <c r="AL24" s="383"/>
      <c r="AM24" s="383"/>
      <c r="AN24" s="383"/>
      <c r="AO24" s="383"/>
      <c r="AP24" s="383"/>
      <c r="AQ24" s="383"/>
      <c r="AR24" s="383"/>
    </row>
    <row r="25" spans="1:44" ht="18" customHeight="1">
      <c r="A25" s="395"/>
      <c r="B25" s="314" t="s">
        <v>10883</v>
      </c>
      <c r="C25" s="317" t="s">
        <v>10124</v>
      </c>
      <c r="D25" s="358"/>
      <c r="E25" s="397">
        <v>1</v>
      </c>
      <c r="F25" s="384"/>
      <c r="G25" s="397">
        <v>1</v>
      </c>
      <c r="H25" s="397">
        <v>1</v>
      </c>
      <c r="I25" s="384"/>
      <c r="J25" s="384"/>
      <c r="K25" s="384"/>
      <c r="L25" s="384"/>
      <c r="M25" s="397">
        <v>1</v>
      </c>
      <c r="N25" s="384"/>
      <c r="O25" s="384"/>
      <c r="P25" s="384"/>
      <c r="Q25" s="384"/>
      <c r="R25" s="384"/>
      <c r="S25" s="391"/>
      <c r="T25" s="315"/>
      <c r="U25" s="315"/>
      <c r="V25" s="383"/>
      <c r="W25" s="390"/>
      <c r="X25" s="390"/>
      <c r="Y25" s="383"/>
      <c r="Z25" s="383"/>
      <c r="AA25" s="383"/>
      <c r="AB25" s="383"/>
      <c r="AC25" s="383"/>
      <c r="AD25" s="383"/>
      <c r="AE25" s="383"/>
      <c r="AF25" s="383"/>
      <c r="AG25" s="383"/>
      <c r="AH25" s="315"/>
      <c r="AI25" s="315"/>
      <c r="AJ25" s="315"/>
      <c r="AK25" s="315"/>
      <c r="AL25" s="383"/>
      <c r="AM25" s="383"/>
      <c r="AN25" s="383"/>
      <c r="AO25" s="383"/>
      <c r="AP25" s="383"/>
      <c r="AQ25" s="383"/>
      <c r="AR25" s="383"/>
    </row>
    <row r="26" spans="1:44" s="393" customFormat="1" ht="18" customHeight="1">
      <c r="A26" s="382"/>
      <c r="B26" s="382"/>
      <c r="C26" s="374"/>
      <c r="D26" s="358"/>
      <c r="E26" s="358"/>
      <c r="F26" s="358"/>
      <c r="G26" s="384"/>
      <c r="H26" s="384"/>
      <c r="I26" s="384"/>
      <c r="J26" s="384"/>
      <c r="K26" s="384"/>
      <c r="L26" s="384"/>
      <c r="M26" s="384"/>
      <c r="N26" s="384"/>
      <c r="O26" s="384"/>
      <c r="P26" s="384"/>
      <c r="Q26" s="384"/>
      <c r="R26" s="384"/>
      <c r="S26" s="391"/>
      <c r="T26" s="384"/>
      <c r="U26" s="384"/>
      <c r="V26" s="370"/>
      <c r="W26" s="390"/>
      <c r="X26" s="390"/>
      <c r="Y26" s="370"/>
      <c r="Z26" s="370"/>
      <c r="AA26" s="370"/>
      <c r="AB26" s="370"/>
      <c r="AC26" s="370"/>
      <c r="AD26" s="370"/>
      <c r="AE26" s="370"/>
      <c r="AF26" s="370"/>
      <c r="AG26" s="370"/>
      <c r="AH26" s="384"/>
      <c r="AI26" s="384"/>
      <c r="AJ26" s="384"/>
      <c r="AK26" s="384"/>
      <c r="AL26" s="370"/>
      <c r="AM26" s="370"/>
      <c r="AN26" s="370"/>
      <c r="AO26" s="370"/>
      <c r="AP26" s="370"/>
      <c r="AQ26" s="370"/>
      <c r="AR26" s="370"/>
    </row>
    <row r="27" spans="1:44" ht="18" customHeight="1">
      <c r="A27" s="395"/>
      <c r="B27" s="314" t="s">
        <v>8040</v>
      </c>
      <c r="C27" s="317" t="s">
        <v>10655</v>
      </c>
      <c r="D27" s="397">
        <v>1</v>
      </c>
      <c r="E27" s="384"/>
      <c r="F27" s="384"/>
      <c r="G27" s="397">
        <v>1</v>
      </c>
      <c r="H27" s="397">
        <v>1</v>
      </c>
      <c r="I27" s="384"/>
      <c r="J27" s="384"/>
      <c r="K27" s="384"/>
      <c r="L27" s="397">
        <v>1</v>
      </c>
      <c r="M27" s="384"/>
      <c r="N27" s="384"/>
      <c r="O27" s="384"/>
      <c r="P27" s="384"/>
      <c r="Q27" s="384"/>
      <c r="R27" s="384"/>
      <c r="S27" s="391"/>
      <c r="T27" s="315"/>
      <c r="U27" s="315"/>
      <c r="V27" s="383"/>
      <c r="W27" s="390"/>
      <c r="X27" s="390"/>
      <c r="Y27" s="383"/>
      <c r="Z27" s="383"/>
      <c r="AA27" s="383"/>
      <c r="AB27" s="383"/>
      <c r="AC27" s="383"/>
      <c r="AD27" s="383"/>
      <c r="AE27" s="383"/>
      <c r="AF27" s="383"/>
      <c r="AG27" s="383"/>
      <c r="AH27" s="401">
        <v>1</v>
      </c>
      <c r="AI27" s="315"/>
      <c r="AJ27" s="315"/>
      <c r="AK27" s="315"/>
      <c r="AL27" s="383"/>
      <c r="AM27" s="383"/>
      <c r="AN27" s="383"/>
      <c r="AO27" s="383"/>
      <c r="AP27" s="383"/>
      <c r="AQ27" s="383"/>
      <c r="AR27" s="383"/>
    </row>
    <row r="28" spans="1:44" ht="18" customHeight="1">
      <c r="A28" s="395"/>
      <c r="B28" s="314" t="s">
        <v>10123</v>
      </c>
      <c r="C28" s="317" t="s">
        <v>10654</v>
      </c>
      <c r="D28" s="397">
        <v>1</v>
      </c>
      <c r="E28" s="384"/>
      <c r="F28" s="384"/>
      <c r="G28" s="397">
        <v>1</v>
      </c>
      <c r="H28" s="397">
        <v>1</v>
      </c>
      <c r="I28" s="384"/>
      <c r="J28" s="384"/>
      <c r="K28" s="384"/>
      <c r="L28" s="397">
        <v>1</v>
      </c>
      <c r="M28" s="384"/>
      <c r="N28" s="384"/>
      <c r="O28" s="384"/>
      <c r="P28" s="384"/>
      <c r="Q28" s="384"/>
      <c r="R28" s="384"/>
      <c r="S28" s="391"/>
      <c r="T28" s="315"/>
      <c r="U28" s="315"/>
      <c r="V28" s="383"/>
      <c r="W28" s="390"/>
      <c r="X28" s="390"/>
      <c r="Y28" s="383"/>
      <c r="Z28" s="383"/>
      <c r="AA28" s="383"/>
      <c r="AB28" s="383"/>
      <c r="AC28" s="383"/>
      <c r="AD28" s="383"/>
      <c r="AE28" s="383"/>
      <c r="AF28" s="383"/>
      <c r="AG28" s="383"/>
      <c r="AH28" s="315"/>
      <c r="AI28" s="315"/>
      <c r="AJ28" s="401">
        <v>1</v>
      </c>
      <c r="AK28" s="315"/>
      <c r="AL28" s="383"/>
      <c r="AM28" s="383"/>
      <c r="AN28" s="383"/>
      <c r="AO28" s="383"/>
      <c r="AP28" s="383"/>
      <c r="AQ28" s="383"/>
      <c r="AR28" s="383"/>
    </row>
    <row r="29" spans="1:44" s="393" customFormat="1" ht="18" customHeight="1">
      <c r="A29" s="382"/>
      <c r="B29" s="382"/>
      <c r="C29" s="374"/>
      <c r="D29" s="358"/>
      <c r="E29" s="358"/>
      <c r="F29" s="358"/>
      <c r="G29" s="384"/>
      <c r="H29" s="384"/>
      <c r="I29" s="384"/>
      <c r="J29" s="384"/>
      <c r="K29" s="384"/>
      <c r="L29" s="384"/>
      <c r="M29" s="384"/>
      <c r="N29" s="384"/>
      <c r="O29" s="384"/>
      <c r="P29" s="384"/>
      <c r="Q29" s="384"/>
      <c r="R29" s="384"/>
      <c r="S29" s="391"/>
      <c r="T29" s="384"/>
      <c r="U29" s="384"/>
      <c r="V29" s="370"/>
      <c r="W29" s="390"/>
      <c r="X29" s="390"/>
      <c r="Y29" s="370"/>
      <c r="Z29" s="370"/>
      <c r="AA29" s="370"/>
      <c r="AB29" s="370"/>
      <c r="AC29" s="370"/>
      <c r="AD29" s="370"/>
      <c r="AE29" s="370"/>
      <c r="AF29" s="370"/>
      <c r="AG29" s="370"/>
      <c r="AH29" s="384"/>
      <c r="AI29" s="384"/>
      <c r="AJ29" s="384"/>
      <c r="AK29" s="384"/>
      <c r="AL29" s="370"/>
      <c r="AM29" s="370"/>
      <c r="AN29" s="370"/>
      <c r="AO29" s="370"/>
      <c r="AP29" s="370"/>
      <c r="AQ29" s="370"/>
      <c r="AR29" s="370"/>
    </row>
    <row r="30" spans="1:44" s="393" customFormat="1" ht="18" customHeight="1">
      <c r="A30" s="395"/>
      <c r="B30" s="314" t="s">
        <v>10116</v>
      </c>
      <c r="C30" s="374"/>
      <c r="D30" s="397">
        <v>1</v>
      </c>
      <c r="E30" s="358"/>
      <c r="F30" s="358"/>
      <c r="G30" s="397">
        <v>1</v>
      </c>
      <c r="H30" s="397">
        <v>1</v>
      </c>
      <c r="I30" s="384"/>
      <c r="J30" s="384"/>
      <c r="K30" s="397">
        <v>1</v>
      </c>
      <c r="L30" s="397">
        <v>1</v>
      </c>
      <c r="M30" s="384"/>
      <c r="N30" s="384"/>
      <c r="O30" s="384"/>
      <c r="P30" s="384"/>
      <c r="Q30" s="384"/>
      <c r="R30" s="384"/>
      <c r="S30" s="391"/>
      <c r="T30" s="384"/>
      <c r="U30" s="384"/>
      <c r="V30" s="370"/>
      <c r="W30" s="390"/>
      <c r="X30" s="390"/>
      <c r="Y30" s="370"/>
      <c r="Z30" s="370"/>
      <c r="AA30" s="370"/>
      <c r="AB30" s="370"/>
      <c r="AC30" s="370"/>
      <c r="AD30" s="370"/>
      <c r="AE30" s="370"/>
      <c r="AF30" s="370"/>
      <c r="AG30" s="370"/>
      <c r="AH30" s="384"/>
      <c r="AI30" s="384"/>
      <c r="AJ30" s="384"/>
      <c r="AK30" s="384"/>
      <c r="AL30" s="370"/>
      <c r="AM30" s="370"/>
      <c r="AN30" s="370"/>
      <c r="AO30" s="370"/>
      <c r="AP30" s="370"/>
      <c r="AQ30" s="370"/>
      <c r="AR30" s="370"/>
    </row>
    <row r="31" spans="1:44" s="393" customFormat="1" ht="18" customHeight="1">
      <c r="A31" s="395"/>
      <c r="B31" s="314" t="s">
        <v>10117</v>
      </c>
      <c r="C31" s="374"/>
      <c r="D31" s="358"/>
      <c r="E31" s="397">
        <v>1</v>
      </c>
      <c r="F31" s="358"/>
      <c r="G31" s="397">
        <v>1</v>
      </c>
      <c r="H31" s="397">
        <v>1</v>
      </c>
      <c r="I31" s="384"/>
      <c r="J31" s="384"/>
      <c r="K31" s="397">
        <v>1</v>
      </c>
      <c r="L31" s="397">
        <v>1</v>
      </c>
      <c r="M31" s="384"/>
      <c r="N31" s="384"/>
      <c r="O31" s="384"/>
      <c r="P31" s="384"/>
      <c r="Q31" s="384"/>
      <c r="R31" s="384"/>
      <c r="S31" s="391"/>
      <c r="T31" s="384"/>
      <c r="U31" s="384"/>
      <c r="V31" s="370"/>
      <c r="W31" s="390"/>
      <c r="X31" s="390"/>
      <c r="Y31" s="370"/>
      <c r="Z31" s="370"/>
      <c r="AA31" s="370"/>
      <c r="AB31" s="370"/>
      <c r="AC31" s="370"/>
      <c r="AD31" s="370"/>
      <c r="AE31" s="370"/>
      <c r="AF31" s="370"/>
      <c r="AG31" s="370"/>
      <c r="AH31" s="384"/>
      <c r="AI31" s="384"/>
      <c r="AJ31" s="384"/>
      <c r="AK31" s="384"/>
      <c r="AL31" s="370"/>
      <c r="AM31" s="370"/>
      <c r="AN31" s="370"/>
      <c r="AO31" s="370"/>
      <c r="AP31" s="370"/>
      <c r="AQ31" s="370"/>
      <c r="AR31" s="370"/>
    </row>
    <row r="32" spans="1:44" s="393" customFormat="1" ht="18" customHeight="1">
      <c r="A32" s="395"/>
      <c r="B32" s="314" t="s">
        <v>10118</v>
      </c>
      <c r="C32" s="374"/>
      <c r="D32" s="358"/>
      <c r="E32" s="358"/>
      <c r="F32" s="397">
        <v>1</v>
      </c>
      <c r="G32" s="397">
        <v>1</v>
      </c>
      <c r="H32" s="397">
        <v>1</v>
      </c>
      <c r="I32" s="384"/>
      <c r="J32" s="384"/>
      <c r="K32" s="397">
        <v>1</v>
      </c>
      <c r="L32" s="397">
        <v>1</v>
      </c>
      <c r="M32" s="384"/>
      <c r="N32" s="384"/>
      <c r="O32" s="384"/>
      <c r="P32" s="384"/>
      <c r="Q32" s="384"/>
      <c r="R32" s="384"/>
      <c r="S32" s="391"/>
      <c r="T32" s="384"/>
      <c r="U32" s="384"/>
      <c r="V32" s="370"/>
      <c r="W32" s="390"/>
      <c r="X32" s="390"/>
      <c r="Y32" s="370"/>
      <c r="Z32" s="370"/>
      <c r="AA32" s="370"/>
      <c r="AB32" s="370"/>
      <c r="AC32" s="370"/>
      <c r="AD32" s="370"/>
      <c r="AE32" s="370"/>
      <c r="AF32" s="370"/>
      <c r="AG32" s="370"/>
      <c r="AH32" s="384"/>
      <c r="AI32" s="384"/>
      <c r="AJ32" s="384"/>
      <c r="AK32" s="384"/>
      <c r="AL32" s="370"/>
      <c r="AM32" s="370"/>
      <c r="AN32" s="370"/>
      <c r="AO32" s="370"/>
      <c r="AP32" s="370"/>
      <c r="AQ32" s="370"/>
      <c r="AR32" s="370"/>
    </row>
    <row r="33" spans="1:44" s="393" customFormat="1" ht="18" customHeight="1">
      <c r="A33" s="395"/>
      <c r="B33" s="475" t="s">
        <v>10119</v>
      </c>
      <c r="C33" s="374"/>
      <c r="D33" s="397">
        <v>1</v>
      </c>
      <c r="E33" s="358"/>
      <c r="F33" s="358"/>
      <c r="G33" s="384"/>
      <c r="H33" s="384"/>
      <c r="I33" s="397">
        <v>1</v>
      </c>
      <c r="J33" s="384"/>
      <c r="K33" s="384"/>
      <c r="L33" s="397">
        <v>1</v>
      </c>
      <c r="M33" s="384"/>
      <c r="N33" s="384"/>
      <c r="O33" s="384"/>
      <c r="P33" s="384"/>
      <c r="Q33" s="384"/>
      <c r="R33" s="384"/>
      <c r="S33" s="391"/>
      <c r="T33" s="384"/>
      <c r="U33" s="384"/>
      <c r="V33" s="370"/>
      <c r="W33" s="390"/>
      <c r="X33" s="390"/>
      <c r="Y33" s="370"/>
      <c r="Z33" s="370"/>
      <c r="AA33" s="370"/>
      <c r="AB33" s="370"/>
      <c r="AC33" s="370"/>
      <c r="AD33" s="370"/>
      <c r="AE33" s="370"/>
      <c r="AF33" s="370"/>
      <c r="AG33" s="370"/>
      <c r="AH33" s="384"/>
      <c r="AI33" s="384"/>
      <c r="AJ33" s="384"/>
      <c r="AK33" s="384"/>
      <c r="AL33" s="370"/>
      <c r="AM33" s="370"/>
      <c r="AN33" s="370"/>
      <c r="AO33" s="370"/>
      <c r="AP33" s="370"/>
      <c r="AQ33" s="370"/>
      <c r="AR33" s="370"/>
    </row>
    <row r="34" spans="1:44" s="393" customFormat="1" ht="18" customHeight="1">
      <c r="A34" s="395"/>
      <c r="B34" s="475" t="s">
        <v>10120</v>
      </c>
      <c r="C34" s="374"/>
      <c r="D34" s="397">
        <v>1</v>
      </c>
      <c r="E34" s="358"/>
      <c r="F34" s="358"/>
      <c r="G34" s="384"/>
      <c r="H34" s="384"/>
      <c r="I34" s="384"/>
      <c r="J34" s="397">
        <v>1</v>
      </c>
      <c r="K34" s="384"/>
      <c r="L34" s="397">
        <v>1</v>
      </c>
      <c r="M34" s="384"/>
      <c r="N34" s="384"/>
      <c r="O34" s="384"/>
      <c r="P34" s="384"/>
      <c r="Q34" s="384"/>
      <c r="R34" s="384"/>
      <c r="S34" s="391"/>
      <c r="T34" s="384"/>
      <c r="U34" s="384"/>
      <c r="V34" s="370"/>
      <c r="W34" s="390"/>
      <c r="X34" s="390"/>
      <c r="Y34" s="370"/>
      <c r="Z34" s="370"/>
      <c r="AA34" s="370"/>
      <c r="AB34" s="370"/>
      <c r="AC34" s="370"/>
      <c r="AD34" s="370"/>
      <c r="AE34" s="370"/>
      <c r="AF34" s="370"/>
      <c r="AG34" s="370"/>
      <c r="AH34" s="384"/>
      <c r="AI34" s="384"/>
      <c r="AJ34" s="384"/>
      <c r="AK34" s="384"/>
      <c r="AL34" s="370"/>
      <c r="AM34" s="370"/>
      <c r="AN34" s="370"/>
      <c r="AO34" s="370"/>
      <c r="AP34" s="370"/>
      <c r="AQ34" s="370"/>
      <c r="AR34" s="370"/>
    </row>
    <row r="35" spans="1:44" s="393" customFormat="1" ht="18" customHeight="1">
      <c r="A35" s="395"/>
      <c r="B35" s="475" t="s">
        <v>10121</v>
      </c>
      <c r="C35" s="374"/>
      <c r="D35" s="358"/>
      <c r="E35" s="397">
        <v>1</v>
      </c>
      <c r="F35" s="358"/>
      <c r="G35" s="384"/>
      <c r="H35" s="384"/>
      <c r="I35" s="384"/>
      <c r="J35" s="397">
        <v>1</v>
      </c>
      <c r="K35" s="384"/>
      <c r="L35" s="397">
        <v>1</v>
      </c>
      <c r="M35" s="384"/>
      <c r="N35" s="384"/>
      <c r="O35" s="384"/>
      <c r="P35" s="384"/>
      <c r="Q35" s="384"/>
      <c r="R35" s="384"/>
      <c r="S35" s="391"/>
      <c r="T35" s="384"/>
      <c r="U35" s="384"/>
      <c r="V35" s="370"/>
      <c r="W35" s="390"/>
      <c r="X35" s="390"/>
      <c r="Y35" s="370"/>
      <c r="Z35" s="370"/>
      <c r="AA35" s="370"/>
      <c r="AB35" s="370"/>
      <c r="AC35" s="370"/>
      <c r="AD35" s="370"/>
      <c r="AE35" s="370"/>
      <c r="AF35" s="370"/>
      <c r="AG35" s="370"/>
      <c r="AH35" s="384"/>
      <c r="AI35" s="384"/>
      <c r="AJ35" s="384"/>
      <c r="AK35" s="384"/>
      <c r="AL35" s="370"/>
      <c r="AM35" s="370"/>
      <c r="AN35" s="370"/>
      <c r="AO35" s="370"/>
      <c r="AP35" s="370"/>
      <c r="AQ35" s="370"/>
      <c r="AR35" s="370"/>
    </row>
    <row r="36" spans="1:44" s="393" customFormat="1" ht="18" customHeight="1">
      <c r="A36" s="395"/>
      <c r="B36" s="475" t="s">
        <v>10122</v>
      </c>
      <c r="C36" s="374"/>
      <c r="D36" s="358"/>
      <c r="E36" s="358"/>
      <c r="F36" s="397">
        <v>1</v>
      </c>
      <c r="G36" s="384"/>
      <c r="H36" s="384"/>
      <c r="I36" s="384"/>
      <c r="J36" s="397">
        <v>1</v>
      </c>
      <c r="K36" s="384"/>
      <c r="L36" s="397">
        <v>1</v>
      </c>
      <c r="M36" s="384"/>
      <c r="N36" s="384"/>
      <c r="O36" s="384"/>
      <c r="P36" s="384"/>
      <c r="Q36" s="384"/>
      <c r="R36" s="384"/>
      <c r="S36" s="391"/>
      <c r="T36" s="384"/>
      <c r="U36" s="384"/>
      <c r="V36" s="370"/>
      <c r="W36" s="390"/>
      <c r="X36" s="390"/>
      <c r="Y36" s="370"/>
      <c r="Z36" s="370"/>
      <c r="AA36" s="370"/>
      <c r="AB36" s="370"/>
      <c r="AC36" s="370"/>
      <c r="AD36" s="370"/>
      <c r="AE36" s="370"/>
      <c r="AF36" s="370"/>
      <c r="AG36" s="370"/>
      <c r="AH36" s="384"/>
      <c r="AI36" s="384"/>
      <c r="AJ36" s="384"/>
      <c r="AK36" s="384"/>
      <c r="AL36" s="370"/>
      <c r="AM36" s="370"/>
      <c r="AN36" s="370"/>
      <c r="AO36" s="370"/>
      <c r="AP36" s="370"/>
      <c r="AQ36" s="370"/>
      <c r="AR36" s="370"/>
    </row>
    <row r="37" spans="1:44" s="393" customFormat="1" ht="18" customHeight="1">
      <c r="A37" s="382"/>
      <c r="B37" s="382"/>
      <c r="C37" s="374"/>
      <c r="D37" s="358"/>
      <c r="E37" s="358"/>
      <c r="F37" s="358"/>
      <c r="G37" s="384"/>
      <c r="H37" s="384"/>
      <c r="I37" s="384"/>
      <c r="J37" s="384"/>
      <c r="K37" s="384"/>
      <c r="L37" s="384"/>
      <c r="M37" s="384"/>
      <c r="N37" s="384"/>
      <c r="O37" s="384"/>
      <c r="P37" s="384"/>
      <c r="Q37" s="384"/>
      <c r="R37" s="384"/>
      <c r="S37" s="391"/>
      <c r="T37" s="384"/>
      <c r="U37" s="384"/>
      <c r="V37" s="370"/>
      <c r="W37" s="390"/>
      <c r="X37" s="390"/>
      <c r="Y37" s="370"/>
      <c r="Z37" s="370"/>
      <c r="AA37" s="370"/>
      <c r="AB37" s="370"/>
      <c r="AC37" s="370"/>
      <c r="AD37" s="370"/>
      <c r="AE37" s="370"/>
      <c r="AF37" s="370"/>
      <c r="AG37" s="370"/>
      <c r="AH37" s="384"/>
      <c r="AI37" s="384"/>
      <c r="AJ37" s="384"/>
      <c r="AK37" s="384"/>
      <c r="AL37" s="370"/>
      <c r="AM37" s="370"/>
      <c r="AN37" s="370"/>
      <c r="AO37" s="370"/>
      <c r="AP37" s="370"/>
      <c r="AQ37" s="370"/>
      <c r="AR37" s="370"/>
    </row>
    <row r="38" spans="1:44" ht="18" customHeight="1">
      <c r="A38" s="395"/>
      <c r="B38" s="314" t="s">
        <v>10013</v>
      </c>
      <c r="C38" s="399" t="s">
        <v>8042</v>
      </c>
      <c r="D38" s="397">
        <v>1</v>
      </c>
      <c r="E38" s="397">
        <v>1</v>
      </c>
      <c r="F38" s="397">
        <v>1</v>
      </c>
      <c r="G38" s="397">
        <v>1</v>
      </c>
      <c r="H38" s="397">
        <v>1</v>
      </c>
      <c r="I38" s="384"/>
      <c r="J38" s="384"/>
      <c r="K38" s="384"/>
      <c r="L38" s="384"/>
      <c r="M38" s="384"/>
      <c r="N38" s="384"/>
      <c r="O38" s="384"/>
      <c r="P38" s="384"/>
      <c r="Q38" s="384"/>
      <c r="R38" s="397">
        <v>1</v>
      </c>
      <c r="S38" s="391"/>
      <c r="T38" s="315"/>
      <c r="U38" s="315"/>
      <c r="V38" s="383"/>
      <c r="W38" s="388"/>
      <c r="X38" s="388"/>
      <c r="Y38" s="383"/>
      <c r="Z38" s="383"/>
      <c r="AA38" s="383"/>
      <c r="AB38" s="383"/>
      <c r="AC38" s="383"/>
      <c r="AD38" s="383"/>
      <c r="AE38" s="383"/>
      <c r="AF38" s="383"/>
      <c r="AG38" s="383"/>
      <c r="AH38" s="315"/>
      <c r="AI38" s="315"/>
      <c r="AJ38" s="315"/>
      <c r="AK38" s="315"/>
      <c r="AL38" s="383"/>
      <c r="AM38" s="383"/>
      <c r="AN38" s="383"/>
      <c r="AO38" s="383"/>
      <c r="AP38" s="383"/>
      <c r="AQ38" s="383"/>
      <c r="AR38" s="383"/>
    </row>
    <row r="39" spans="1:44" ht="18" customHeight="1">
      <c r="A39" s="395"/>
      <c r="B39" s="314" t="s">
        <v>10014</v>
      </c>
      <c r="C39" s="399" t="s">
        <v>8042</v>
      </c>
      <c r="D39" s="397">
        <v>1</v>
      </c>
      <c r="E39" s="397">
        <v>1</v>
      </c>
      <c r="F39" s="397">
        <v>1</v>
      </c>
      <c r="G39" s="397">
        <v>1</v>
      </c>
      <c r="H39" s="397">
        <v>1</v>
      </c>
      <c r="I39" s="384"/>
      <c r="J39" s="384"/>
      <c r="K39" s="384"/>
      <c r="L39" s="384"/>
      <c r="M39" s="384"/>
      <c r="N39" s="384"/>
      <c r="O39" s="384"/>
      <c r="P39" s="384"/>
      <c r="Q39" s="384"/>
      <c r="R39" s="397">
        <v>1</v>
      </c>
      <c r="S39" s="391"/>
      <c r="T39" s="315"/>
      <c r="U39" s="315"/>
      <c r="V39" s="383"/>
      <c r="W39" s="388"/>
      <c r="X39" s="388"/>
      <c r="Y39" s="383"/>
      <c r="Z39" s="383"/>
      <c r="AA39" s="383"/>
      <c r="AB39" s="383"/>
      <c r="AC39" s="383"/>
      <c r="AD39" s="383"/>
      <c r="AE39" s="383"/>
      <c r="AF39" s="383"/>
      <c r="AG39" s="383"/>
      <c r="AH39" s="315"/>
      <c r="AI39" s="315"/>
      <c r="AJ39" s="315"/>
      <c r="AK39" s="315"/>
      <c r="AL39" s="383"/>
      <c r="AM39" s="383"/>
      <c r="AN39" s="383"/>
      <c r="AO39" s="383"/>
      <c r="AP39" s="383"/>
      <c r="AQ39" s="383"/>
      <c r="AR39" s="383"/>
    </row>
    <row r="40" spans="1:44" ht="18" customHeight="1">
      <c r="A40" s="395"/>
      <c r="B40" s="314" t="s">
        <v>8041</v>
      </c>
      <c r="C40" s="399" t="s">
        <v>8042</v>
      </c>
      <c r="D40" s="397">
        <v>1</v>
      </c>
      <c r="E40" s="397">
        <v>1</v>
      </c>
      <c r="F40" s="397">
        <v>1</v>
      </c>
      <c r="G40" s="397">
        <v>1</v>
      </c>
      <c r="H40" s="397">
        <v>1</v>
      </c>
      <c r="I40" s="384"/>
      <c r="J40" s="384"/>
      <c r="K40" s="384"/>
      <c r="L40" s="384"/>
      <c r="M40" s="384"/>
      <c r="N40" s="397">
        <v>1</v>
      </c>
      <c r="O40" s="397">
        <v>1</v>
      </c>
      <c r="P40" s="384"/>
      <c r="Q40" s="384"/>
      <c r="R40" s="384"/>
      <c r="S40" s="391"/>
      <c r="T40" s="315"/>
      <c r="U40" s="315"/>
      <c r="V40" s="383"/>
      <c r="W40" s="388"/>
      <c r="X40" s="388"/>
      <c r="Y40" s="383"/>
      <c r="Z40" s="383"/>
      <c r="AA40" s="383"/>
      <c r="AB40" s="383"/>
      <c r="AC40" s="383"/>
      <c r="AD40" s="383"/>
      <c r="AE40" s="383"/>
      <c r="AF40" s="383"/>
      <c r="AG40" s="383"/>
      <c r="AH40" s="315"/>
      <c r="AI40" s="315"/>
      <c r="AJ40" s="315"/>
      <c r="AK40" s="315"/>
      <c r="AL40" s="383"/>
      <c r="AM40" s="383"/>
      <c r="AN40" s="383"/>
      <c r="AO40" s="383"/>
      <c r="AP40" s="383"/>
      <c r="AQ40" s="383"/>
      <c r="AR40" s="383"/>
    </row>
    <row r="41" spans="1:44" ht="18" customHeight="1">
      <c r="A41" s="395"/>
      <c r="B41" s="314" t="s">
        <v>8044</v>
      </c>
      <c r="C41" s="400" t="s">
        <v>8045</v>
      </c>
      <c r="D41" s="397">
        <v>1</v>
      </c>
      <c r="E41" s="397">
        <v>1</v>
      </c>
      <c r="F41" s="397">
        <v>1</v>
      </c>
      <c r="G41" s="397">
        <v>1</v>
      </c>
      <c r="H41" s="397">
        <v>1</v>
      </c>
      <c r="I41" s="384"/>
      <c r="J41" s="384"/>
      <c r="K41" s="384"/>
      <c r="L41" s="384"/>
      <c r="M41" s="384"/>
      <c r="N41" s="384"/>
      <c r="O41" s="384"/>
      <c r="P41" s="397">
        <v>1</v>
      </c>
      <c r="Q41" s="384"/>
      <c r="R41" s="384"/>
      <c r="S41" s="391"/>
      <c r="T41" s="315"/>
      <c r="U41" s="315"/>
      <c r="V41" s="383"/>
      <c r="W41" s="388"/>
      <c r="X41" s="388"/>
      <c r="Y41" s="383"/>
      <c r="Z41" s="383"/>
      <c r="AA41" s="383"/>
      <c r="AB41" s="383"/>
      <c r="AC41" s="383"/>
      <c r="AD41" s="383"/>
      <c r="AE41" s="383"/>
      <c r="AF41" s="383"/>
      <c r="AG41" s="383"/>
      <c r="AH41" s="315"/>
      <c r="AI41" s="315"/>
      <c r="AJ41" s="315"/>
      <c r="AK41" s="315"/>
      <c r="AL41" s="383"/>
      <c r="AM41" s="383"/>
      <c r="AN41" s="383"/>
      <c r="AO41" s="383"/>
      <c r="AP41" s="383"/>
      <c r="AQ41" s="383"/>
      <c r="AR41" s="383"/>
    </row>
    <row r="42" spans="1:44" s="393" customFormat="1" ht="18" customHeight="1">
      <c r="A42" s="382"/>
      <c r="B42" s="382"/>
      <c r="C42" s="374"/>
      <c r="D42" s="358"/>
      <c r="E42" s="358"/>
      <c r="F42" s="358"/>
      <c r="G42" s="384"/>
      <c r="H42" s="384"/>
      <c r="I42" s="384"/>
      <c r="J42" s="384"/>
      <c r="K42" s="384"/>
      <c r="L42" s="384"/>
      <c r="M42" s="384"/>
      <c r="N42" s="384"/>
      <c r="O42" s="384"/>
      <c r="P42" s="384"/>
      <c r="Q42" s="384"/>
      <c r="R42" s="384"/>
      <c r="S42" s="391"/>
      <c r="T42" s="384"/>
      <c r="U42" s="384"/>
      <c r="V42" s="370"/>
      <c r="W42" s="390"/>
      <c r="X42" s="390"/>
      <c r="Y42" s="370"/>
      <c r="Z42" s="370"/>
      <c r="AA42" s="370"/>
      <c r="AB42" s="370"/>
      <c r="AC42" s="370"/>
      <c r="AD42" s="370"/>
      <c r="AE42" s="370"/>
      <c r="AF42" s="370"/>
      <c r="AG42" s="370"/>
      <c r="AH42" s="384"/>
      <c r="AI42" s="384"/>
      <c r="AJ42" s="384"/>
      <c r="AK42" s="384"/>
      <c r="AL42" s="370"/>
      <c r="AM42" s="370"/>
      <c r="AN42" s="370"/>
      <c r="AO42" s="370"/>
      <c r="AP42" s="370"/>
      <c r="AQ42" s="370"/>
      <c r="AR42" s="370"/>
    </row>
    <row r="43" spans="1:44" ht="18" customHeight="1">
      <c r="A43" s="395"/>
      <c r="B43" s="314" t="s">
        <v>8046</v>
      </c>
      <c r="C43" s="400" t="s">
        <v>8705</v>
      </c>
      <c r="D43" s="397">
        <v>1</v>
      </c>
      <c r="E43" s="384"/>
      <c r="F43" s="384"/>
      <c r="G43" s="397">
        <v>1</v>
      </c>
      <c r="H43" s="397">
        <v>1</v>
      </c>
      <c r="I43" s="384"/>
      <c r="J43" s="384"/>
      <c r="K43" s="384"/>
      <c r="L43" s="384"/>
      <c r="M43" s="397">
        <v>1</v>
      </c>
      <c r="N43" s="384"/>
      <c r="O43" s="384"/>
      <c r="P43" s="384"/>
      <c r="Q43" s="384"/>
      <c r="R43" s="384"/>
      <c r="S43" s="391"/>
      <c r="T43" s="315"/>
      <c r="U43" s="315"/>
      <c r="V43" s="401">
        <v>1</v>
      </c>
      <c r="W43" s="402">
        <v>1</v>
      </c>
      <c r="X43" s="402">
        <v>1</v>
      </c>
      <c r="Y43" s="401">
        <v>1</v>
      </c>
      <c r="Z43" s="401">
        <v>1</v>
      </c>
      <c r="AA43" s="401">
        <v>1</v>
      </c>
      <c r="AB43" s="401">
        <v>1</v>
      </c>
      <c r="AC43" s="383"/>
      <c r="AD43" s="383"/>
      <c r="AE43" s="383"/>
      <c r="AF43" s="401">
        <v>1</v>
      </c>
      <c r="AG43" s="383"/>
      <c r="AH43" s="315"/>
      <c r="AI43" s="315"/>
      <c r="AJ43" s="315"/>
      <c r="AK43" s="315"/>
      <c r="AL43" s="383"/>
      <c r="AM43" s="383"/>
      <c r="AN43" s="383"/>
      <c r="AO43" s="383"/>
      <c r="AP43" s="383"/>
      <c r="AQ43" s="383"/>
      <c r="AR43" s="383"/>
    </row>
    <row r="44" spans="1:44" ht="18" customHeight="1">
      <c r="A44" s="395"/>
      <c r="B44" s="314" t="s">
        <v>8707</v>
      </c>
      <c r="C44" s="400" t="s">
        <v>8708</v>
      </c>
      <c r="D44" s="384"/>
      <c r="E44" s="397">
        <v>1</v>
      </c>
      <c r="F44" s="384"/>
      <c r="G44" s="397">
        <v>1</v>
      </c>
      <c r="H44" s="397">
        <v>1</v>
      </c>
      <c r="I44" s="384"/>
      <c r="J44" s="384"/>
      <c r="K44" s="384"/>
      <c r="L44" s="384"/>
      <c r="M44" s="397">
        <v>1</v>
      </c>
      <c r="N44" s="384"/>
      <c r="O44" s="384"/>
      <c r="P44" s="384"/>
      <c r="Q44" s="384"/>
      <c r="R44" s="384"/>
      <c r="S44" s="391"/>
      <c r="T44" s="315"/>
      <c r="U44" s="315"/>
      <c r="V44" s="383"/>
      <c r="W44" s="388"/>
      <c r="X44" s="388"/>
      <c r="Y44" s="383"/>
      <c r="Z44" s="383"/>
      <c r="AA44" s="383"/>
      <c r="AB44" s="383"/>
      <c r="AC44" s="383"/>
      <c r="AD44" s="383"/>
      <c r="AE44" s="383"/>
      <c r="AF44" s="401">
        <v>1</v>
      </c>
      <c r="AG44" s="383"/>
      <c r="AH44" s="315"/>
      <c r="AI44" s="315"/>
      <c r="AJ44" s="315"/>
      <c r="AK44" s="315"/>
      <c r="AL44" s="383"/>
      <c r="AM44" s="383"/>
      <c r="AN44" s="383"/>
      <c r="AO44" s="383"/>
      <c r="AP44" s="383"/>
      <c r="AQ44" s="383"/>
      <c r="AR44" s="383"/>
    </row>
    <row r="45" spans="1:44" ht="18" customHeight="1">
      <c r="A45" s="403"/>
      <c r="B45" s="314" t="s">
        <v>8709</v>
      </c>
      <c r="C45" s="400" t="s">
        <v>8708</v>
      </c>
      <c r="D45" s="384"/>
      <c r="E45" s="397">
        <v>1</v>
      </c>
      <c r="F45" s="384"/>
      <c r="G45" s="397">
        <v>1</v>
      </c>
      <c r="H45" s="397">
        <v>1</v>
      </c>
      <c r="I45" s="384"/>
      <c r="J45" s="384"/>
      <c r="K45" s="384"/>
      <c r="L45" s="384"/>
      <c r="M45" s="397">
        <v>1</v>
      </c>
      <c r="N45" s="384"/>
      <c r="O45" s="384"/>
      <c r="P45" s="384"/>
      <c r="Q45" s="384"/>
      <c r="R45" s="384"/>
      <c r="S45" s="391"/>
      <c r="T45" s="315"/>
      <c r="U45" s="315"/>
      <c r="V45" s="383"/>
      <c r="W45" s="388"/>
      <c r="X45" s="388"/>
      <c r="Y45" s="383"/>
      <c r="Z45" s="383"/>
      <c r="AA45" s="383"/>
      <c r="AB45" s="383"/>
      <c r="AC45" s="383"/>
      <c r="AD45" s="383"/>
      <c r="AE45" s="383"/>
      <c r="AF45" s="401">
        <v>1</v>
      </c>
      <c r="AG45" s="383"/>
      <c r="AH45" s="315"/>
      <c r="AI45" s="315"/>
      <c r="AJ45" s="315"/>
      <c r="AK45" s="315"/>
      <c r="AL45" s="383"/>
      <c r="AM45" s="401">
        <v>1</v>
      </c>
      <c r="AN45" s="401">
        <v>1</v>
      </c>
      <c r="AO45" s="401">
        <v>1</v>
      </c>
      <c r="AP45" s="401">
        <v>1</v>
      </c>
      <c r="AQ45" s="401"/>
      <c r="AR45" s="401"/>
    </row>
    <row r="46" spans="1:44" ht="18" customHeight="1">
      <c r="A46" s="395"/>
      <c r="B46" s="314" t="s">
        <v>8710</v>
      </c>
      <c r="C46" s="400" t="s">
        <v>8711</v>
      </c>
      <c r="D46" s="384"/>
      <c r="E46" s="384"/>
      <c r="F46" s="397">
        <v>1</v>
      </c>
      <c r="G46" s="397">
        <v>1</v>
      </c>
      <c r="H46" s="397">
        <v>1</v>
      </c>
      <c r="I46" s="384"/>
      <c r="J46" s="384"/>
      <c r="K46" s="384"/>
      <c r="L46" s="384"/>
      <c r="M46" s="397">
        <v>1</v>
      </c>
      <c r="N46" s="384"/>
      <c r="O46" s="384"/>
      <c r="P46" s="384"/>
      <c r="Q46" s="384"/>
      <c r="R46" s="384"/>
      <c r="S46" s="391"/>
      <c r="T46" s="315"/>
      <c r="U46" s="315"/>
      <c r="V46" s="383"/>
      <c r="W46" s="388"/>
      <c r="X46" s="388"/>
      <c r="Y46" s="383"/>
      <c r="Z46" s="383"/>
      <c r="AA46" s="383"/>
      <c r="AB46" s="383"/>
      <c r="AC46" s="383"/>
      <c r="AD46" s="383"/>
      <c r="AE46" s="383"/>
      <c r="AF46" s="401">
        <v>1</v>
      </c>
      <c r="AG46" s="383"/>
      <c r="AH46" s="315"/>
      <c r="AI46" s="315"/>
      <c r="AJ46" s="315"/>
      <c r="AK46" s="315"/>
      <c r="AL46" s="383"/>
      <c r="AM46" s="383"/>
      <c r="AN46" s="383"/>
      <c r="AO46" s="383"/>
      <c r="AP46" s="383"/>
      <c r="AQ46" s="383"/>
      <c r="AR46" s="383"/>
    </row>
    <row r="47" spans="1:44" ht="18" customHeight="1">
      <c r="A47" s="395"/>
      <c r="B47" s="314" t="s">
        <v>8712</v>
      </c>
      <c r="C47" s="399" t="s">
        <v>8713</v>
      </c>
      <c r="D47" s="397">
        <v>1</v>
      </c>
      <c r="E47" s="384"/>
      <c r="F47" s="384"/>
      <c r="G47" s="397">
        <v>1</v>
      </c>
      <c r="H47" s="397">
        <v>1</v>
      </c>
      <c r="I47" s="384"/>
      <c r="J47" s="384"/>
      <c r="K47" s="384"/>
      <c r="L47" s="384"/>
      <c r="M47" s="397">
        <v>1</v>
      </c>
      <c r="N47" s="397">
        <v>1</v>
      </c>
      <c r="O47" s="397">
        <v>1</v>
      </c>
      <c r="P47" s="397">
        <v>1</v>
      </c>
      <c r="Q47" s="384"/>
      <c r="R47" s="384"/>
      <c r="S47" s="391"/>
      <c r="T47" s="315"/>
      <c r="U47" s="315"/>
      <c r="V47" s="383"/>
      <c r="W47" s="388"/>
      <c r="X47" s="388"/>
      <c r="Y47" s="383"/>
      <c r="Z47" s="383"/>
      <c r="AA47" s="383"/>
      <c r="AB47" s="383"/>
      <c r="AC47" s="383"/>
      <c r="AD47" s="383"/>
      <c r="AE47" s="383"/>
      <c r="AF47" s="383"/>
      <c r="AG47" s="383"/>
      <c r="AH47" s="315"/>
      <c r="AI47" s="315"/>
      <c r="AJ47" s="315"/>
      <c r="AK47" s="315"/>
      <c r="AL47" s="383"/>
      <c r="AM47" s="383"/>
      <c r="AN47" s="383"/>
      <c r="AO47" s="383"/>
      <c r="AP47" s="383"/>
      <c r="AQ47" s="383"/>
      <c r="AR47" s="383"/>
    </row>
    <row r="48" spans="1:44" ht="18" customHeight="1">
      <c r="A48" s="395"/>
      <c r="B48" s="314" t="s">
        <v>8714</v>
      </c>
      <c r="C48" s="399" t="s">
        <v>8715</v>
      </c>
      <c r="D48" s="384"/>
      <c r="E48" s="397">
        <v>1</v>
      </c>
      <c r="F48" s="384"/>
      <c r="G48" s="397">
        <v>1</v>
      </c>
      <c r="H48" s="397">
        <v>1</v>
      </c>
      <c r="I48" s="384"/>
      <c r="J48" s="384"/>
      <c r="K48" s="384"/>
      <c r="L48" s="384"/>
      <c r="M48" s="397">
        <v>1</v>
      </c>
      <c r="N48" s="397">
        <v>1</v>
      </c>
      <c r="O48" s="397">
        <v>1</v>
      </c>
      <c r="P48" s="397">
        <v>1</v>
      </c>
      <c r="Q48" s="384"/>
      <c r="R48" s="384"/>
      <c r="S48" s="391"/>
      <c r="T48" s="315"/>
      <c r="U48" s="315"/>
      <c r="V48" s="383"/>
      <c r="W48" s="388"/>
      <c r="X48" s="388"/>
      <c r="Y48" s="383"/>
      <c r="Z48" s="383"/>
      <c r="AA48" s="383"/>
      <c r="AB48" s="383"/>
      <c r="AC48" s="383"/>
      <c r="AD48" s="383"/>
      <c r="AE48" s="383"/>
      <c r="AF48" s="383"/>
      <c r="AG48" s="383"/>
      <c r="AH48" s="315"/>
      <c r="AI48" s="315"/>
      <c r="AJ48" s="315"/>
      <c r="AK48" s="315"/>
      <c r="AL48" s="383"/>
      <c r="AM48" s="383"/>
      <c r="AN48" s="383"/>
      <c r="AO48" s="383"/>
      <c r="AP48" s="383"/>
      <c r="AQ48" s="383"/>
      <c r="AR48" s="383"/>
    </row>
    <row r="49" spans="1:44" ht="18" customHeight="1">
      <c r="A49" s="395"/>
      <c r="B49" s="314" t="s">
        <v>8716</v>
      </c>
      <c r="C49" s="399" t="s">
        <v>8717</v>
      </c>
      <c r="D49" s="384"/>
      <c r="E49" s="384"/>
      <c r="F49" s="397">
        <v>1</v>
      </c>
      <c r="G49" s="397">
        <v>1</v>
      </c>
      <c r="H49" s="397">
        <v>1</v>
      </c>
      <c r="I49" s="384"/>
      <c r="J49" s="384"/>
      <c r="K49" s="384"/>
      <c r="L49" s="384"/>
      <c r="M49" s="397">
        <v>1</v>
      </c>
      <c r="N49" s="397">
        <v>1</v>
      </c>
      <c r="O49" s="397">
        <v>1</v>
      </c>
      <c r="P49" s="397">
        <v>1</v>
      </c>
      <c r="Q49" s="384"/>
      <c r="R49" s="384"/>
      <c r="S49" s="391"/>
      <c r="T49" s="315"/>
      <c r="U49" s="315"/>
      <c r="V49" s="383"/>
      <c r="W49" s="388"/>
      <c r="X49" s="388"/>
      <c r="Y49" s="383"/>
      <c r="Z49" s="383"/>
      <c r="AA49" s="383"/>
      <c r="AB49" s="383"/>
      <c r="AC49" s="383"/>
      <c r="AD49" s="383"/>
      <c r="AE49" s="383"/>
      <c r="AF49" s="383"/>
      <c r="AG49" s="383"/>
      <c r="AH49" s="315"/>
      <c r="AI49" s="315"/>
      <c r="AJ49" s="315"/>
      <c r="AK49" s="315"/>
      <c r="AL49" s="383"/>
      <c r="AM49" s="383"/>
      <c r="AN49" s="383"/>
      <c r="AO49" s="383"/>
      <c r="AP49" s="383"/>
      <c r="AQ49" s="383"/>
      <c r="AR49" s="383"/>
    </row>
    <row r="50" spans="1:44" s="393" customFormat="1" ht="18" customHeight="1">
      <c r="A50" s="395"/>
      <c r="B50" s="314" t="s">
        <v>10015</v>
      </c>
      <c r="C50" s="374" t="s">
        <v>10005</v>
      </c>
      <c r="D50" s="397">
        <v>1</v>
      </c>
      <c r="E50" s="358"/>
      <c r="F50" s="358"/>
      <c r="G50" s="397">
        <v>1</v>
      </c>
      <c r="H50" s="397">
        <v>1</v>
      </c>
      <c r="I50" s="384"/>
      <c r="J50" s="384"/>
      <c r="K50" s="384"/>
      <c r="L50" s="384"/>
      <c r="M50" s="397">
        <v>1</v>
      </c>
      <c r="N50" s="397">
        <v>1</v>
      </c>
      <c r="O50" s="397">
        <v>1</v>
      </c>
      <c r="P50" s="397">
        <v>1</v>
      </c>
      <c r="Q50" s="384"/>
      <c r="R50" s="384"/>
      <c r="S50" s="391"/>
      <c r="T50" s="384"/>
      <c r="U50" s="384"/>
      <c r="V50" s="370"/>
      <c r="W50" s="390"/>
      <c r="X50" s="390"/>
      <c r="Y50" s="370"/>
      <c r="Z50" s="370"/>
      <c r="AA50" s="370"/>
      <c r="AB50" s="370"/>
      <c r="AC50" s="370"/>
      <c r="AD50" s="401">
        <v>1</v>
      </c>
      <c r="AE50" s="370"/>
      <c r="AF50" s="370"/>
      <c r="AG50" s="370"/>
      <c r="AH50" s="384"/>
      <c r="AI50" s="384"/>
      <c r="AJ50" s="384"/>
      <c r="AK50" s="384"/>
      <c r="AL50" s="370"/>
      <c r="AM50" s="370"/>
      <c r="AN50" s="370"/>
      <c r="AO50" s="370"/>
      <c r="AP50" s="370"/>
      <c r="AQ50" s="370"/>
      <c r="AR50" s="370"/>
    </row>
    <row r="51" spans="1:44" s="393" customFormat="1" ht="18" customHeight="1">
      <c r="A51" s="382"/>
      <c r="B51" s="382"/>
      <c r="C51" s="374"/>
      <c r="D51" s="358"/>
      <c r="E51" s="358"/>
      <c r="F51" s="358"/>
      <c r="G51" s="384"/>
      <c r="H51" s="384"/>
      <c r="I51" s="384"/>
      <c r="J51" s="384"/>
      <c r="K51" s="384"/>
      <c r="L51" s="384"/>
      <c r="M51" s="384"/>
      <c r="N51" s="384"/>
      <c r="O51" s="384"/>
      <c r="P51" s="384"/>
      <c r="Q51" s="384"/>
      <c r="R51" s="384"/>
      <c r="S51" s="391"/>
      <c r="T51" s="384"/>
      <c r="U51" s="384"/>
      <c r="V51" s="370"/>
      <c r="W51" s="390"/>
      <c r="X51" s="390"/>
      <c r="Y51" s="370"/>
      <c r="Z51" s="370"/>
      <c r="AA51" s="370"/>
      <c r="AB51" s="370"/>
      <c r="AC51" s="370"/>
      <c r="AD51" s="370"/>
      <c r="AE51" s="370"/>
      <c r="AF51" s="370"/>
      <c r="AG51" s="370"/>
      <c r="AH51" s="384"/>
      <c r="AI51" s="384"/>
      <c r="AJ51" s="384"/>
      <c r="AK51" s="384"/>
      <c r="AL51" s="370"/>
      <c r="AM51" s="370"/>
      <c r="AN51" s="370"/>
      <c r="AO51" s="370"/>
      <c r="AP51" s="370"/>
      <c r="AQ51" s="370"/>
      <c r="AR51" s="370"/>
    </row>
    <row r="52" spans="1:44" ht="18" customHeight="1">
      <c r="A52" s="395"/>
      <c r="B52" s="314" t="s">
        <v>10006</v>
      </c>
      <c r="C52" s="317" t="s">
        <v>8718</v>
      </c>
      <c r="D52" s="397">
        <v>1</v>
      </c>
      <c r="E52" s="384"/>
      <c r="F52" s="384"/>
      <c r="G52" s="384"/>
      <c r="H52" s="384"/>
      <c r="I52" s="397">
        <v>1</v>
      </c>
      <c r="J52" s="384"/>
      <c r="K52" s="384"/>
      <c r="L52" s="397">
        <v>1</v>
      </c>
      <c r="M52" s="384"/>
      <c r="N52" s="384"/>
      <c r="O52" s="384"/>
      <c r="P52" s="384"/>
      <c r="Q52" s="384"/>
      <c r="R52" s="384"/>
      <c r="S52" s="391"/>
      <c r="T52" s="315"/>
      <c r="U52" s="315"/>
      <c r="V52" s="383"/>
      <c r="W52" s="388"/>
      <c r="X52" s="388"/>
      <c r="Y52" s="383"/>
      <c r="Z52" s="383"/>
      <c r="AA52" s="383"/>
      <c r="AB52" s="383"/>
      <c r="AC52" s="383"/>
      <c r="AD52" s="383"/>
      <c r="AE52" s="383"/>
      <c r="AF52" s="383"/>
      <c r="AG52" s="383"/>
      <c r="AH52" s="315"/>
      <c r="AI52" s="315"/>
      <c r="AJ52" s="315"/>
      <c r="AK52" s="315"/>
      <c r="AL52" s="383"/>
      <c r="AM52" s="383"/>
      <c r="AN52" s="383"/>
      <c r="AO52" s="383"/>
      <c r="AP52" s="383"/>
      <c r="AQ52" s="383"/>
      <c r="AR52" s="383"/>
    </row>
    <row r="53" spans="1:44" ht="18" customHeight="1">
      <c r="A53" s="395"/>
      <c r="B53" s="314" t="s">
        <v>8719</v>
      </c>
      <c r="C53" s="317" t="s">
        <v>8720</v>
      </c>
      <c r="D53" s="397">
        <v>1</v>
      </c>
      <c r="E53" s="397">
        <v>1</v>
      </c>
      <c r="F53" s="397">
        <v>1</v>
      </c>
      <c r="G53" s="384"/>
      <c r="H53" s="384"/>
      <c r="I53" s="397">
        <v>1</v>
      </c>
      <c r="J53" s="384"/>
      <c r="K53" s="384"/>
      <c r="L53" s="397">
        <v>1</v>
      </c>
      <c r="M53" s="384"/>
      <c r="N53" s="384"/>
      <c r="O53" s="384"/>
      <c r="P53" s="384"/>
      <c r="Q53" s="384"/>
      <c r="R53" s="384"/>
      <c r="S53" s="391"/>
      <c r="T53" s="315"/>
      <c r="U53" s="315"/>
      <c r="V53" s="383"/>
      <c r="W53" s="390"/>
      <c r="X53" s="390"/>
      <c r="Y53" s="383"/>
      <c r="Z53" s="383"/>
      <c r="AA53" s="383"/>
      <c r="AB53" s="383"/>
      <c r="AC53" s="383"/>
      <c r="AD53" s="383"/>
      <c r="AE53" s="383"/>
      <c r="AF53" s="383"/>
      <c r="AG53" s="383"/>
      <c r="AH53" s="315"/>
      <c r="AI53" s="315"/>
      <c r="AJ53" s="315"/>
      <c r="AK53" s="315"/>
      <c r="AL53" s="383"/>
      <c r="AM53" s="383"/>
      <c r="AN53" s="383"/>
      <c r="AO53" s="383"/>
      <c r="AP53" s="383"/>
      <c r="AQ53" s="383"/>
      <c r="AR53" s="383"/>
    </row>
    <row r="54" spans="1:44" ht="18" customHeight="1">
      <c r="A54" s="395"/>
      <c r="B54" s="314" t="s">
        <v>8721</v>
      </c>
      <c r="C54" s="317" t="s">
        <v>8722</v>
      </c>
      <c r="D54" s="397">
        <v>1</v>
      </c>
      <c r="E54" s="384"/>
      <c r="F54" s="384"/>
      <c r="G54" s="384"/>
      <c r="H54" s="384"/>
      <c r="I54" s="397">
        <v>1</v>
      </c>
      <c r="J54" s="384"/>
      <c r="K54" s="384"/>
      <c r="L54" s="397">
        <v>1</v>
      </c>
      <c r="M54" s="384"/>
      <c r="N54" s="384"/>
      <c r="O54" s="384"/>
      <c r="P54" s="384"/>
      <c r="Q54" s="384"/>
      <c r="R54" s="384"/>
      <c r="S54" s="391"/>
      <c r="T54" s="315"/>
      <c r="U54" s="315"/>
      <c r="V54" s="383"/>
      <c r="W54" s="388"/>
      <c r="X54" s="388"/>
      <c r="Y54" s="383"/>
      <c r="Z54" s="383"/>
      <c r="AA54" s="383"/>
      <c r="AB54" s="383"/>
      <c r="AC54" s="383"/>
      <c r="AD54" s="383"/>
      <c r="AE54" s="383"/>
      <c r="AF54" s="383"/>
      <c r="AG54" s="383"/>
      <c r="AH54" s="315"/>
      <c r="AI54" s="315"/>
      <c r="AJ54" s="315"/>
      <c r="AK54" s="315"/>
      <c r="AL54" s="383"/>
      <c r="AM54" s="383"/>
      <c r="AN54" s="383"/>
      <c r="AO54" s="383"/>
      <c r="AP54" s="383"/>
      <c r="AQ54" s="383"/>
      <c r="AR54" s="383"/>
    </row>
    <row r="55" spans="1:44" ht="18" customHeight="1">
      <c r="A55" s="395"/>
      <c r="B55" s="314" t="s">
        <v>8723</v>
      </c>
      <c r="C55" s="399" t="s">
        <v>8724</v>
      </c>
      <c r="D55" s="397">
        <v>1</v>
      </c>
      <c r="E55" s="384"/>
      <c r="F55" s="384"/>
      <c r="G55" s="384"/>
      <c r="H55" s="384"/>
      <c r="I55" s="397">
        <v>1</v>
      </c>
      <c r="J55" s="384"/>
      <c r="K55" s="384"/>
      <c r="L55" s="384"/>
      <c r="M55" s="384"/>
      <c r="N55" s="384"/>
      <c r="O55" s="384"/>
      <c r="P55" s="397">
        <v>1</v>
      </c>
      <c r="Q55" s="397">
        <v>1</v>
      </c>
      <c r="R55" s="384"/>
      <c r="S55" s="391"/>
      <c r="T55" s="315"/>
      <c r="U55" s="315"/>
      <c r="V55" s="383"/>
      <c r="W55" s="388"/>
      <c r="X55" s="388"/>
      <c r="Y55" s="383"/>
      <c r="Z55" s="383"/>
      <c r="AA55" s="383"/>
      <c r="AB55" s="383"/>
      <c r="AC55" s="383"/>
      <c r="AD55" s="383"/>
      <c r="AE55" s="383"/>
      <c r="AF55" s="383"/>
      <c r="AG55" s="383"/>
      <c r="AH55" s="315"/>
      <c r="AI55" s="315"/>
      <c r="AJ55" s="315"/>
      <c r="AK55" s="315"/>
      <c r="AL55" s="383"/>
      <c r="AM55" s="383"/>
      <c r="AN55" s="383"/>
      <c r="AO55" s="383"/>
      <c r="AP55" s="383"/>
      <c r="AQ55" s="383"/>
      <c r="AR55" s="383"/>
    </row>
    <row r="56" spans="1:44" ht="18" customHeight="1">
      <c r="A56" s="395"/>
      <c r="B56" s="314" t="s">
        <v>8725</v>
      </c>
      <c r="C56" s="399" t="s">
        <v>8726</v>
      </c>
      <c r="D56" s="397">
        <v>1</v>
      </c>
      <c r="E56" s="384"/>
      <c r="F56" s="384"/>
      <c r="G56" s="384"/>
      <c r="H56" s="384"/>
      <c r="I56" s="397">
        <v>1</v>
      </c>
      <c r="J56" s="384"/>
      <c r="K56" s="384"/>
      <c r="L56" s="384"/>
      <c r="M56" s="397">
        <v>1</v>
      </c>
      <c r="N56" s="384"/>
      <c r="O56" s="384"/>
      <c r="P56" s="384"/>
      <c r="Q56" s="384"/>
      <c r="R56" s="384"/>
      <c r="S56" s="391"/>
      <c r="T56" s="315"/>
      <c r="U56" s="315"/>
      <c r="V56" s="401">
        <v>1</v>
      </c>
      <c r="W56" s="402">
        <v>1</v>
      </c>
      <c r="X56" s="402">
        <v>1</v>
      </c>
      <c r="Y56" s="401">
        <v>1</v>
      </c>
      <c r="Z56" s="401">
        <v>1</v>
      </c>
      <c r="AA56" s="401">
        <v>1</v>
      </c>
      <c r="AB56" s="401">
        <v>1</v>
      </c>
      <c r="AC56" s="383"/>
      <c r="AD56" s="383"/>
      <c r="AE56" s="383"/>
      <c r="AF56" s="401">
        <v>1</v>
      </c>
      <c r="AG56" s="383"/>
      <c r="AH56" s="315"/>
      <c r="AI56" s="315"/>
      <c r="AJ56" s="315"/>
      <c r="AK56" s="315"/>
      <c r="AL56" s="383"/>
      <c r="AM56" s="383"/>
      <c r="AN56" s="383"/>
      <c r="AO56" s="383"/>
      <c r="AP56" s="383"/>
      <c r="AQ56" s="383"/>
      <c r="AR56" s="383"/>
    </row>
    <row r="57" spans="1:44" ht="18" customHeight="1">
      <c r="A57" s="395"/>
      <c r="B57" s="314" t="s">
        <v>8728</v>
      </c>
      <c r="C57" s="399" t="s">
        <v>8729</v>
      </c>
      <c r="D57" s="397">
        <v>1</v>
      </c>
      <c r="E57" s="384"/>
      <c r="F57" s="384"/>
      <c r="G57" s="384"/>
      <c r="H57" s="384"/>
      <c r="I57" s="397">
        <v>1</v>
      </c>
      <c r="J57" s="384"/>
      <c r="K57" s="384"/>
      <c r="L57" s="384"/>
      <c r="M57" s="397">
        <v>1</v>
      </c>
      <c r="N57" s="384"/>
      <c r="O57" s="384"/>
      <c r="P57" s="397">
        <v>1</v>
      </c>
      <c r="Q57" s="397">
        <v>1</v>
      </c>
      <c r="R57" s="384"/>
      <c r="S57" s="391"/>
      <c r="T57" s="315"/>
      <c r="U57" s="315"/>
      <c r="V57" s="383"/>
      <c r="W57" s="388"/>
      <c r="X57" s="388"/>
      <c r="Y57" s="383"/>
      <c r="Z57" s="383"/>
      <c r="AA57" s="383"/>
      <c r="AB57" s="383"/>
      <c r="AC57" s="383"/>
      <c r="AD57" s="383"/>
      <c r="AE57" s="383"/>
      <c r="AF57" s="383"/>
      <c r="AG57" s="383"/>
      <c r="AH57" s="315"/>
      <c r="AI57" s="315"/>
      <c r="AJ57" s="315"/>
      <c r="AK57" s="315"/>
      <c r="AL57" s="383"/>
      <c r="AM57" s="383"/>
      <c r="AN57" s="383"/>
      <c r="AO57" s="383"/>
      <c r="AP57" s="383"/>
      <c r="AQ57" s="383"/>
      <c r="AR57" s="383"/>
    </row>
    <row r="58" spans="1:44" s="174" customFormat="1" ht="18" customHeight="1">
      <c r="A58" s="366"/>
      <c r="B58" s="317"/>
      <c r="C58" s="399"/>
      <c r="D58" s="384"/>
      <c r="E58" s="384"/>
      <c r="F58" s="384"/>
      <c r="G58" s="384"/>
      <c r="H58" s="384"/>
      <c r="I58" s="384"/>
      <c r="J58" s="384"/>
      <c r="K58" s="384"/>
      <c r="L58" s="384"/>
      <c r="M58" s="384"/>
      <c r="N58" s="384"/>
      <c r="O58" s="384"/>
      <c r="P58" s="384"/>
      <c r="Q58" s="384"/>
      <c r="R58" s="384"/>
      <c r="S58" s="391"/>
      <c r="T58" s="384"/>
      <c r="U58" s="384"/>
      <c r="V58" s="370"/>
      <c r="W58" s="390"/>
      <c r="X58" s="390"/>
      <c r="Y58" s="370"/>
      <c r="Z58" s="370"/>
      <c r="AA58" s="370"/>
      <c r="AB58" s="370"/>
      <c r="AC58" s="370"/>
      <c r="AD58" s="370"/>
      <c r="AE58" s="370"/>
      <c r="AF58" s="370"/>
      <c r="AG58" s="370"/>
      <c r="AH58" s="384"/>
      <c r="AI58" s="384"/>
      <c r="AJ58" s="384"/>
      <c r="AK58" s="384"/>
      <c r="AL58" s="370"/>
      <c r="AM58" s="370"/>
      <c r="AN58" s="370"/>
      <c r="AO58" s="370"/>
      <c r="AP58" s="370"/>
      <c r="AQ58" s="370"/>
      <c r="AR58" s="370"/>
    </row>
    <row r="59" spans="1:44" ht="18" customHeight="1">
      <c r="A59" s="395"/>
      <c r="B59" s="314" t="s">
        <v>8730</v>
      </c>
      <c r="C59" s="317" t="s">
        <v>8731</v>
      </c>
      <c r="D59" s="397">
        <v>1</v>
      </c>
      <c r="E59" s="397">
        <v>1</v>
      </c>
      <c r="F59" s="397">
        <v>1</v>
      </c>
      <c r="G59" s="384"/>
      <c r="H59" s="384"/>
      <c r="I59" s="384"/>
      <c r="J59" s="397">
        <v>1</v>
      </c>
      <c r="K59" s="384"/>
      <c r="L59" s="397">
        <v>1</v>
      </c>
      <c r="M59" s="384"/>
      <c r="N59" s="384"/>
      <c r="O59" s="384"/>
      <c r="P59" s="384"/>
      <c r="Q59" s="384"/>
      <c r="R59" s="384"/>
      <c r="S59" s="391"/>
      <c r="T59" s="315"/>
      <c r="U59" s="315"/>
      <c r="V59" s="383"/>
      <c r="W59" s="388"/>
      <c r="X59" s="388"/>
      <c r="Y59" s="383"/>
      <c r="Z59" s="383"/>
      <c r="AA59" s="383"/>
      <c r="AB59" s="383"/>
      <c r="AC59" s="383"/>
      <c r="AD59" s="383"/>
      <c r="AE59" s="383"/>
      <c r="AF59" s="383"/>
      <c r="AG59" s="383"/>
      <c r="AH59" s="315"/>
      <c r="AI59" s="315"/>
      <c r="AJ59" s="315"/>
      <c r="AK59" s="315"/>
      <c r="AL59" s="383"/>
      <c r="AM59" s="383"/>
      <c r="AN59" s="383"/>
      <c r="AO59" s="383"/>
      <c r="AP59" s="383"/>
      <c r="AQ59" s="383"/>
      <c r="AR59" s="383"/>
    </row>
    <row r="60" spans="1:44" ht="18" customHeight="1">
      <c r="A60" s="395"/>
      <c r="B60" s="314" t="s">
        <v>10008</v>
      </c>
      <c r="C60" s="317" t="s">
        <v>8731</v>
      </c>
      <c r="D60" s="397">
        <v>1</v>
      </c>
      <c r="E60" s="397">
        <v>1</v>
      </c>
      <c r="F60" s="397">
        <v>1</v>
      </c>
      <c r="G60" s="384"/>
      <c r="H60" s="384"/>
      <c r="I60" s="384"/>
      <c r="J60" s="397">
        <v>1</v>
      </c>
      <c r="K60" s="384"/>
      <c r="L60" s="397">
        <v>1</v>
      </c>
      <c r="M60" s="384"/>
      <c r="N60" s="384"/>
      <c r="O60" s="384"/>
      <c r="P60" s="384"/>
      <c r="Q60" s="384"/>
      <c r="R60" s="384"/>
      <c r="S60" s="391"/>
      <c r="T60" s="315"/>
      <c r="U60" s="315"/>
      <c r="V60" s="383"/>
      <c r="W60" s="388"/>
      <c r="X60" s="388"/>
      <c r="Y60" s="383"/>
      <c r="Z60" s="383"/>
      <c r="AA60" s="383"/>
      <c r="AB60" s="383"/>
      <c r="AC60" s="383"/>
      <c r="AD60" s="383"/>
      <c r="AE60" s="383"/>
      <c r="AF60" s="383"/>
      <c r="AG60" s="383"/>
      <c r="AH60" s="315"/>
      <c r="AI60" s="315"/>
      <c r="AJ60" s="315"/>
      <c r="AK60" s="315"/>
      <c r="AL60" s="383"/>
      <c r="AM60" s="383"/>
      <c r="AN60" s="383"/>
      <c r="AO60" s="383"/>
      <c r="AP60" s="383"/>
      <c r="AQ60" s="383"/>
      <c r="AR60" s="383"/>
    </row>
    <row r="61" spans="1:44" ht="18" customHeight="1">
      <c r="A61" s="395"/>
      <c r="B61" s="314" t="s">
        <v>8732</v>
      </c>
      <c r="C61" s="317" t="s">
        <v>8733</v>
      </c>
      <c r="D61" s="397">
        <v>1</v>
      </c>
      <c r="E61" s="397">
        <v>1</v>
      </c>
      <c r="F61" s="397">
        <v>1</v>
      </c>
      <c r="G61" s="384"/>
      <c r="H61" s="384"/>
      <c r="I61" s="384"/>
      <c r="J61" s="397">
        <v>1</v>
      </c>
      <c r="K61" s="384"/>
      <c r="L61" s="397">
        <v>1</v>
      </c>
      <c r="M61" s="384"/>
      <c r="N61" s="384"/>
      <c r="O61" s="384"/>
      <c r="P61" s="384"/>
      <c r="Q61" s="384"/>
      <c r="R61" s="384"/>
      <c r="S61" s="391"/>
      <c r="T61" s="315"/>
      <c r="U61" s="315"/>
      <c r="V61" s="383"/>
      <c r="W61" s="390"/>
      <c r="X61" s="390"/>
      <c r="Y61" s="383"/>
      <c r="Z61" s="383"/>
      <c r="AA61" s="383"/>
      <c r="AB61" s="383"/>
      <c r="AC61" s="383"/>
      <c r="AD61" s="383"/>
      <c r="AE61" s="383"/>
      <c r="AF61" s="383"/>
      <c r="AG61" s="383"/>
      <c r="AH61" s="315"/>
      <c r="AI61" s="315"/>
      <c r="AJ61" s="315"/>
      <c r="AK61" s="315"/>
      <c r="AL61" s="383"/>
      <c r="AM61" s="383"/>
      <c r="AN61" s="383"/>
      <c r="AO61" s="383"/>
      <c r="AP61" s="383"/>
      <c r="AQ61" s="383"/>
      <c r="AR61" s="383"/>
    </row>
    <row r="62" spans="1:44" ht="18" customHeight="1">
      <c r="A62" s="395"/>
      <c r="B62" s="314" t="s">
        <v>8734</v>
      </c>
      <c r="C62" s="317" t="s">
        <v>8735</v>
      </c>
      <c r="D62" s="397">
        <v>1</v>
      </c>
      <c r="E62" s="397">
        <v>1</v>
      </c>
      <c r="F62" s="397">
        <v>1</v>
      </c>
      <c r="G62" s="384"/>
      <c r="H62" s="384"/>
      <c r="I62" s="384"/>
      <c r="J62" s="397">
        <v>1</v>
      </c>
      <c r="K62" s="384"/>
      <c r="L62" s="397">
        <v>1</v>
      </c>
      <c r="M62" s="384"/>
      <c r="N62" s="384"/>
      <c r="O62" s="384"/>
      <c r="P62" s="384"/>
      <c r="Q62" s="384"/>
      <c r="R62" s="384"/>
      <c r="S62" s="391"/>
      <c r="T62" s="315"/>
      <c r="U62" s="315"/>
      <c r="V62" s="383"/>
      <c r="W62" s="388"/>
      <c r="X62" s="388"/>
      <c r="Y62" s="383"/>
      <c r="Z62" s="383"/>
      <c r="AA62" s="383"/>
      <c r="AB62" s="383"/>
      <c r="AC62" s="383"/>
      <c r="AD62" s="383"/>
      <c r="AE62" s="383"/>
      <c r="AF62" s="383"/>
      <c r="AG62" s="383"/>
      <c r="AH62" s="315"/>
      <c r="AI62" s="315"/>
      <c r="AJ62" s="315"/>
      <c r="AK62" s="315"/>
      <c r="AL62" s="383"/>
      <c r="AM62" s="383"/>
      <c r="AN62" s="383"/>
      <c r="AO62" s="383"/>
      <c r="AP62" s="383"/>
      <c r="AQ62" s="383"/>
      <c r="AR62" s="383"/>
    </row>
    <row r="63" spans="1:44" ht="18" customHeight="1">
      <c r="A63" s="395"/>
      <c r="B63" s="314" t="s">
        <v>8736</v>
      </c>
      <c r="C63" s="399" t="s">
        <v>8737</v>
      </c>
      <c r="D63" s="397">
        <v>1</v>
      </c>
      <c r="E63" s="384"/>
      <c r="F63" s="384"/>
      <c r="G63" s="384"/>
      <c r="H63" s="384"/>
      <c r="I63" s="384"/>
      <c r="J63" s="397">
        <v>1</v>
      </c>
      <c r="K63" s="384"/>
      <c r="L63" s="384"/>
      <c r="M63" s="384"/>
      <c r="N63" s="384"/>
      <c r="O63" s="384"/>
      <c r="P63" s="397">
        <v>1</v>
      </c>
      <c r="Q63" s="397">
        <v>1</v>
      </c>
      <c r="R63" s="384"/>
      <c r="S63" s="391"/>
      <c r="T63" s="315"/>
      <c r="U63" s="315"/>
      <c r="V63" s="383"/>
      <c r="W63" s="388"/>
      <c r="X63" s="388"/>
      <c r="Y63" s="383"/>
      <c r="Z63" s="383"/>
      <c r="AA63" s="383"/>
      <c r="AB63" s="383"/>
      <c r="AC63" s="383"/>
      <c r="AD63" s="383"/>
      <c r="AE63" s="383"/>
      <c r="AF63" s="383"/>
      <c r="AG63" s="383"/>
      <c r="AH63" s="315"/>
      <c r="AI63" s="315"/>
      <c r="AJ63" s="315"/>
      <c r="AK63" s="315"/>
      <c r="AL63" s="383"/>
      <c r="AM63" s="383"/>
      <c r="AN63" s="383"/>
      <c r="AO63" s="383"/>
      <c r="AP63" s="383"/>
      <c r="AQ63" s="383"/>
      <c r="AR63" s="383"/>
    </row>
    <row r="64" spans="1:44" ht="18" customHeight="1">
      <c r="A64" s="395"/>
      <c r="B64" s="314" t="s">
        <v>8738</v>
      </c>
      <c r="C64" s="399" t="s">
        <v>8739</v>
      </c>
      <c r="D64" s="384"/>
      <c r="E64" s="397">
        <v>1</v>
      </c>
      <c r="F64" s="384"/>
      <c r="G64" s="384"/>
      <c r="H64" s="384"/>
      <c r="I64" s="384"/>
      <c r="J64" s="397">
        <v>1</v>
      </c>
      <c r="K64" s="384"/>
      <c r="L64" s="384"/>
      <c r="M64" s="384"/>
      <c r="N64" s="384"/>
      <c r="O64" s="384"/>
      <c r="P64" s="397">
        <v>1</v>
      </c>
      <c r="Q64" s="397">
        <v>1</v>
      </c>
      <c r="R64" s="384"/>
      <c r="S64" s="391"/>
      <c r="T64" s="315"/>
      <c r="U64" s="315"/>
      <c r="V64" s="383"/>
      <c r="W64" s="388"/>
      <c r="X64" s="388"/>
      <c r="Y64" s="383"/>
      <c r="Z64" s="383"/>
      <c r="AA64" s="383"/>
      <c r="AB64" s="383"/>
      <c r="AC64" s="383"/>
      <c r="AD64" s="383"/>
      <c r="AE64" s="383"/>
      <c r="AF64" s="383"/>
      <c r="AG64" s="383"/>
      <c r="AH64" s="315"/>
      <c r="AI64" s="315"/>
      <c r="AJ64" s="315"/>
      <c r="AK64" s="315"/>
      <c r="AL64" s="383"/>
      <c r="AM64" s="383"/>
      <c r="AN64" s="383"/>
      <c r="AO64" s="383"/>
      <c r="AP64" s="383"/>
      <c r="AQ64" s="383"/>
      <c r="AR64" s="383"/>
    </row>
    <row r="65" spans="1:44" ht="18" customHeight="1">
      <c r="A65" s="395"/>
      <c r="B65" s="314" t="s">
        <v>8740</v>
      </c>
      <c r="C65" s="399" t="s">
        <v>8741</v>
      </c>
      <c r="D65" s="384"/>
      <c r="E65" s="384"/>
      <c r="F65" s="397">
        <v>1</v>
      </c>
      <c r="G65" s="384"/>
      <c r="H65" s="384"/>
      <c r="I65" s="384"/>
      <c r="J65" s="397">
        <v>1</v>
      </c>
      <c r="K65" s="384"/>
      <c r="L65" s="384"/>
      <c r="M65" s="384"/>
      <c r="N65" s="384"/>
      <c r="O65" s="384"/>
      <c r="P65" s="397">
        <v>1</v>
      </c>
      <c r="Q65" s="397">
        <v>1</v>
      </c>
      <c r="R65" s="384"/>
      <c r="S65" s="391"/>
      <c r="T65" s="315"/>
      <c r="U65" s="315"/>
      <c r="V65" s="383"/>
      <c r="W65" s="388"/>
      <c r="X65" s="388"/>
      <c r="Y65" s="383"/>
      <c r="Z65" s="383"/>
      <c r="AA65" s="383"/>
      <c r="AB65" s="383"/>
      <c r="AC65" s="383"/>
      <c r="AD65" s="383"/>
      <c r="AE65" s="383"/>
      <c r="AF65" s="383"/>
      <c r="AG65" s="383"/>
      <c r="AH65" s="315"/>
      <c r="AI65" s="315"/>
      <c r="AJ65" s="315"/>
      <c r="AK65" s="315"/>
      <c r="AL65" s="383"/>
      <c r="AM65" s="383"/>
      <c r="AN65" s="383"/>
      <c r="AO65" s="383"/>
      <c r="AP65" s="383"/>
      <c r="AQ65" s="383"/>
      <c r="AR65" s="383"/>
    </row>
    <row r="66" spans="1:44" ht="18" customHeight="1">
      <c r="A66" s="395"/>
      <c r="B66" s="314" t="s">
        <v>8742</v>
      </c>
      <c r="C66" s="400" t="s">
        <v>8743</v>
      </c>
      <c r="D66" s="397">
        <v>1</v>
      </c>
      <c r="E66" s="384"/>
      <c r="F66" s="384"/>
      <c r="G66" s="384"/>
      <c r="H66" s="384"/>
      <c r="I66" s="384"/>
      <c r="J66" s="397">
        <v>1</v>
      </c>
      <c r="K66" s="384"/>
      <c r="L66" s="384"/>
      <c r="M66" s="397">
        <v>1</v>
      </c>
      <c r="N66" s="384"/>
      <c r="O66" s="384"/>
      <c r="P66" s="384"/>
      <c r="Q66" s="384"/>
      <c r="R66" s="384"/>
      <c r="S66" s="391"/>
      <c r="T66" s="315"/>
      <c r="U66" s="315"/>
      <c r="V66" s="401">
        <v>1</v>
      </c>
      <c r="W66" s="402">
        <v>1</v>
      </c>
      <c r="X66" s="402">
        <v>1</v>
      </c>
      <c r="Y66" s="401">
        <v>1</v>
      </c>
      <c r="Z66" s="401">
        <v>1</v>
      </c>
      <c r="AA66" s="401">
        <v>1</v>
      </c>
      <c r="AB66" s="401">
        <v>1</v>
      </c>
      <c r="AC66" s="383"/>
      <c r="AD66" s="383"/>
      <c r="AE66" s="383"/>
      <c r="AF66" s="401">
        <v>1</v>
      </c>
      <c r="AG66" s="383"/>
      <c r="AH66" s="315"/>
      <c r="AI66" s="315"/>
      <c r="AJ66" s="315"/>
      <c r="AK66" s="315"/>
      <c r="AL66" s="383"/>
      <c r="AM66" s="383"/>
      <c r="AN66" s="383"/>
      <c r="AO66" s="383"/>
      <c r="AP66" s="383"/>
      <c r="AQ66" s="383"/>
      <c r="AR66" s="383"/>
    </row>
    <row r="67" spans="1:44" ht="18" customHeight="1">
      <c r="A67" s="395"/>
      <c r="B67" s="314" t="s">
        <v>8744</v>
      </c>
      <c r="C67" s="400" t="s">
        <v>8745</v>
      </c>
      <c r="D67" s="384"/>
      <c r="E67" s="397">
        <v>1</v>
      </c>
      <c r="F67" s="384"/>
      <c r="G67" s="384"/>
      <c r="H67" s="384"/>
      <c r="I67" s="384"/>
      <c r="J67" s="397">
        <v>1</v>
      </c>
      <c r="K67" s="384"/>
      <c r="L67" s="384"/>
      <c r="M67" s="397">
        <v>1</v>
      </c>
      <c r="N67" s="384"/>
      <c r="O67" s="384"/>
      <c r="P67" s="384"/>
      <c r="Q67" s="384"/>
      <c r="R67" s="384"/>
      <c r="S67" s="391"/>
      <c r="T67" s="315"/>
      <c r="U67" s="315"/>
      <c r="V67" s="383"/>
      <c r="W67" s="388"/>
      <c r="X67" s="388"/>
      <c r="Y67" s="383"/>
      <c r="Z67" s="383"/>
      <c r="AA67" s="383"/>
      <c r="AB67" s="383"/>
      <c r="AC67" s="383"/>
      <c r="AD67" s="383"/>
      <c r="AE67" s="383"/>
      <c r="AF67" s="401">
        <v>1</v>
      </c>
      <c r="AG67" s="383"/>
      <c r="AH67" s="315"/>
      <c r="AI67" s="315"/>
      <c r="AJ67" s="315"/>
      <c r="AK67" s="315"/>
      <c r="AL67" s="383"/>
      <c r="AM67" s="383"/>
      <c r="AN67" s="383"/>
      <c r="AO67" s="383"/>
      <c r="AP67" s="383"/>
      <c r="AQ67" s="383"/>
      <c r="AR67" s="383"/>
    </row>
    <row r="68" spans="1:44" ht="18" customHeight="1">
      <c r="A68" s="395"/>
      <c r="B68" s="314" t="s">
        <v>8746</v>
      </c>
      <c r="C68" s="400" t="s">
        <v>8747</v>
      </c>
      <c r="D68" s="384"/>
      <c r="E68" s="384"/>
      <c r="F68" s="397">
        <v>1</v>
      </c>
      <c r="G68" s="384"/>
      <c r="H68" s="384"/>
      <c r="I68" s="384"/>
      <c r="J68" s="397">
        <v>1</v>
      </c>
      <c r="K68" s="384"/>
      <c r="L68" s="384"/>
      <c r="M68" s="397">
        <v>1</v>
      </c>
      <c r="N68" s="384"/>
      <c r="O68" s="384"/>
      <c r="P68" s="384"/>
      <c r="Q68" s="384"/>
      <c r="R68" s="384"/>
      <c r="S68" s="391"/>
      <c r="T68" s="315"/>
      <c r="U68" s="315"/>
      <c r="V68" s="383"/>
      <c r="W68" s="388"/>
      <c r="X68" s="388"/>
      <c r="Y68" s="383"/>
      <c r="Z68" s="383"/>
      <c r="AA68" s="383"/>
      <c r="AB68" s="383"/>
      <c r="AC68" s="383"/>
      <c r="AD68" s="383"/>
      <c r="AE68" s="383"/>
      <c r="AF68" s="401">
        <v>1</v>
      </c>
      <c r="AG68" s="383"/>
      <c r="AH68" s="315"/>
      <c r="AI68" s="315"/>
      <c r="AJ68" s="315"/>
      <c r="AK68" s="315"/>
      <c r="AL68" s="383"/>
      <c r="AM68" s="383"/>
      <c r="AN68" s="383"/>
      <c r="AO68" s="383"/>
      <c r="AP68" s="383"/>
      <c r="AQ68" s="383"/>
      <c r="AR68" s="383"/>
    </row>
    <row r="69" spans="1:44" ht="18" customHeight="1">
      <c r="A69" s="395"/>
      <c r="B69" s="314" t="s">
        <v>8748</v>
      </c>
      <c r="C69" s="399" t="s">
        <v>8749</v>
      </c>
      <c r="D69" s="397">
        <v>1</v>
      </c>
      <c r="E69" s="384"/>
      <c r="F69" s="384"/>
      <c r="G69" s="384"/>
      <c r="H69" s="384"/>
      <c r="I69" s="384"/>
      <c r="J69" s="397">
        <v>1</v>
      </c>
      <c r="K69" s="384"/>
      <c r="L69" s="384"/>
      <c r="M69" s="397">
        <v>1</v>
      </c>
      <c r="N69" s="384"/>
      <c r="O69" s="384"/>
      <c r="P69" s="397">
        <v>1</v>
      </c>
      <c r="Q69" s="397">
        <v>1</v>
      </c>
      <c r="R69" s="384"/>
      <c r="S69" s="391"/>
      <c r="T69" s="315"/>
      <c r="U69" s="315"/>
      <c r="V69" s="383"/>
      <c r="W69" s="388"/>
      <c r="X69" s="388"/>
      <c r="Y69" s="383"/>
      <c r="Z69" s="383"/>
      <c r="AA69" s="383"/>
      <c r="AB69" s="383"/>
      <c r="AC69" s="383"/>
      <c r="AD69" s="383"/>
      <c r="AE69" s="383"/>
      <c r="AF69" s="383"/>
      <c r="AG69" s="383"/>
      <c r="AH69" s="315"/>
      <c r="AI69" s="315"/>
      <c r="AJ69" s="315"/>
      <c r="AK69" s="315"/>
      <c r="AL69" s="383"/>
      <c r="AM69" s="383"/>
      <c r="AN69" s="383"/>
      <c r="AO69" s="383"/>
      <c r="AP69" s="383"/>
      <c r="AQ69" s="383"/>
      <c r="AR69" s="383"/>
    </row>
    <row r="70" spans="1:44" ht="18" customHeight="1">
      <c r="A70" s="395"/>
      <c r="B70" s="314" t="s">
        <v>8750</v>
      </c>
      <c r="C70" s="399" t="s">
        <v>8751</v>
      </c>
      <c r="D70" s="384"/>
      <c r="E70" s="397">
        <v>1</v>
      </c>
      <c r="F70" s="384"/>
      <c r="G70" s="384"/>
      <c r="H70" s="384"/>
      <c r="I70" s="384"/>
      <c r="J70" s="397">
        <v>1</v>
      </c>
      <c r="K70" s="384"/>
      <c r="L70" s="384"/>
      <c r="M70" s="397">
        <v>1</v>
      </c>
      <c r="N70" s="384"/>
      <c r="O70" s="384"/>
      <c r="P70" s="397">
        <v>1</v>
      </c>
      <c r="Q70" s="397">
        <v>1</v>
      </c>
      <c r="R70" s="384"/>
      <c r="S70" s="391"/>
      <c r="T70" s="315"/>
      <c r="U70" s="315"/>
      <c r="V70" s="383"/>
      <c r="W70" s="388"/>
      <c r="X70" s="388"/>
      <c r="Y70" s="383"/>
      <c r="Z70" s="383"/>
      <c r="AA70" s="383"/>
      <c r="AB70" s="383"/>
      <c r="AC70" s="383"/>
      <c r="AD70" s="383"/>
      <c r="AE70" s="383"/>
      <c r="AF70" s="383"/>
      <c r="AG70" s="383"/>
      <c r="AH70" s="315"/>
      <c r="AI70" s="315"/>
      <c r="AJ70" s="315"/>
      <c r="AK70" s="315"/>
      <c r="AL70" s="383"/>
      <c r="AM70" s="383"/>
      <c r="AN70" s="383"/>
      <c r="AO70" s="383"/>
      <c r="AP70" s="383"/>
      <c r="AQ70" s="383"/>
      <c r="AR70" s="383"/>
    </row>
    <row r="71" spans="1:44" ht="18" customHeight="1">
      <c r="A71" s="395"/>
      <c r="B71" s="314" t="s">
        <v>8752</v>
      </c>
      <c r="C71" s="399" t="s">
        <v>8753</v>
      </c>
      <c r="D71" s="384"/>
      <c r="E71" s="384"/>
      <c r="F71" s="397">
        <v>1</v>
      </c>
      <c r="G71" s="384"/>
      <c r="H71" s="384"/>
      <c r="I71" s="384"/>
      <c r="J71" s="397">
        <v>1</v>
      </c>
      <c r="K71" s="384"/>
      <c r="L71" s="384"/>
      <c r="M71" s="397">
        <v>1</v>
      </c>
      <c r="N71" s="384"/>
      <c r="O71" s="384"/>
      <c r="P71" s="397">
        <v>1</v>
      </c>
      <c r="Q71" s="397">
        <v>1</v>
      </c>
      <c r="R71" s="384"/>
      <c r="S71" s="391"/>
      <c r="T71" s="315"/>
      <c r="U71" s="315"/>
      <c r="V71" s="383"/>
      <c r="W71" s="388"/>
      <c r="X71" s="388"/>
      <c r="Y71" s="383"/>
      <c r="Z71" s="383"/>
      <c r="AA71" s="383"/>
      <c r="AB71" s="383"/>
      <c r="AC71" s="383"/>
      <c r="AD71" s="383"/>
      <c r="AE71" s="383"/>
      <c r="AF71" s="383"/>
      <c r="AG71" s="383"/>
      <c r="AH71" s="315"/>
      <c r="AI71" s="315"/>
      <c r="AJ71" s="315"/>
      <c r="AK71" s="315"/>
      <c r="AL71" s="383"/>
      <c r="AM71" s="383"/>
      <c r="AN71" s="383"/>
      <c r="AO71" s="383"/>
      <c r="AP71" s="383"/>
      <c r="AQ71" s="383"/>
      <c r="AR71" s="383"/>
    </row>
    <row r="72" spans="1:44" s="393" customFormat="1" ht="18" customHeight="1">
      <c r="A72" s="382"/>
      <c r="B72" s="382"/>
      <c r="C72" s="374"/>
      <c r="D72" s="358"/>
      <c r="E72" s="358"/>
      <c r="F72" s="358"/>
      <c r="G72" s="384"/>
      <c r="H72" s="384"/>
      <c r="I72" s="384"/>
      <c r="J72" s="384"/>
      <c r="K72" s="384"/>
      <c r="L72" s="384"/>
      <c r="M72" s="384"/>
      <c r="N72" s="384"/>
      <c r="O72" s="384"/>
      <c r="P72" s="384"/>
      <c r="Q72" s="384"/>
      <c r="R72" s="384"/>
      <c r="S72" s="391"/>
      <c r="T72" s="384"/>
      <c r="U72" s="384"/>
      <c r="V72" s="370"/>
      <c r="W72" s="390"/>
      <c r="X72" s="390"/>
      <c r="Y72" s="370"/>
      <c r="Z72" s="370"/>
      <c r="AA72" s="370"/>
      <c r="AB72" s="370"/>
      <c r="AC72" s="370"/>
      <c r="AD72" s="370"/>
      <c r="AE72" s="370"/>
      <c r="AF72" s="370"/>
      <c r="AG72" s="370"/>
      <c r="AH72" s="384"/>
      <c r="AI72" s="384"/>
      <c r="AJ72" s="384"/>
      <c r="AK72" s="384"/>
      <c r="AL72" s="370"/>
      <c r="AM72" s="370"/>
      <c r="AN72" s="370"/>
      <c r="AO72" s="370"/>
      <c r="AP72" s="370"/>
      <c r="AQ72" s="370"/>
      <c r="AR72" s="370"/>
    </row>
    <row r="73" spans="1:44" ht="18" customHeight="1">
      <c r="A73" s="395"/>
      <c r="B73" s="475" t="s">
        <v>10093</v>
      </c>
      <c r="C73" s="317" t="s">
        <v>10094</v>
      </c>
      <c r="D73" s="397">
        <v>1</v>
      </c>
      <c r="E73" s="397">
        <v>1</v>
      </c>
      <c r="F73" s="397">
        <v>1</v>
      </c>
      <c r="G73" s="397">
        <v>1</v>
      </c>
      <c r="H73" s="397">
        <v>1</v>
      </c>
      <c r="I73" s="397">
        <v>1</v>
      </c>
      <c r="J73" s="397">
        <v>1</v>
      </c>
      <c r="K73" s="384"/>
      <c r="L73" s="397">
        <v>1</v>
      </c>
      <c r="M73" s="397">
        <v>1</v>
      </c>
      <c r="N73" s="384"/>
      <c r="O73" s="384"/>
      <c r="P73" s="384"/>
      <c r="Q73" s="384"/>
      <c r="R73" s="384"/>
      <c r="S73" s="391"/>
      <c r="T73" s="315"/>
      <c r="U73" s="315"/>
      <c r="V73" s="383"/>
      <c r="W73" s="388"/>
      <c r="X73" s="388"/>
      <c r="Y73" s="383"/>
      <c r="Z73" s="383"/>
      <c r="AA73" s="383"/>
      <c r="AB73" s="383"/>
      <c r="AC73" s="383"/>
      <c r="AD73" s="383"/>
      <c r="AE73" s="383"/>
      <c r="AF73" s="383"/>
      <c r="AG73" s="383"/>
      <c r="AH73" s="315"/>
      <c r="AI73" s="315"/>
      <c r="AJ73" s="315"/>
      <c r="AK73" s="315"/>
      <c r="AL73" s="383"/>
      <c r="AM73" s="383"/>
      <c r="AN73" s="383"/>
      <c r="AO73" s="383"/>
      <c r="AP73" s="383"/>
      <c r="AQ73" s="383"/>
      <c r="AR73" s="383"/>
    </row>
    <row r="74" spans="1:44" s="174" customFormat="1" ht="18" customHeight="1">
      <c r="A74" s="366"/>
      <c r="B74" s="317"/>
      <c r="C74" s="317"/>
      <c r="D74" s="384"/>
      <c r="E74" s="384"/>
      <c r="F74" s="384"/>
      <c r="G74" s="384"/>
      <c r="H74" s="384"/>
      <c r="I74" s="384"/>
      <c r="J74" s="384"/>
      <c r="K74" s="384"/>
      <c r="L74" s="384"/>
      <c r="M74" s="384"/>
      <c r="N74" s="384"/>
      <c r="O74" s="384"/>
      <c r="P74" s="384"/>
      <c r="Q74" s="384"/>
      <c r="R74" s="384"/>
      <c r="S74" s="391"/>
      <c r="T74" s="384"/>
      <c r="U74" s="384"/>
      <c r="V74" s="370"/>
      <c r="W74" s="390"/>
      <c r="X74" s="390"/>
      <c r="Y74" s="370"/>
      <c r="Z74" s="370"/>
      <c r="AA74" s="370"/>
      <c r="AB74" s="370"/>
      <c r="AC74" s="370"/>
      <c r="AD74" s="370"/>
      <c r="AE74" s="370"/>
      <c r="AF74" s="370"/>
      <c r="AG74" s="370"/>
      <c r="AH74" s="384"/>
      <c r="AI74" s="384"/>
      <c r="AJ74" s="384"/>
      <c r="AK74" s="384"/>
      <c r="AL74" s="370"/>
      <c r="AM74" s="370"/>
      <c r="AN74" s="370"/>
      <c r="AO74" s="370"/>
      <c r="AP74" s="370"/>
      <c r="AQ74" s="370"/>
      <c r="AR74" s="370"/>
    </row>
    <row r="75" spans="1:44" ht="18" customHeight="1">
      <c r="W75" s="411"/>
      <c r="X75" s="411"/>
    </row>
    <row r="76" spans="1:44" ht="18" customHeight="1">
      <c r="W76" s="411"/>
      <c r="X76" s="411"/>
    </row>
    <row r="77" spans="1:44" ht="18" customHeight="1">
      <c r="W77" s="411"/>
      <c r="X77" s="411"/>
    </row>
    <row r="78" spans="1:44" ht="18" customHeight="1">
      <c r="W78" s="411"/>
      <c r="X78" s="411"/>
    </row>
    <row r="79" spans="1:44" ht="18" customHeight="1">
      <c r="W79" s="411"/>
      <c r="X79" s="411"/>
    </row>
    <row r="80" spans="1:44" ht="18" customHeight="1">
      <c r="W80" s="411"/>
      <c r="X80" s="411"/>
    </row>
    <row r="81" spans="1:37" ht="18" customHeight="1">
      <c r="W81" s="411"/>
      <c r="X81" s="411"/>
    </row>
    <row r="82" spans="1:37" ht="18" customHeight="1">
      <c r="W82" s="411"/>
      <c r="X82" s="411"/>
    </row>
    <row r="83" spans="1:37" ht="18" customHeight="1">
      <c r="W83" s="411"/>
      <c r="X83" s="411"/>
    </row>
    <row r="84" spans="1:37" ht="18" customHeight="1">
      <c r="W84" s="411"/>
      <c r="X84" s="411"/>
    </row>
    <row r="85" spans="1:37" ht="18" customHeight="1">
      <c r="W85" s="411"/>
      <c r="X85" s="411"/>
    </row>
    <row r="86" spans="1:37" ht="18" customHeight="1">
      <c r="A86" s="166"/>
      <c r="B86" s="166"/>
      <c r="C86" s="166"/>
      <c r="D86" s="166"/>
      <c r="E86" s="166"/>
      <c r="F86" s="166"/>
      <c r="G86" s="166"/>
      <c r="H86" s="166"/>
      <c r="I86" s="166"/>
      <c r="J86" s="166"/>
      <c r="K86" s="166"/>
      <c r="L86" s="166"/>
      <c r="M86" s="166"/>
      <c r="N86" s="166"/>
      <c r="O86" s="166"/>
      <c r="P86" s="166"/>
      <c r="Q86" s="166"/>
      <c r="R86" s="166"/>
      <c r="S86" s="447"/>
      <c r="T86" s="166"/>
      <c r="U86" s="166"/>
      <c r="W86" s="411"/>
      <c r="X86" s="411"/>
      <c r="AH86" s="166"/>
      <c r="AI86" s="166"/>
      <c r="AJ86" s="166"/>
      <c r="AK86" s="166"/>
    </row>
    <row r="87" spans="1:37" ht="18" customHeight="1">
      <c r="A87" s="166"/>
      <c r="B87" s="166"/>
      <c r="C87" s="166"/>
      <c r="D87" s="166"/>
      <c r="E87" s="166"/>
      <c r="F87" s="166"/>
      <c r="G87" s="166"/>
      <c r="H87" s="166"/>
      <c r="I87" s="166"/>
      <c r="J87" s="166"/>
      <c r="K87" s="166"/>
      <c r="L87" s="166"/>
      <c r="M87" s="166"/>
      <c r="N87" s="166"/>
      <c r="O87" s="166"/>
      <c r="P87" s="166"/>
      <c r="Q87" s="166"/>
      <c r="R87" s="166"/>
      <c r="S87" s="447"/>
      <c r="T87" s="166"/>
      <c r="U87" s="166"/>
      <c r="W87" s="411"/>
      <c r="X87" s="411"/>
      <c r="AH87" s="166"/>
      <c r="AI87" s="166"/>
      <c r="AJ87" s="166"/>
      <c r="AK87" s="166"/>
    </row>
    <row r="88" spans="1:37" ht="18" customHeight="1">
      <c r="A88" s="166"/>
      <c r="B88" s="166"/>
      <c r="C88" s="166"/>
      <c r="D88" s="166"/>
      <c r="E88" s="166"/>
      <c r="F88" s="166"/>
      <c r="G88" s="166"/>
      <c r="H88" s="166"/>
      <c r="I88" s="166"/>
      <c r="J88" s="166"/>
      <c r="K88" s="166"/>
      <c r="L88" s="166"/>
      <c r="M88" s="166"/>
      <c r="N88" s="166"/>
      <c r="O88" s="166"/>
      <c r="P88" s="166"/>
      <c r="Q88" s="166"/>
      <c r="R88" s="166"/>
      <c r="S88" s="447"/>
      <c r="T88" s="166"/>
      <c r="U88" s="166"/>
      <c r="W88" s="411"/>
      <c r="X88" s="411"/>
      <c r="AH88" s="166"/>
      <c r="AI88" s="166"/>
      <c r="AJ88" s="166"/>
      <c r="AK88" s="166"/>
    </row>
    <row r="89" spans="1:37" ht="18" customHeight="1">
      <c r="A89" s="166"/>
      <c r="B89" s="166"/>
      <c r="C89" s="166"/>
      <c r="D89" s="166"/>
      <c r="E89" s="166"/>
      <c r="F89" s="166"/>
      <c r="G89" s="166"/>
      <c r="H89" s="166"/>
      <c r="I89" s="166"/>
      <c r="J89" s="166"/>
      <c r="K89" s="166"/>
      <c r="L89" s="166"/>
      <c r="M89" s="166"/>
      <c r="N89" s="166"/>
      <c r="O89" s="166"/>
      <c r="P89" s="166"/>
      <c r="Q89" s="166"/>
      <c r="R89" s="166"/>
      <c r="S89" s="447"/>
      <c r="T89" s="166"/>
      <c r="U89" s="166"/>
      <c r="W89" s="411"/>
      <c r="X89" s="411"/>
      <c r="AH89" s="166"/>
      <c r="AI89" s="166"/>
      <c r="AJ89" s="166"/>
      <c r="AK89" s="166"/>
    </row>
    <row r="90" spans="1:37" ht="18" customHeight="1">
      <c r="A90" s="166"/>
      <c r="B90" s="166"/>
      <c r="C90" s="166"/>
      <c r="D90" s="166"/>
      <c r="E90" s="166"/>
      <c r="F90" s="166"/>
      <c r="G90" s="166"/>
      <c r="H90" s="166"/>
      <c r="I90" s="166"/>
      <c r="J90" s="166"/>
      <c r="K90" s="166"/>
      <c r="L90" s="166"/>
      <c r="M90" s="166"/>
      <c r="N90" s="166"/>
      <c r="O90" s="166"/>
      <c r="P90" s="166"/>
      <c r="Q90" s="166"/>
      <c r="R90" s="166"/>
      <c r="S90" s="447"/>
      <c r="T90" s="166"/>
      <c r="U90" s="166"/>
      <c r="W90" s="411"/>
      <c r="X90" s="411"/>
      <c r="AH90" s="166"/>
      <c r="AI90" s="166"/>
      <c r="AJ90" s="166"/>
      <c r="AK90" s="166"/>
    </row>
    <row r="91" spans="1:37" ht="18" customHeight="1">
      <c r="A91" s="166"/>
      <c r="B91" s="166"/>
      <c r="C91" s="166"/>
      <c r="D91" s="166"/>
      <c r="E91" s="166"/>
      <c r="F91" s="166"/>
      <c r="G91" s="166"/>
      <c r="H91" s="166"/>
      <c r="I91" s="166"/>
      <c r="J91" s="166"/>
      <c r="K91" s="166"/>
      <c r="L91" s="166"/>
      <c r="M91" s="166"/>
      <c r="N91" s="166"/>
      <c r="O91" s="166"/>
      <c r="P91" s="166"/>
      <c r="Q91" s="166"/>
      <c r="R91" s="166"/>
      <c r="S91" s="447"/>
      <c r="T91" s="166"/>
      <c r="U91" s="166"/>
      <c r="W91" s="411"/>
      <c r="X91" s="411"/>
      <c r="AH91" s="166"/>
      <c r="AI91" s="166"/>
      <c r="AJ91" s="166"/>
      <c r="AK91" s="166"/>
    </row>
    <row r="92" spans="1:37" ht="18" customHeight="1">
      <c r="A92" s="166"/>
      <c r="B92" s="166"/>
      <c r="C92" s="166"/>
      <c r="D92" s="166"/>
      <c r="E92" s="166"/>
      <c r="F92" s="166"/>
      <c r="G92" s="166"/>
      <c r="H92" s="166"/>
      <c r="I92" s="166"/>
      <c r="J92" s="166"/>
      <c r="K92" s="166"/>
      <c r="L92" s="166"/>
      <c r="M92" s="166"/>
      <c r="N92" s="166"/>
      <c r="O92" s="166"/>
      <c r="P92" s="166"/>
      <c r="Q92" s="166"/>
      <c r="R92" s="166"/>
      <c r="S92" s="447"/>
      <c r="T92" s="166"/>
      <c r="U92" s="166"/>
      <c r="W92" s="411"/>
      <c r="X92" s="411"/>
      <c r="AH92" s="166"/>
      <c r="AI92" s="166"/>
      <c r="AJ92" s="166"/>
      <c r="AK92" s="166"/>
    </row>
    <row r="93" spans="1:37" ht="18" customHeight="1">
      <c r="A93" s="166"/>
      <c r="B93" s="166"/>
      <c r="C93" s="166"/>
      <c r="D93" s="166"/>
      <c r="E93" s="166"/>
      <c r="F93" s="166"/>
      <c r="G93" s="166"/>
      <c r="H93" s="166"/>
      <c r="I93" s="166"/>
      <c r="J93" s="166"/>
      <c r="K93" s="166"/>
      <c r="L93" s="166"/>
      <c r="M93" s="166"/>
      <c r="N93" s="166"/>
      <c r="O93" s="166"/>
      <c r="P93" s="166"/>
      <c r="Q93" s="166"/>
      <c r="R93" s="166"/>
      <c r="S93" s="447"/>
      <c r="T93" s="166"/>
      <c r="U93" s="166"/>
      <c r="W93" s="411"/>
      <c r="X93" s="411"/>
      <c r="AH93" s="166"/>
      <c r="AI93" s="166"/>
      <c r="AJ93" s="166"/>
      <c r="AK93" s="166"/>
    </row>
    <row r="94" spans="1:37" ht="18" customHeight="1">
      <c r="A94" s="166"/>
      <c r="B94" s="166"/>
      <c r="C94" s="166"/>
      <c r="D94" s="166"/>
      <c r="E94" s="166"/>
      <c r="F94" s="166"/>
      <c r="G94" s="166"/>
      <c r="H94" s="166"/>
      <c r="I94" s="166"/>
      <c r="J94" s="166"/>
      <c r="K94" s="166"/>
      <c r="L94" s="166"/>
      <c r="M94" s="166"/>
      <c r="N94" s="166"/>
      <c r="O94" s="166"/>
      <c r="P94" s="166"/>
      <c r="Q94" s="166"/>
      <c r="R94" s="166"/>
      <c r="S94" s="447"/>
      <c r="T94" s="166"/>
      <c r="U94" s="166"/>
      <c r="W94" s="411"/>
      <c r="X94" s="411"/>
      <c r="AH94" s="166"/>
      <c r="AI94" s="166"/>
      <c r="AJ94" s="166"/>
      <c r="AK94" s="166"/>
    </row>
    <row r="95" spans="1:37" ht="18" customHeight="1">
      <c r="A95" s="166"/>
      <c r="B95" s="166"/>
      <c r="C95" s="166"/>
      <c r="D95" s="166"/>
      <c r="E95" s="166"/>
      <c r="F95" s="166"/>
      <c r="G95" s="166"/>
      <c r="H95" s="166"/>
      <c r="I95" s="166"/>
      <c r="J95" s="166"/>
      <c r="K95" s="166"/>
      <c r="L95" s="166"/>
      <c r="M95" s="166"/>
      <c r="N95" s="166"/>
      <c r="O95" s="166"/>
      <c r="P95" s="166"/>
      <c r="Q95" s="166"/>
      <c r="R95" s="166"/>
      <c r="S95" s="447"/>
      <c r="T95" s="166"/>
      <c r="U95" s="166"/>
      <c r="W95" s="411"/>
      <c r="X95" s="411"/>
      <c r="AH95" s="166"/>
      <c r="AI95" s="166"/>
      <c r="AJ95" s="166"/>
      <c r="AK95" s="166"/>
    </row>
    <row r="96" spans="1:37" ht="18" customHeight="1">
      <c r="A96" s="166"/>
      <c r="B96" s="166"/>
      <c r="C96" s="166"/>
      <c r="D96" s="166"/>
      <c r="E96" s="166"/>
      <c r="F96" s="166"/>
      <c r="G96" s="166"/>
      <c r="H96" s="166"/>
      <c r="I96" s="166"/>
      <c r="J96" s="166"/>
      <c r="K96" s="166"/>
      <c r="L96" s="166"/>
      <c r="M96" s="166"/>
      <c r="N96" s="166"/>
      <c r="O96" s="166"/>
      <c r="P96" s="166"/>
      <c r="Q96" s="166"/>
      <c r="R96" s="166"/>
      <c r="S96" s="447"/>
      <c r="T96" s="166"/>
      <c r="U96" s="166"/>
      <c r="W96" s="411"/>
      <c r="X96" s="411"/>
      <c r="AH96" s="166"/>
      <c r="AI96" s="166"/>
      <c r="AJ96" s="166"/>
      <c r="AK96" s="166"/>
    </row>
    <row r="97" spans="19:24" s="166" customFormat="1" ht="18" customHeight="1">
      <c r="S97" s="447"/>
      <c r="W97" s="411"/>
      <c r="X97" s="411"/>
    </row>
    <row r="98" spans="19:24" s="166" customFormat="1" ht="18" customHeight="1">
      <c r="S98" s="447"/>
      <c r="W98" s="411"/>
      <c r="X98" s="411"/>
    </row>
    <row r="99" spans="19:24" s="166" customFormat="1" ht="18" customHeight="1">
      <c r="S99" s="447"/>
      <c r="W99" s="411"/>
      <c r="X99" s="411"/>
    </row>
    <row r="100" spans="19:24" s="166" customFormat="1" ht="18" customHeight="1">
      <c r="S100" s="447"/>
      <c r="W100" s="411"/>
      <c r="X100" s="411"/>
    </row>
    <row r="101" spans="19:24" s="166" customFormat="1" ht="18" customHeight="1">
      <c r="S101" s="447"/>
      <c r="W101" s="411"/>
      <c r="X101" s="411"/>
    </row>
    <row r="102" spans="19:24" s="166" customFormat="1" ht="18" customHeight="1">
      <c r="S102" s="447"/>
      <c r="W102" s="411"/>
      <c r="X102" s="411"/>
    </row>
    <row r="103" spans="19:24" s="166" customFormat="1" ht="18" customHeight="1">
      <c r="S103" s="447"/>
      <c r="W103" s="411"/>
      <c r="X103" s="411"/>
    </row>
    <row r="104" spans="19:24" s="166" customFormat="1" ht="18" customHeight="1">
      <c r="S104" s="447"/>
      <c r="W104" s="411"/>
      <c r="X104" s="411"/>
    </row>
    <row r="105" spans="19:24" s="166" customFormat="1" ht="18" customHeight="1">
      <c r="S105" s="447"/>
      <c r="W105" s="411"/>
      <c r="X105" s="411"/>
    </row>
    <row r="106" spans="19:24" s="166" customFormat="1" ht="18" customHeight="1">
      <c r="S106" s="447"/>
      <c r="W106" s="411"/>
      <c r="X106" s="411"/>
    </row>
    <row r="107" spans="19:24" s="166" customFormat="1" ht="18" customHeight="1">
      <c r="S107" s="447"/>
      <c r="W107" s="411"/>
      <c r="X107" s="411"/>
    </row>
    <row r="108" spans="19:24" s="166" customFormat="1" ht="18" customHeight="1">
      <c r="S108" s="447"/>
      <c r="W108" s="411"/>
      <c r="X108" s="411"/>
    </row>
    <row r="109" spans="19:24" s="166" customFormat="1" ht="18" customHeight="1">
      <c r="S109" s="447"/>
      <c r="W109" s="411"/>
      <c r="X109" s="411"/>
    </row>
    <row r="110" spans="19:24" s="166" customFormat="1" ht="18" customHeight="1">
      <c r="S110" s="447"/>
      <c r="W110" s="411"/>
      <c r="X110" s="411"/>
    </row>
    <row r="111" spans="19:24" s="166" customFormat="1" ht="18" customHeight="1">
      <c r="S111" s="447"/>
      <c r="W111" s="411"/>
      <c r="X111" s="411"/>
    </row>
    <row r="112" spans="19:24" s="166" customFormat="1" ht="18" customHeight="1">
      <c r="S112" s="447"/>
      <c r="W112" s="411"/>
      <c r="X112" s="411"/>
    </row>
    <row r="113" spans="19:24" s="166" customFormat="1" ht="18" customHeight="1">
      <c r="S113" s="447"/>
      <c r="W113" s="411"/>
      <c r="X113" s="411"/>
    </row>
    <row r="114" spans="19:24" s="166" customFormat="1" ht="18" customHeight="1">
      <c r="S114" s="447"/>
      <c r="W114" s="411"/>
      <c r="X114" s="411"/>
    </row>
    <row r="115" spans="19:24" s="166" customFormat="1" ht="18" customHeight="1">
      <c r="S115" s="447"/>
      <c r="W115" s="411"/>
      <c r="X115" s="411"/>
    </row>
    <row r="116" spans="19:24" s="166" customFormat="1" ht="18" customHeight="1">
      <c r="S116" s="447"/>
      <c r="W116" s="411"/>
      <c r="X116" s="411"/>
    </row>
    <row r="117" spans="19:24" s="166" customFormat="1" ht="18" customHeight="1">
      <c r="S117" s="447"/>
      <c r="W117" s="411"/>
      <c r="X117" s="411"/>
    </row>
    <row r="118" spans="19:24" s="166" customFormat="1" ht="18" customHeight="1">
      <c r="S118" s="447"/>
      <c r="W118" s="411"/>
      <c r="X118" s="411"/>
    </row>
    <row r="119" spans="19:24" s="166" customFormat="1" ht="18" customHeight="1">
      <c r="S119" s="447"/>
      <c r="W119" s="411"/>
      <c r="X119" s="411"/>
    </row>
    <row r="120" spans="19:24" s="166" customFormat="1" ht="18" customHeight="1">
      <c r="S120" s="447"/>
      <c r="W120" s="411"/>
      <c r="X120" s="411"/>
    </row>
    <row r="121" spans="19:24" s="166" customFormat="1" ht="18" customHeight="1">
      <c r="S121" s="447"/>
      <c r="W121" s="411"/>
      <c r="X121" s="411"/>
    </row>
    <row r="122" spans="19:24" s="166" customFormat="1" ht="18" customHeight="1">
      <c r="S122" s="447"/>
      <c r="W122" s="411"/>
      <c r="X122" s="411"/>
    </row>
    <row r="123" spans="19:24" s="166" customFormat="1" ht="18" customHeight="1">
      <c r="S123" s="447"/>
      <c r="W123" s="411"/>
      <c r="X123" s="411"/>
    </row>
    <row r="124" spans="19:24" s="166" customFormat="1" ht="18" customHeight="1">
      <c r="S124" s="447"/>
      <c r="W124" s="411"/>
      <c r="X124" s="411"/>
    </row>
    <row r="125" spans="19:24" s="166" customFormat="1" ht="18" customHeight="1">
      <c r="S125" s="447"/>
      <c r="W125" s="411"/>
      <c r="X125" s="411"/>
    </row>
    <row r="126" spans="19:24" s="166" customFormat="1" ht="18" customHeight="1">
      <c r="S126" s="447"/>
      <c r="W126" s="411"/>
      <c r="X126" s="411"/>
    </row>
    <row r="127" spans="19:24" s="166" customFormat="1" ht="18" customHeight="1">
      <c r="S127" s="447"/>
      <c r="W127" s="411"/>
      <c r="X127" s="411"/>
    </row>
    <row r="128" spans="19:24" s="166" customFormat="1" ht="18" customHeight="1">
      <c r="S128" s="447"/>
      <c r="W128" s="411"/>
      <c r="X128" s="411"/>
    </row>
    <row r="129" spans="19:24" s="166" customFormat="1" ht="18" customHeight="1">
      <c r="S129" s="447"/>
      <c r="W129" s="411"/>
      <c r="X129" s="411"/>
    </row>
    <row r="130" spans="19:24" s="166" customFormat="1" ht="18" customHeight="1">
      <c r="S130" s="447"/>
      <c r="W130" s="411"/>
      <c r="X130" s="411"/>
    </row>
    <row r="131" spans="19:24" s="166" customFormat="1" ht="18" customHeight="1">
      <c r="S131" s="447"/>
      <c r="W131" s="411"/>
      <c r="X131" s="411"/>
    </row>
    <row r="132" spans="19:24" s="166" customFormat="1" ht="18" customHeight="1">
      <c r="S132" s="447"/>
      <c r="W132" s="411"/>
      <c r="X132" s="411"/>
    </row>
    <row r="133" spans="19:24" s="166" customFormat="1" ht="18" customHeight="1">
      <c r="S133" s="447"/>
      <c r="W133" s="411"/>
      <c r="X133" s="411"/>
    </row>
    <row r="134" spans="19:24" s="166" customFormat="1" ht="18" customHeight="1">
      <c r="S134" s="447"/>
      <c r="W134" s="411"/>
      <c r="X134" s="411"/>
    </row>
    <row r="135" spans="19:24" s="166" customFormat="1" ht="18" customHeight="1">
      <c r="S135" s="447"/>
      <c r="W135" s="411"/>
      <c r="X135" s="411"/>
    </row>
    <row r="136" spans="19:24" s="166" customFormat="1" ht="18" customHeight="1">
      <c r="S136" s="447"/>
      <c r="W136" s="411"/>
      <c r="X136" s="411"/>
    </row>
    <row r="137" spans="19:24" s="166" customFormat="1" ht="18" customHeight="1">
      <c r="S137" s="447"/>
      <c r="W137" s="411"/>
      <c r="X137" s="411"/>
    </row>
    <row r="138" spans="19:24" s="166" customFormat="1" ht="18" customHeight="1">
      <c r="S138" s="447"/>
      <c r="W138" s="411"/>
      <c r="X138" s="411"/>
    </row>
    <row r="139" spans="19:24" s="166" customFormat="1" ht="18" customHeight="1">
      <c r="S139" s="447"/>
      <c r="W139" s="411"/>
      <c r="X139" s="411"/>
    </row>
    <row r="140" spans="19:24" s="166" customFormat="1" ht="18" customHeight="1">
      <c r="S140" s="447"/>
      <c r="W140" s="411"/>
      <c r="X140" s="411"/>
    </row>
    <row r="141" spans="19:24" s="166" customFormat="1" ht="18" customHeight="1">
      <c r="S141" s="447"/>
      <c r="W141" s="411"/>
      <c r="X141" s="411"/>
    </row>
    <row r="142" spans="19:24" s="166" customFormat="1" ht="18" customHeight="1">
      <c r="S142" s="447"/>
      <c r="W142" s="411"/>
      <c r="X142" s="411"/>
    </row>
    <row r="143" spans="19:24" s="166" customFormat="1" ht="18" customHeight="1">
      <c r="S143" s="447"/>
      <c r="W143" s="411"/>
      <c r="X143" s="411"/>
    </row>
    <row r="144" spans="19:24" s="166" customFormat="1" ht="18" customHeight="1">
      <c r="S144" s="447"/>
      <c r="W144" s="411"/>
      <c r="X144" s="411"/>
    </row>
    <row r="145" spans="19:24" s="166" customFormat="1" ht="18" customHeight="1">
      <c r="S145" s="447"/>
      <c r="W145" s="411"/>
      <c r="X145" s="411"/>
    </row>
    <row r="146" spans="19:24" s="166" customFormat="1" ht="18" customHeight="1">
      <c r="S146" s="447"/>
      <c r="W146" s="411"/>
      <c r="X146" s="411"/>
    </row>
    <row r="147" spans="19:24" s="166" customFormat="1" ht="18" customHeight="1">
      <c r="S147" s="447"/>
      <c r="W147" s="411"/>
      <c r="X147" s="411"/>
    </row>
    <row r="148" spans="19:24" s="166" customFormat="1" ht="18" customHeight="1">
      <c r="S148" s="447"/>
      <c r="W148" s="411"/>
      <c r="X148" s="411"/>
    </row>
    <row r="149" spans="19:24" s="166" customFormat="1" ht="18" customHeight="1">
      <c r="S149" s="447"/>
      <c r="W149" s="411"/>
      <c r="X149" s="411"/>
    </row>
    <row r="150" spans="19:24" s="166" customFormat="1" ht="18" customHeight="1">
      <c r="S150" s="447"/>
      <c r="W150" s="411"/>
      <c r="X150" s="411"/>
    </row>
    <row r="151" spans="19:24" s="166" customFormat="1" ht="18" customHeight="1">
      <c r="S151" s="447"/>
      <c r="W151" s="411"/>
      <c r="X151" s="411"/>
    </row>
    <row r="152" spans="19:24" s="166" customFormat="1" ht="18" customHeight="1">
      <c r="S152" s="447"/>
      <c r="W152" s="411"/>
      <c r="X152" s="411"/>
    </row>
    <row r="153" spans="19:24" s="166" customFormat="1" ht="18" customHeight="1">
      <c r="S153" s="447"/>
      <c r="W153" s="411"/>
      <c r="X153" s="411"/>
    </row>
    <row r="154" spans="19:24" s="166" customFormat="1" ht="18" customHeight="1">
      <c r="S154" s="447"/>
      <c r="W154" s="411"/>
      <c r="X154" s="411"/>
    </row>
    <row r="155" spans="19:24" s="166" customFormat="1" ht="18" customHeight="1">
      <c r="S155" s="447"/>
      <c r="W155" s="411"/>
      <c r="X155" s="411"/>
    </row>
    <row r="156" spans="19:24" s="166" customFormat="1" ht="18" customHeight="1">
      <c r="S156" s="447"/>
      <c r="W156" s="411"/>
      <c r="X156" s="411"/>
    </row>
    <row r="157" spans="19:24" s="166" customFormat="1" ht="18" customHeight="1">
      <c r="S157" s="447"/>
      <c r="W157" s="411"/>
      <c r="X157" s="411"/>
    </row>
    <row r="158" spans="19:24" s="166" customFormat="1" ht="18" customHeight="1">
      <c r="S158" s="447"/>
      <c r="W158" s="411"/>
      <c r="X158" s="411"/>
    </row>
    <row r="159" spans="19:24" s="166" customFormat="1" ht="18" customHeight="1">
      <c r="S159" s="447"/>
      <c r="W159" s="411"/>
      <c r="X159" s="411"/>
    </row>
    <row r="160" spans="19:24" s="166" customFormat="1" ht="18" customHeight="1">
      <c r="S160" s="447"/>
      <c r="W160" s="411"/>
      <c r="X160" s="411"/>
    </row>
    <row r="161" spans="1:37" ht="18" customHeight="1">
      <c r="A161" s="166"/>
      <c r="B161" s="166"/>
      <c r="C161" s="166"/>
      <c r="D161" s="166"/>
      <c r="E161" s="166"/>
      <c r="F161" s="166"/>
      <c r="G161" s="166"/>
      <c r="H161" s="166"/>
      <c r="I161" s="166"/>
      <c r="J161" s="166"/>
      <c r="K161" s="166"/>
      <c r="L161" s="166"/>
      <c r="M161" s="166"/>
      <c r="N161" s="166"/>
      <c r="O161" s="166"/>
      <c r="P161" s="166"/>
      <c r="Q161" s="166"/>
      <c r="R161" s="166"/>
      <c r="S161" s="447"/>
      <c r="T161" s="166"/>
      <c r="U161" s="166"/>
      <c r="W161" s="411"/>
      <c r="X161" s="411"/>
      <c r="AH161" s="166"/>
      <c r="AI161" s="166"/>
      <c r="AJ161" s="166"/>
      <c r="AK161" s="166"/>
    </row>
    <row r="162" spans="1:37" ht="18" customHeight="1">
      <c r="A162" s="166"/>
      <c r="B162" s="166"/>
      <c r="C162" s="166"/>
      <c r="D162" s="166"/>
      <c r="E162" s="166"/>
      <c r="F162" s="166"/>
      <c r="G162" s="166"/>
      <c r="H162" s="166"/>
      <c r="I162" s="166"/>
      <c r="J162" s="166"/>
      <c r="K162" s="166"/>
      <c r="L162" s="166"/>
      <c r="M162" s="166"/>
      <c r="N162" s="166"/>
      <c r="O162" s="166"/>
      <c r="P162" s="166"/>
      <c r="Q162" s="166"/>
      <c r="R162" s="166"/>
      <c r="S162" s="447"/>
      <c r="T162" s="166"/>
      <c r="U162" s="166"/>
      <c r="W162" s="411"/>
      <c r="X162" s="411"/>
      <c r="AH162" s="166"/>
      <c r="AI162" s="166"/>
      <c r="AJ162" s="166"/>
      <c r="AK162" s="166"/>
    </row>
    <row r="163" spans="1:37" ht="18" customHeight="1">
      <c r="A163" s="166"/>
      <c r="B163" s="166"/>
      <c r="C163" s="166"/>
      <c r="D163" s="166"/>
      <c r="E163" s="166"/>
      <c r="F163" s="166"/>
      <c r="G163" s="166"/>
      <c r="H163" s="166"/>
      <c r="I163" s="166"/>
      <c r="J163" s="166"/>
      <c r="K163" s="166"/>
      <c r="L163" s="166"/>
      <c r="M163" s="166"/>
      <c r="N163" s="166"/>
      <c r="O163" s="166"/>
      <c r="P163" s="166"/>
      <c r="Q163" s="166"/>
      <c r="R163" s="166"/>
      <c r="S163" s="447"/>
      <c r="T163" s="166"/>
      <c r="U163" s="166"/>
      <c r="W163" s="411"/>
      <c r="X163" s="411"/>
      <c r="AH163" s="166"/>
      <c r="AI163" s="166"/>
      <c r="AJ163" s="166"/>
      <c r="AK163" s="166"/>
    </row>
    <row r="164" spans="1:37" ht="18" customHeight="1">
      <c r="A164" s="166"/>
      <c r="B164" s="166"/>
      <c r="C164" s="166"/>
      <c r="D164" s="166"/>
      <c r="E164" s="166"/>
      <c r="F164" s="166"/>
      <c r="G164" s="166"/>
      <c r="H164" s="166"/>
      <c r="I164" s="166"/>
      <c r="J164" s="166"/>
      <c r="K164" s="166"/>
      <c r="L164" s="166"/>
      <c r="M164" s="166"/>
      <c r="N164" s="166"/>
      <c r="O164" s="166"/>
      <c r="P164" s="166"/>
      <c r="Q164" s="166"/>
      <c r="R164" s="166"/>
      <c r="S164" s="447"/>
      <c r="T164" s="166"/>
      <c r="U164" s="166"/>
      <c r="W164" s="411"/>
      <c r="X164" s="411"/>
      <c r="AH164" s="166"/>
      <c r="AI164" s="166"/>
      <c r="AJ164" s="166"/>
      <c r="AK164" s="166"/>
    </row>
    <row r="165" spans="1:37" ht="18" customHeight="1">
      <c r="A165" s="166"/>
      <c r="B165" s="166"/>
      <c r="C165" s="166"/>
      <c r="D165" s="166"/>
      <c r="E165" s="166"/>
      <c r="F165" s="166"/>
      <c r="G165" s="166"/>
      <c r="H165" s="166"/>
      <c r="I165" s="166"/>
      <c r="J165" s="166"/>
      <c r="K165" s="166"/>
      <c r="L165" s="166"/>
      <c r="M165" s="166"/>
      <c r="N165" s="166"/>
      <c r="O165" s="166"/>
      <c r="P165" s="166"/>
      <c r="Q165" s="166"/>
      <c r="R165" s="166"/>
      <c r="S165" s="447"/>
      <c r="T165" s="166"/>
      <c r="U165" s="166"/>
      <c r="W165" s="411"/>
      <c r="X165" s="411"/>
      <c r="AH165" s="166"/>
      <c r="AI165" s="166"/>
      <c r="AJ165" s="166"/>
      <c r="AK165" s="166"/>
    </row>
    <row r="166" spans="1:37" ht="18" customHeight="1">
      <c r="A166" s="166"/>
      <c r="B166" s="166"/>
      <c r="C166" s="166"/>
      <c r="D166" s="166"/>
      <c r="E166" s="166"/>
      <c r="F166" s="166"/>
      <c r="G166" s="166"/>
      <c r="H166" s="166"/>
      <c r="I166" s="166"/>
      <c r="J166" s="166"/>
      <c r="K166" s="166"/>
      <c r="L166" s="166"/>
      <c r="M166" s="166"/>
      <c r="N166" s="166"/>
      <c r="O166" s="166"/>
      <c r="P166" s="166"/>
      <c r="Q166" s="166"/>
      <c r="R166" s="166"/>
      <c r="S166" s="447"/>
      <c r="T166" s="166"/>
      <c r="U166" s="166"/>
      <c r="W166" s="411"/>
      <c r="X166" s="411"/>
    </row>
    <row r="167" spans="1:37" ht="18" customHeight="1">
      <c r="A167" s="166"/>
      <c r="B167" s="166"/>
      <c r="C167" s="166"/>
      <c r="D167" s="166"/>
      <c r="E167" s="166"/>
      <c r="F167" s="166"/>
      <c r="G167" s="166"/>
      <c r="H167" s="166"/>
      <c r="I167" s="166"/>
      <c r="J167" s="166"/>
      <c r="K167" s="166"/>
      <c r="L167" s="166"/>
      <c r="M167" s="166"/>
      <c r="N167" s="166"/>
      <c r="O167" s="166"/>
      <c r="P167" s="166"/>
      <c r="Q167" s="166"/>
      <c r="R167" s="166"/>
      <c r="S167" s="447"/>
      <c r="T167" s="166"/>
      <c r="U167" s="166"/>
      <c r="W167" s="411"/>
      <c r="X167" s="411"/>
    </row>
    <row r="168" spans="1:37" ht="18" customHeight="1">
      <c r="A168" s="166"/>
      <c r="B168" s="166"/>
      <c r="C168" s="166"/>
      <c r="D168" s="166"/>
      <c r="E168" s="166"/>
      <c r="F168" s="166"/>
      <c r="G168" s="166"/>
      <c r="H168" s="166"/>
      <c r="I168" s="166"/>
      <c r="J168" s="166"/>
      <c r="K168" s="166"/>
      <c r="L168" s="166"/>
      <c r="M168" s="166"/>
      <c r="N168" s="166"/>
      <c r="O168" s="166"/>
      <c r="P168" s="166"/>
      <c r="Q168" s="166"/>
      <c r="R168" s="166"/>
      <c r="S168" s="447"/>
      <c r="T168" s="166"/>
      <c r="U168" s="166"/>
      <c r="W168" s="411"/>
      <c r="X168" s="411"/>
    </row>
    <row r="169" spans="1:37" ht="18" customHeight="1">
      <c r="A169" s="166"/>
      <c r="B169" s="166"/>
      <c r="C169" s="166"/>
      <c r="D169" s="166"/>
      <c r="E169" s="166"/>
      <c r="F169" s="166"/>
      <c r="G169" s="166"/>
      <c r="H169" s="166"/>
      <c r="I169" s="166"/>
      <c r="J169" s="166"/>
      <c r="K169" s="166"/>
      <c r="L169" s="166"/>
      <c r="M169" s="166"/>
      <c r="N169" s="166"/>
      <c r="O169" s="166"/>
      <c r="P169" s="166"/>
      <c r="Q169" s="166"/>
      <c r="R169" s="166"/>
      <c r="S169" s="447"/>
      <c r="T169" s="166"/>
      <c r="U169" s="166"/>
      <c r="W169" s="411"/>
      <c r="X169" s="411"/>
    </row>
    <row r="170" spans="1:37" ht="18" customHeight="1">
      <c r="A170" s="166"/>
      <c r="B170" s="166"/>
      <c r="C170" s="166"/>
      <c r="D170" s="166"/>
      <c r="E170" s="166"/>
      <c r="F170" s="166"/>
      <c r="G170" s="166"/>
      <c r="H170" s="166"/>
      <c r="I170" s="166"/>
      <c r="J170" s="166"/>
      <c r="K170" s="166"/>
      <c r="L170" s="166"/>
      <c r="M170" s="166"/>
      <c r="N170" s="166"/>
      <c r="O170" s="166"/>
      <c r="P170" s="166"/>
      <c r="Q170" s="166"/>
      <c r="R170" s="166"/>
      <c r="S170" s="447"/>
      <c r="T170" s="166"/>
      <c r="U170" s="166"/>
      <c r="W170" s="411"/>
      <c r="X170" s="411"/>
    </row>
    <row r="171" spans="1:37" ht="18" customHeight="1">
      <c r="A171" s="166"/>
      <c r="B171" s="166"/>
      <c r="C171" s="166"/>
      <c r="D171" s="166"/>
      <c r="E171" s="166"/>
      <c r="F171" s="166"/>
      <c r="G171" s="166"/>
      <c r="H171" s="166"/>
      <c r="I171" s="166"/>
      <c r="J171" s="166"/>
      <c r="K171" s="166"/>
      <c r="L171" s="166"/>
      <c r="M171" s="166"/>
      <c r="N171" s="166"/>
      <c r="O171" s="166"/>
      <c r="P171" s="166"/>
      <c r="Q171" s="166"/>
      <c r="R171" s="166"/>
      <c r="S171" s="447"/>
      <c r="T171" s="166"/>
      <c r="U171" s="166"/>
      <c r="W171" s="411"/>
      <c r="X171" s="411"/>
    </row>
    <row r="172" spans="1:37" ht="18" customHeight="1">
      <c r="A172" s="166"/>
      <c r="B172" s="166"/>
      <c r="C172" s="166"/>
      <c r="D172" s="166"/>
      <c r="E172" s="166"/>
      <c r="F172" s="166"/>
      <c r="G172" s="166"/>
      <c r="H172" s="166"/>
      <c r="I172" s="166"/>
      <c r="J172" s="166"/>
      <c r="K172" s="166"/>
      <c r="L172" s="166"/>
      <c r="M172" s="166"/>
      <c r="N172" s="166"/>
      <c r="O172" s="166"/>
      <c r="P172" s="166"/>
      <c r="Q172" s="166"/>
      <c r="R172" s="166"/>
      <c r="S172" s="447"/>
      <c r="T172" s="166"/>
      <c r="U172" s="166"/>
      <c r="W172" s="411"/>
      <c r="X172" s="411"/>
    </row>
    <row r="174" spans="1:37" ht="18" customHeight="1">
      <c r="A174" s="166"/>
      <c r="B174" s="166"/>
      <c r="C174" s="166"/>
      <c r="D174" s="166"/>
      <c r="E174" s="166"/>
      <c r="F174" s="166"/>
      <c r="G174" s="166"/>
      <c r="H174" s="166"/>
      <c r="I174" s="166"/>
      <c r="J174" s="166"/>
      <c r="K174" s="166"/>
      <c r="L174" s="166"/>
      <c r="M174" s="166"/>
      <c r="N174" s="166"/>
      <c r="O174" s="166"/>
      <c r="P174" s="166"/>
      <c r="Q174" s="166"/>
      <c r="R174" s="166"/>
      <c r="S174" s="447"/>
      <c r="T174" s="166"/>
      <c r="U174" s="166"/>
    </row>
  </sheetData>
  <mergeCells count="10">
    <mergeCell ref="S1:S2"/>
    <mergeCell ref="T1:U1"/>
    <mergeCell ref="V1:AG1"/>
    <mergeCell ref="AD2:AE2"/>
    <mergeCell ref="AF2:AG2"/>
    <mergeCell ref="AH2:AI2"/>
    <mergeCell ref="AH1:AI1"/>
    <mergeCell ref="AL1:AP1"/>
    <mergeCell ref="AJ2:AK2"/>
    <mergeCell ref="V2:AC2"/>
  </mergeCells>
  <phoneticPr fontId="2"/>
  <printOptions horizontalCentered="1"/>
  <pageMargins left="0.39370078740157483" right="0.39370078740157483" top="0.39370078740157483" bottom="0.39370078740157483" header="0.19685039370078741" footer="0.19685039370078741"/>
  <pageSetup paperSize="8"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rgb="FFFF0000"/>
  </sheetPr>
  <dimension ref="A1:HH238"/>
  <sheetViews>
    <sheetView zoomScale="80" zoomScaleNormal="80" workbookViewId="0">
      <pane xSplit="2" ySplit="4" topLeftCell="ER36" activePane="bottomRight" state="frozen"/>
      <selection pane="topRight" activeCell="C1" sqref="C1"/>
      <selection pane="bottomLeft" activeCell="A5" sqref="A5"/>
      <selection pane="bottomRight" activeCell="FI42" sqref="FI42"/>
    </sheetView>
  </sheetViews>
  <sheetFormatPr defaultColWidth="8.125" defaultRowHeight="18" customHeight="1"/>
  <cols>
    <col min="1" max="1" width="3.375" style="368" customWidth="1"/>
    <col min="2" max="2" width="33.75" style="368" bestFit="1" customWidth="1"/>
    <col min="3" max="3" width="5.125" style="166" customWidth="1"/>
    <col min="4" max="4" width="38" style="368" customWidth="1"/>
    <col min="5" max="5" width="17" style="368" customWidth="1"/>
    <col min="6" max="7" width="5.875" style="277" customWidth="1"/>
    <col min="8" max="8" width="5.875" style="368" customWidth="1"/>
    <col min="9" max="9" width="46.125" style="368" customWidth="1"/>
    <col min="10" max="11" width="5.5" style="408" customWidth="1"/>
    <col min="12" max="12" width="6.625" style="111" customWidth="1"/>
    <col min="13" max="13" width="8.125" style="409" customWidth="1"/>
    <col min="14" max="17" width="8.125" style="328" customWidth="1"/>
    <col min="18" max="18" width="8.75" style="328" customWidth="1"/>
    <col min="19" max="19" width="9" style="328" customWidth="1"/>
    <col min="20" max="20" width="8.125" style="328" customWidth="1"/>
    <col min="21" max="21" width="9.375" style="328" customWidth="1"/>
    <col min="22" max="22" width="8.125" style="328" customWidth="1"/>
    <col min="23" max="23" width="8.125" style="410" customWidth="1"/>
    <col min="24" max="29" width="8.125" style="328"/>
    <col min="30" max="32" width="15.625" style="328" customWidth="1"/>
    <col min="33" max="34" width="15.5" style="328" customWidth="1"/>
    <col min="35" max="35" width="10.625" style="328" customWidth="1"/>
    <col min="36" max="39" width="9.875" style="328" customWidth="1"/>
    <col min="40" max="40" width="9.625" style="410" customWidth="1"/>
    <col min="41" max="41" width="2" style="27" customWidth="1"/>
    <col min="42" max="43" width="8.125" style="326"/>
    <col min="44" max="47" width="10.625" style="326" customWidth="1"/>
    <col min="48" max="56" width="14.625" style="326" customWidth="1"/>
    <col min="57" max="88" width="12" style="27" customWidth="1"/>
    <col min="89" max="91" width="9.625" style="166" customWidth="1"/>
    <col min="92" max="93" width="4.5" style="166" customWidth="1"/>
    <col min="94" max="94" width="11.25" style="166" customWidth="1"/>
    <col min="95" max="95" width="3.375" style="166" customWidth="1"/>
    <col min="96" max="97" width="3.375" style="2" customWidth="1"/>
    <col min="98" max="101" width="3.375" style="166" customWidth="1"/>
    <col min="102" max="102" width="4.75" style="166" customWidth="1"/>
    <col min="103" max="106" width="4.5" style="166" customWidth="1"/>
    <col min="107" max="107" width="8.875" style="166" customWidth="1"/>
    <col min="108" max="111" width="5.25" style="166" customWidth="1"/>
    <col min="112" max="118" width="6.375" style="166" customWidth="1"/>
    <col min="119" max="124" width="5.25" style="166" customWidth="1"/>
    <col min="125" max="126" width="8.125" style="328" customWidth="1"/>
    <col min="127" max="127" width="10.875" style="166" customWidth="1"/>
    <col min="128" max="129" width="4" style="326" customWidth="1"/>
    <col min="130" max="131" width="4" style="166" customWidth="1"/>
    <col min="132" max="133" width="4" style="414" customWidth="1"/>
    <col min="134" max="144" width="4" style="166" customWidth="1"/>
    <col min="145" max="149" width="8.75" style="174" customWidth="1"/>
    <col min="150" max="150" width="8.25" style="166" customWidth="1"/>
    <col min="151" max="153" width="8.125" style="166"/>
    <col min="154" max="154" width="11.25" style="166" customWidth="1"/>
    <col min="155" max="156" width="8.125" style="166"/>
    <col min="157" max="157" width="13.375" style="166" customWidth="1"/>
    <col min="158" max="161" width="8.125" style="166"/>
    <col min="162" max="168" width="4.625" style="166" customWidth="1"/>
    <col min="169" max="216" width="5.25" style="166" customWidth="1"/>
    <col min="217" max="16384" width="8.125" style="166"/>
  </cols>
  <sheetData>
    <row r="1" spans="1:216" s="230" customFormat="1" ht="18" customHeight="1">
      <c r="A1" s="334"/>
      <c r="B1" s="335"/>
      <c r="C1" s="336" t="s">
        <v>10243</v>
      </c>
      <c r="D1" s="337"/>
      <c r="E1" s="337"/>
      <c r="F1" s="338" t="s">
        <v>10244</v>
      </c>
      <c r="G1" s="338"/>
      <c r="H1" s="338"/>
      <c r="I1" s="339"/>
      <c r="J1" s="340" t="s">
        <v>10245</v>
      </c>
      <c r="K1" s="341"/>
      <c r="L1" s="342"/>
      <c r="M1" s="343" t="s">
        <v>1380</v>
      </c>
      <c r="N1" s="344"/>
      <c r="O1" s="344"/>
      <c r="P1" s="344"/>
      <c r="Q1" s="345"/>
      <c r="R1" s="346" t="s">
        <v>1385</v>
      </c>
      <c r="S1" s="347"/>
      <c r="T1" s="347"/>
      <c r="U1" s="347"/>
      <c r="V1" s="348"/>
      <c r="W1" s="349" t="s">
        <v>10246</v>
      </c>
      <c r="X1" s="350"/>
      <c r="Y1" s="350"/>
      <c r="Z1" s="350"/>
      <c r="AA1" s="350"/>
      <c r="AB1" s="350"/>
      <c r="AC1" s="350"/>
      <c r="AD1" s="350"/>
      <c r="AE1" s="350"/>
      <c r="AF1" s="350"/>
      <c r="AG1" s="350"/>
      <c r="AH1" s="350"/>
      <c r="AI1" s="350"/>
      <c r="AJ1" s="350"/>
      <c r="AK1" s="350"/>
      <c r="AL1" s="350"/>
      <c r="AM1" s="351"/>
      <c r="AN1" s="352"/>
      <c r="AO1" s="684" t="s">
        <v>10247</v>
      </c>
      <c r="AP1" s="675" t="s">
        <v>10248</v>
      </c>
      <c r="AQ1" s="675"/>
      <c r="AR1" s="685" t="s">
        <v>10249</v>
      </c>
      <c r="AS1" s="685"/>
      <c r="AT1" s="685"/>
      <c r="AU1" s="685"/>
      <c r="AV1" s="686" t="s">
        <v>10250</v>
      </c>
      <c r="AW1" s="686"/>
      <c r="AX1" s="686"/>
      <c r="AY1" s="686"/>
      <c r="AZ1" s="686"/>
      <c r="BA1" s="686"/>
      <c r="BB1" s="686"/>
      <c r="BC1" s="686"/>
      <c r="BD1" s="686"/>
      <c r="BE1" s="353" t="s">
        <v>10251</v>
      </c>
      <c r="BF1" s="353"/>
      <c r="BG1" s="353"/>
      <c r="BH1" s="353"/>
      <c r="BI1" s="353"/>
      <c r="BJ1" s="353"/>
      <c r="BK1" s="353"/>
      <c r="BL1" s="353"/>
      <c r="BM1" s="353"/>
      <c r="BN1" s="353"/>
      <c r="BO1" s="353"/>
      <c r="BP1" s="353"/>
      <c r="BQ1" s="353"/>
      <c r="BR1" s="353"/>
      <c r="BS1" s="353"/>
      <c r="BT1" s="353"/>
      <c r="BU1" s="353"/>
      <c r="BV1" s="353"/>
      <c r="BW1" s="353"/>
      <c r="BX1" s="353"/>
      <c r="BY1" s="353"/>
      <c r="BZ1" s="353"/>
      <c r="CA1" s="353"/>
      <c r="CB1" s="353"/>
      <c r="CC1" s="353"/>
      <c r="CD1" s="353"/>
      <c r="CE1" s="353"/>
      <c r="CF1" s="353"/>
      <c r="CG1" s="353"/>
      <c r="CH1" s="690" t="s">
        <v>10252</v>
      </c>
      <c r="CI1" s="690"/>
      <c r="CJ1" s="690"/>
      <c r="CK1" s="689" t="s">
        <v>10253</v>
      </c>
      <c r="CL1" s="689"/>
      <c r="CM1" s="689"/>
      <c r="CN1" s="689"/>
      <c r="CO1" s="689"/>
      <c r="CP1" s="689"/>
      <c r="CQ1" s="689"/>
      <c r="CR1" s="689"/>
      <c r="CS1" s="689"/>
      <c r="CT1" s="689"/>
      <c r="CU1" s="689"/>
      <c r="CV1" s="689"/>
      <c r="CW1" s="689"/>
      <c r="CX1" s="689"/>
      <c r="CY1" s="689"/>
      <c r="CZ1" s="689"/>
      <c r="DA1" s="689"/>
      <c r="DB1" s="689"/>
      <c r="DC1" s="689"/>
      <c r="DD1" s="689"/>
      <c r="DE1" s="689"/>
      <c r="DF1" s="689"/>
      <c r="DG1" s="689"/>
      <c r="DH1" s="689"/>
      <c r="DI1" s="689"/>
      <c r="DJ1" s="689"/>
      <c r="DK1" s="689"/>
      <c r="DL1" s="689"/>
      <c r="DM1" s="689"/>
      <c r="DN1" s="689"/>
      <c r="DO1" s="689"/>
      <c r="DP1" s="689"/>
      <c r="DQ1" s="689"/>
      <c r="DR1" s="689"/>
      <c r="DS1" s="689"/>
      <c r="DT1" s="689"/>
      <c r="DU1" s="689"/>
      <c r="DV1" s="689"/>
      <c r="DW1" s="689"/>
      <c r="DX1" s="675"/>
      <c r="DY1" s="675"/>
      <c r="DZ1" s="675"/>
      <c r="EA1" s="675"/>
      <c r="EB1" s="675"/>
      <c r="EC1" s="675"/>
      <c r="ED1" s="675"/>
      <c r="EE1" s="675"/>
      <c r="EF1" s="675"/>
      <c r="EG1" s="675"/>
      <c r="EH1" s="675"/>
      <c r="EI1" s="675"/>
      <c r="EJ1" s="675"/>
      <c r="EK1" s="675"/>
      <c r="EL1" s="675"/>
      <c r="EM1" s="675"/>
      <c r="EN1" s="675"/>
      <c r="EO1" s="675"/>
      <c r="EP1" s="675"/>
      <c r="EQ1" s="675"/>
      <c r="ER1" s="675"/>
      <c r="ES1" s="675"/>
      <c r="ET1" s="675"/>
      <c r="EU1" s="692" t="s">
        <v>10254</v>
      </c>
      <c r="EV1" s="692"/>
      <c r="EW1" s="692"/>
      <c r="EX1" s="692"/>
      <c r="EY1" s="692"/>
      <c r="EZ1" s="692"/>
      <c r="FA1" s="692"/>
      <c r="FB1" s="692"/>
      <c r="FC1" s="693" t="s">
        <v>10255</v>
      </c>
      <c r="FD1" s="693"/>
      <c r="FE1" s="693"/>
      <c r="FF1" s="673" t="s">
        <v>10256</v>
      </c>
      <c r="FG1" s="673"/>
      <c r="FH1" s="673"/>
      <c r="FI1" s="673"/>
      <c r="FJ1" s="673"/>
      <c r="FK1" s="673"/>
      <c r="FL1" s="673"/>
      <c r="FM1" s="673" t="s">
        <v>10257</v>
      </c>
      <c r="FN1" s="673"/>
      <c r="FO1" s="673"/>
      <c r="FP1" s="673"/>
      <c r="FQ1" s="673"/>
      <c r="FR1" s="673"/>
      <c r="FS1" s="673"/>
      <c r="FT1" s="673"/>
      <c r="FU1" s="673"/>
      <c r="FV1" s="673"/>
      <c r="FW1" s="673"/>
      <c r="FX1" s="673"/>
      <c r="FY1" s="673"/>
      <c r="FZ1" s="673"/>
      <c r="GA1" s="673"/>
      <c r="GB1" s="673"/>
      <c r="GC1" s="673"/>
      <c r="GD1" s="673"/>
      <c r="GE1" s="673"/>
      <c r="GF1" s="673"/>
      <c r="GG1" s="673"/>
      <c r="GH1" s="673"/>
      <c r="GI1" s="673"/>
      <c r="GJ1" s="673"/>
      <c r="GK1" s="673"/>
      <c r="GL1" s="673"/>
      <c r="GM1" s="673"/>
      <c r="GN1" s="673"/>
      <c r="GO1" s="673"/>
      <c r="GP1" s="673"/>
      <c r="GQ1" s="673"/>
      <c r="GR1" s="673"/>
      <c r="GS1" s="673"/>
      <c r="GT1" s="673"/>
      <c r="GU1" s="673"/>
      <c r="GV1" s="673"/>
      <c r="GW1" s="673"/>
      <c r="GX1" s="673"/>
      <c r="GY1" s="673"/>
      <c r="GZ1" s="673"/>
      <c r="HA1" s="673"/>
      <c r="HB1" s="673"/>
      <c r="HC1" s="673"/>
      <c r="HD1" s="673"/>
      <c r="HE1" s="673"/>
      <c r="HF1" s="673"/>
      <c r="HG1" s="673"/>
      <c r="HH1" s="673"/>
    </row>
    <row r="2" spans="1:216" s="368" customFormat="1" ht="42" customHeight="1">
      <c r="A2" s="354" t="s">
        <v>10258</v>
      </c>
      <c r="B2" s="354" t="s">
        <v>10259</v>
      </c>
      <c r="C2" s="355" t="s">
        <v>10260</v>
      </c>
      <c r="D2" s="355" t="s">
        <v>10261</v>
      </c>
      <c r="E2" s="355" t="s">
        <v>2760</v>
      </c>
      <c r="F2" s="356" t="s">
        <v>10262</v>
      </c>
      <c r="G2" s="357" t="s">
        <v>10263</v>
      </c>
      <c r="H2" s="354" t="s">
        <v>10264</v>
      </c>
      <c r="I2" s="354" t="s">
        <v>10265</v>
      </c>
      <c r="J2" s="358" t="s">
        <v>10266</v>
      </c>
      <c r="K2" s="358" t="s">
        <v>10267</v>
      </c>
      <c r="L2" s="358" t="s">
        <v>10268</v>
      </c>
      <c r="M2" s="358" t="s">
        <v>324</v>
      </c>
      <c r="N2" s="358" t="s">
        <v>325</v>
      </c>
      <c r="O2" s="358" t="s">
        <v>326</v>
      </c>
      <c r="P2" s="358" t="s">
        <v>10269</v>
      </c>
      <c r="Q2" s="358"/>
      <c r="R2" s="358" t="s">
        <v>10020</v>
      </c>
      <c r="S2" s="358" t="s">
        <v>10270</v>
      </c>
      <c r="T2" s="358" t="s">
        <v>10021</v>
      </c>
      <c r="U2" s="358" t="s">
        <v>10022</v>
      </c>
      <c r="V2" s="358"/>
      <c r="W2" s="358" t="s">
        <v>10271</v>
      </c>
      <c r="X2" s="358" t="s">
        <v>10272</v>
      </c>
      <c r="Y2" s="358" t="s">
        <v>1401</v>
      </c>
      <c r="Z2" s="359" t="s">
        <v>10273</v>
      </c>
      <c r="AA2" s="359" t="s">
        <v>10274</v>
      </c>
      <c r="AB2" s="359" t="s">
        <v>10275</v>
      </c>
      <c r="AC2" s="359" t="s">
        <v>10276</v>
      </c>
      <c r="AD2" s="360" t="s">
        <v>10277</v>
      </c>
      <c r="AE2" s="360" t="s">
        <v>10278</v>
      </c>
      <c r="AF2" s="360" t="s">
        <v>10279</v>
      </c>
      <c r="AG2" s="359" t="s">
        <v>327</v>
      </c>
      <c r="AH2" s="358" t="s">
        <v>10280</v>
      </c>
      <c r="AI2" s="508" t="s">
        <v>10281</v>
      </c>
      <c r="AJ2" s="499" t="s">
        <v>10282</v>
      </c>
      <c r="AK2" s="499"/>
      <c r="AL2" s="358" t="s">
        <v>10283</v>
      </c>
      <c r="AM2" s="358" t="s">
        <v>10284</v>
      </c>
      <c r="AN2" s="362"/>
      <c r="AO2" s="684"/>
      <c r="AP2" s="358" t="s">
        <v>10285</v>
      </c>
      <c r="AQ2" s="358" t="s">
        <v>10286</v>
      </c>
      <c r="AR2" s="358" t="s">
        <v>10287</v>
      </c>
      <c r="AS2" s="358" t="s">
        <v>10288</v>
      </c>
      <c r="AT2" s="359" t="s">
        <v>328</v>
      </c>
      <c r="AU2" s="358" t="s">
        <v>4305</v>
      </c>
      <c r="AV2" s="359" t="s">
        <v>10289</v>
      </c>
      <c r="AW2" s="359" t="s">
        <v>10290</v>
      </c>
      <c r="AX2" s="359" t="s">
        <v>10291</v>
      </c>
      <c r="AY2" s="359" t="s">
        <v>10292</v>
      </c>
      <c r="AZ2" s="359" t="s">
        <v>10293</v>
      </c>
      <c r="BA2" s="359" t="s">
        <v>10294</v>
      </c>
      <c r="BB2" s="359" t="s">
        <v>10295</v>
      </c>
      <c r="BC2" s="359" t="s">
        <v>10296</v>
      </c>
      <c r="BD2" s="359" t="s">
        <v>10297</v>
      </c>
      <c r="BE2" s="688" t="s">
        <v>10298</v>
      </c>
      <c r="BF2" s="688"/>
      <c r="BG2" s="688"/>
      <c r="BH2" s="688"/>
      <c r="BI2" s="688"/>
      <c r="BJ2" s="688"/>
      <c r="BK2" s="688"/>
      <c r="BL2" s="688"/>
      <c r="BM2" s="688"/>
      <c r="BN2" s="688"/>
      <c r="BO2" s="688"/>
      <c r="BP2" s="688"/>
      <c r="BQ2" s="688"/>
      <c r="BR2" s="688"/>
      <c r="BS2" s="688"/>
      <c r="BT2" s="688"/>
      <c r="BU2" s="688"/>
      <c r="BV2" s="688"/>
      <c r="BW2" s="688"/>
      <c r="BX2" s="688"/>
      <c r="BY2" s="688"/>
      <c r="BZ2" s="688"/>
      <c r="CA2" s="688"/>
      <c r="CB2" s="688"/>
      <c r="CC2" s="688"/>
      <c r="CD2" s="688"/>
      <c r="CE2" s="688"/>
      <c r="CF2" s="688"/>
      <c r="CG2" s="688"/>
      <c r="CH2" s="361"/>
      <c r="CI2" s="361"/>
      <c r="CJ2" s="361"/>
      <c r="CK2" s="678" t="s">
        <v>10299</v>
      </c>
      <c r="CL2" s="678"/>
      <c r="CM2" s="678"/>
      <c r="CN2" s="678" t="s">
        <v>10300</v>
      </c>
      <c r="CO2" s="678"/>
      <c r="CP2" s="363" t="s">
        <v>10301</v>
      </c>
      <c r="CQ2" s="687" t="s">
        <v>10302</v>
      </c>
      <c r="CR2" s="687"/>
      <c r="CS2" s="687"/>
      <c r="CT2" s="687"/>
      <c r="CU2" s="687"/>
      <c r="CV2" s="687"/>
      <c r="CW2" s="687"/>
      <c r="CX2" s="687"/>
      <c r="CY2" s="678" t="s">
        <v>10303</v>
      </c>
      <c r="CZ2" s="678"/>
      <c r="DA2" s="678" t="s">
        <v>10304</v>
      </c>
      <c r="DB2" s="678"/>
      <c r="DC2" s="363" t="s">
        <v>10305</v>
      </c>
      <c r="DD2" s="671" t="s">
        <v>1542</v>
      </c>
      <c r="DE2" s="671"/>
      <c r="DF2" s="671" t="s">
        <v>10306</v>
      </c>
      <c r="DG2" s="671"/>
      <c r="DH2" s="681" t="s">
        <v>11134</v>
      </c>
      <c r="DI2" s="682"/>
      <c r="DJ2" s="683"/>
      <c r="DK2" s="515"/>
      <c r="DL2" s="671" t="s">
        <v>1955</v>
      </c>
      <c r="DM2" s="671"/>
      <c r="DN2" s="515"/>
      <c r="DO2" s="679" t="s">
        <v>10307</v>
      </c>
      <c r="DP2" s="679"/>
      <c r="DQ2" s="691" t="s">
        <v>10308</v>
      </c>
      <c r="DR2" s="679"/>
      <c r="DS2" s="679" t="s">
        <v>10309</v>
      </c>
      <c r="DT2" s="679"/>
      <c r="DU2" s="680" t="s">
        <v>10310</v>
      </c>
      <c r="DV2" s="680"/>
      <c r="DW2" s="363"/>
      <c r="DX2" s="678" t="s">
        <v>10311</v>
      </c>
      <c r="DY2" s="678"/>
      <c r="DZ2" s="678" t="s">
        <v>10312</v>
      </c>
      <c r="EA2" s="678"/>
      <c r="EB2" s="694" t="s">
        <v>10313</v>
      </c>
      <c r="EC2" s="694"/>
      <c r="ED2" s="678" t="s">
        <v>10314</v>
      </c>
      <c r="EE2" s="678"/>
      <c r="EF2" s="678" t="s">
        <v>10315</v>
      </c>
      <c r="EG2" s="678"/>
      <c r="EH2" s="678" t="s">
        <v>10316</v>
      </c>
      <c r="EI2" s="678"/>
      <c r="EJ2" s="678" t="s">
        <v>10317</v>
      </c>
      <c r="EK2" s="678"/>
      <c r="EL2" s="678" t="s">
        <v>2990</v>
      </c>
      <c r="EM2" s="678"/>
      <c r="EN2" s="363"/>
      <c r="EO2" s="366" t="s">
        <v>10318</v>
      </c>
      <c r="EP2" s="366"/>
      <c r="EQ2" s="366"/>
      <c r="ER2" s="366"/>
      <c r="ES2" s="366"/>
      <c r="ET2" s="363"/>
      <c r="EU2" s="364" t="s">
        <v>10319</v>
      </c>
      <c r="EV2" s="364" t="s">
        <v>10320</v>
      </c>
      <c r="EW2" s="364" t="s">
        <v>4486</v>
      </c>
      <c r="EX2" s="364" t="s">
        <v>10321</v>
      </c>
      <c r="EY2" s="364" t="s">
        <v>10322</v>
      </c>
      <c r="EZ2" s="364" t="s">
        <v>10323</v>
      </c>
      <c r="FA2" s="364" t="s">
        <v>10324</v>
      </c>
      <c r="FB2" s="364" t="s">
        <v>4305</v>
      </c>
      <c r="FC2" s="364" t="s">
        <v>4352</v>
      </c>
      <c r="FD2" s="364" t="s">
        <v>10325</v>
      </c>
      <c r="FE2" s="364" t="s">
        <v>10326</v>
      </c>
      <c r="FF2" s="354" t="s">
        <v>9530</v>
      </c>
      <c r="FG2" s="354" t="s">
        <v>9531</v>
      </c>
      <c r="FH2" s="354" t="s">
        <v>9532</v>
      </c>
      <c r="FI2" s="354" t="s">
        <v>9533</v>
      </c>
      <c r="FJ2" s="354" t="s">
        <v>9534</v>
      </c>
      <c r="FK2" s="354"/>
      <c r="FL2" s="354"/>
      <c r="FM2" s="367" t="s">
        <v>10327</v>
      </c>
      <c r="FN2" s="367" t="s">
        <v>10328</v>
      </c>
      <c r="FO2" s="367" t="s">
        <v>10329</v>
      </c>
      <c r="FP2" s="367" t="s">
        <v>10330</v>
      </c>
      <c r="FQ2" s="367" t="s">
        <v>10331</v>
      </c>
      <c r="FR2" s="367" t="s">
        <v>10332</v>
      </c>
      <c r="FS2" s="367" t="s">
        <v>10333</v>
      </c>
      <c r="FT2" s="367" t="s">
        <v>10334</v>
      </c>
      <c r="FU2" s="367" t="s">
        <v>10335</v>
      </c>
      <c r="FV2" s="367" t="s">
        <v>10336</v>
      </c>
      <c r="FW2" s="367" t="s">
        <v>10337</v>
      </c>
      <c r="FX2" s="367" t="s">
        <v>10338</v>
      </c>
      <c r="FY2" s="367" t="s">
        <v>10339</v>
      </c>
      <c r="FZ2" s="367" t="s">
        <v>10340</v>
      </c>
      <c r="GA2" s="367" t="s">
        <v>10341</v>
      </c>
      <c r="GB2" s="367" t="s">
        <v>10342</v>
      </c>
      <c r="GC2" s="367" t="s">
        <v>10343</v>
      </c>
      <c r="GD2" s="367" t="s">
        <v>10344</v>
      </c>
      <c r="GE2" s="367" t="s">
        <v>10345</v>
      </c>
      <c r="GF2" s="367" t="s">
        <v>10346</v>
      </c>
      <c r="GG2" s="367" t="s">
        <v>10347</v>
      </c>
      <c r="GH2" s="367" t="s">
        <v>10348</v>
      </c>
      <c r="GI2" s="367" t="s">
        <v>10349</v>
      </c>
      <c r="GJ2" s="367" t="s">
        <v>10350</v>
      </c>
      <c r="GK2" s="367" t="s">
        <v>10351</v>
      </c>
      <c r="GL2" s="367" t="s">
        <v>10352</v>
      </c>
      <c r="GM2" s="367" t="s">
        <v>10353</v>
      </c>
      <c r="GN2" s="367" t="s">
        <v>10354</v>
      </c>
      <c r="GO2" s="367" t="s">
        <v>10355</v>
      </c>
      <c r="GP2" s="367" t="s">
        <v>10356</v>
      </c>
      <c r="GQ2" s="367" t="s">
        <v>10357</v>
      </c>
      <c r="GR2" s="367" t="s">
        <v>10358</v>
      </c>
      <c r="GS2" s="367" t="s">
        <v>10359</v>
      </c>
      <c r="GT2" s="367" t="s">
        <v>10360</v>
      </c>
      <c r="GU2" s="367" t="s">
        <v>10361</v>
      </c>
      <c r="GV2" s="367" t="s">
        <v>10362</v>
      </c>
      <c r="GW2" s="367" t="s">
        <v>10363</v>
      </c>
      <c r="GX2" s="367" t="s">
        <v>10364</v>
      </c>
      <c r="GY2" s="367" t="s">
        <v>10365</v>
      </c>
      <c r="GZ2" s="367" t="s">
        <v>10366</v>
      </c>
      <c r="HA2" s="367" t="s">
        <v>10367</v>
      </c>
      <c r="HB2" s="367" t="s">
        <v>10368</v>
      </c>
      <c r="HC2" s="367" t="s">
        <v>10369</v>
      </c>
      <c r="HD2" s="367" t="s">
        <v>10370</v>
      </c>
      <c r="HE2" s="367" t="s">
        <v>10371</v>
      </c>
      <c r="HF2" s="367" t="s">
        <v>10372</v>
      </c>
      <c r="HG2" s="367" t="s">
        <v>10373</v>
      </c>
      <c r="HH2" s="354" t="s">
        <v>10374</v>
      </c>
    </row>
    <row r="3" spans="1:216" s="368" customFormat="1" ht="42" customHeight="1">
      <c r="A3" s="369"/>
      <c r="B3" s="354"/>
      <c r="C3" s="354"/>
      <c r="D3" s="354"/>
      <c r="E3" s="354"/>
      <c r="F3" s="370"/>
      <c r="G3" s="370"/>
      <c r="H3" s="354"/>
      <c r="I3" s="354"/>
      <c r="J3" s="358"/>
      <c r="K3" s="358"/>
      <c r="L3" s="358"/>
      <c r="M3" s="358"/>
      <c r="N3" s="358"/>
      <c r="O3" s="358"/>
      <c r="P3" s="358"/>
      <c r="Q3" s="358"/>
      <c r="R3" s="358"/>
      <c r="S3" s="358"/>
      <c r="T3" s="358"/>
      <c r="U3" s="358"/>
      <c r="V3" s="358"/>
      <c r="W3" s="358"/>
      <c r="X3" s="358"/>
      <c r="Y3" s="358"/>
      <c r="Z3" s="358"/>
      <c r="AA3" s="358"/>
      <c r="AB3" s="358" t="s">
        <v>10375</v>
      </c>
      <c r="AC3" s="358"/>
      <c r="AD3" s="371"/>
      <c r="AE3" s="371"/>
      <c r="AF3" s="371"/>
      <c r="AG3" s="358"/>
      <c r="AH3" s="358"/>
      <c r="AI3" s="358"/>
      <c r="AJ3" s="358" t="s">
        <v>10925</v>
      </c>
      <c r="AK3" s="358" t="s">
        <v>10926</v>
      </c>
      <c r="AL3" s="358"/>
      <c r="AM3" s="358"/>
      <c r="AN3" s="358"/>
      <c r="AO3" s="372"/>
      <c r="AP3" s="358"/>
      <c r="AQ3" s="358"/>
      <c r="AR3" s="358"/>
      <c r="AS3" s="358"/>
      <c r="AT3" s="358"/>
      <c r="AU3" s="358"/>
      <c r="AV3" s="359" t="s">
        <v>10376</v>
      </c>
      <c r="AW3" s="359" t="s">
        <v>10377</v>
      </c>
      <c r="AX3" s="359" t="s">
        <v>10378</v>
      </c>
      <c r="AY3" s="359" t="s">
        <v>10379</v>
      </c>
      <c r="AZ3" s="359" t="s">
        <v>10380</v>
      </c>
      <c r="BA3" s="359" t="s">
        <v>10381</v>
      </c>
      <c r="BB3" s="359" t="s">
        <v>10382</v>
      </c>
      <c r="BC3" s="359" t="s">
        <v>10383</v>
      </c>
      <c r="BD3" s="359" t="s">
        <v>10384</v>
      </c>
      <c r="BE3" s="361" t="s">
        <v>10385</v>
      </c>
      <c r="BF3" s="361" t="s">
        <v>10386</v>
      </c>
      <c r="BG3" s="361" t="s">
        <v>10387</v>
      </c>
      <c r="BH3" s="361" t="s">
        <v>10388</v>
      </c>
      <c r="BI3" s="361" t="s">
        <v>10389</v>
      </c>
      <c r="BJ3" s="361" t="s">
        <v>10390</v>
      </c>
      <c r="BK3" s="361" t="s">
        <v>10391</v>
      </c>
      <c r="BL3" s="361" t="s">
        <v>10392</v>
      </c>
      <c r="BM3" s="361" t="s">
        <v>10393</v>
      </c>
      <c r="BN3" s="361" t="s">
        <v>10394</v>
      </c>
      <c r="BO3" s="361" t="s">
        <v>10395</v>
      </c>
      <c r="BP3" s="361" t="s">
        <v>10396</v>
      </c>
      <c r="BQ3" s="361" t="s">
        <v>10397</v>
      </c>
      <c r="BR3" s="361" t="s">
        <v>10398</v>
      </c>
      <c r="BS3" s="361" t="s">
        <v>10399</v>
      </c>
      <c r="BT3" s="361" t="s">
        <v>10400</v>
      </c>
      <c r="BU3" s="361" t="s">
        <v>10401</v>
      </c>
      <c r="BV3" s="361" t="s">
        <v>10402</v>
      </c>
      <c r="BW3" s="361" t="s">
        <v>10403</v>
      </c>
      <c r="BX3" s="361" t="s">
        <v>10404</v>
      </c>
      <c r="BY3" s="361" t="s">
        <v>10405</v>
      </c>
      <c r="BZ3" s="361" t="s">
        <v>10406</v>
      </c>
      <c r="CA3" s="361" t="s">
        <v>10407</v>
      </c>
      <c r="CB3" s="361" t="s">
        <v>10408</v>
      </c>
      <c r="CC3" s="361" t="s">
        <v>10409</v>
      </c>
      <c r="CD3" s="361" t="s">
        <v>10410</v>
      </c>
      <c r="CE3" s="361" t="s">
        <v>10411</v>
      </c>
      <c r="CF3" s="361" t="s">
        <v>10412</v>
      </c>
      <c r="CG3" s="361" t="s">
        <v>10413</v>
      </c>
      <c r="CH3" s="361" t="s">
        <v>10414</v>
      </c>
      <c r="CI3" s="361" t="s">
        <v>10415</v>
      </c>
      <c r="CJ3" s="361" t="s">
        <v>10416</v>
      </c>
      <c r="CK3" s="373" t="s">
        <v>10417</v>
      </c>
      <c r="CL3" s="354" t="s">
        <v>10418</v>
      </c>
      <c r="CM3" s="354" t="s">
        <v>4345</v>
      </c>
      <c r="CN3" s="354" t="s">
        <v>10419</v>
      </c>
      <c r="CO3" s="354" t="s">
        <v>10420</v>
      </c>
      <c r="CP3" s="354" t="s">
        <v>4254</v>
      </c>
      <c r="CQ3" s="354" t="s">
        <v>10421</v>
      </c>
      <c r="CR3" s="374" t="s">
        <v>10422</v>
      </c>
      <c r="CS3" s="374" t="s">
        <v>10423</v>
      </c>
      <c r="CT3" s="354" t="s">
        <v>10424</v>
      </c>
      <c r="CU3" s="354" t="s">
        <v>10425</v>
      </c>
      <c r="CV3" s="354" t="s">
        <v>10426</v>
      </c>
      <c r="CW3" s="354" t="s">
        <v>10427</v>
      </c>
      <c r="CX3" s="354" t="s">
        <v>10428</v>
      </c>
      <c r="CY3" s="354" t="s">
        <v>10429</v>
      </c>
      <c r="CZ3" s="354" t="s">
        <v>10430</v>
      </c>
      <c r="DA3" s="354" t="s">
        <v>10429</v>
      </c>
      <c r="DB3" s="354" t="s">
        <v>10430</v>
      </c>
      <c r="DC3" s="354" t="s">
        <v>10431</v>
      </c>
      <c r="DD3" s="366" t="s">
        <v>10432</v>
      </c>
      <c r="DE3" s="366" t="s">
        <v>10433</v>
      </c>
      <c r="DF3" s="366" t="s">
        <v>10432</v>
      </c>
      <c r="DG3" s="366" t="s">
        <v>10433</v>
      </c>
      <c r="DH3" s="515" t="s">
        <v>11135</v>
      </c>
      <c r="DI3" s="515" t="s">
        <v>11739</v>
      </c>
      <c r="DJ3" s="647" t="s">
        <v>11738</v>
      </c>
      <c r="DK3" s="515" t="s">
        <v>10428</v>
      </c>
      <c r="DL3" s="515" t="s">
        <v>11135</v>
      </c>
      <c r="DM3" s="515" t="s">
        <v>11136</v>
      </c>
      <c r="DN3" s="515" t="s">
        <v>10428</v>
      </c>
      <c r="DO3" s="366" t="s">
        <v>10432</v>
      </c>
      <c r="DP3" s="366" t="s">
        <v>10433</v>
      </c>
      <c r="DQ3" s="366" t="s">
        <v>10432</v>
      </c>
      <c r="DR3" s="366" t="s">
        <v>10433</v>
      </c>
      <c r="DS3" s="366" t="s">
        <v>10432</v>
      </c>
      <c r="DT3" s="366" t="s">
        <v>10433</v>
      </c>
      <c r="DU3" s="375" t="s">
        <v>10434</v>
      </c>
      <c r="DV3" s="375" t="s">
        <v>10435</v>
      </c>
      <c r="DW3" s="376"/>
      <c r="DX3" s="358" t="s">
        <v>10432</v>
      </c>
      <c r="DY3" s="358" t="s">
        <v>10433</v>
      </c>
      <c r="DZ3" s="358" t="s">
        <v>10432</v>
      </c>
      <c r="EA3" s="358" t="s">
        <v>10433</v>
      </c>
      <c r="EB3" s="377" t="s">
        <v>10432</v>
      </c>
      <c r="EC3" s="377" t="s">
        <v>10433</v>
      </c>
      <c r="ED3" s="358" t="s">
        <v>10432</v>
      </c>
      <c r="EE3" s="358" t="s">
        <v>10433</v>
      </c>
      <c r="EF3" s="358" t="s">
        <v>10432</v>
      </c>
      <c r="EG3" s="358" t="s">
        <v>10433</v>
      </c>
      <c r="EH3" s="358" t="s">
        <v>10432</v>
      </c>
      <c r="EI3" s="358" t="s">
        <v>10433</v>
      </c>
      <c r="EJ3" s="358" t="s">
        <v>10432</v>
      </c>
      <c r="EK3" s="358" t="s">
        <v>10433</v>
      </c>
      <c r="EL3" s="358" t="s">
        <v>10432</v>
      </c>
      <c r="EM3" s="358" t="s">
        <v>10433</v>
      </c>
      <c r="EN3" s="358"/>
      <c r="EO3" s="358" t="s">
        <v>10436</v>
      </c>
      <c r="EP3" s="358" t="s">
        <v>10437</v>
      </c>
      <c r="EQ3" s="358" t="s">
        <v>10438</v>
      </c>
      <c r="ER3" s="358" t="s">
        <v>10439</v>
      </c>
      <c r="ES3" s="358" t="s">
        <v>10440</v>
      </c>
      <c r="ET3" s="354"/>
      <c r="EU3" s="354"/>
      <c r="EV3" s="354"/>
      <c r="EW3" s="354"/>
      <c r="EX3" s="354"/>
      <c r="EY3" s="354"/>
      <c r="EZ3" s="354"/>
      <c r="FA3" s="354"/>
      <c r="FB3" s="354"/>
      <c r="FC3" s="354"/>
      <c r="FD3" s="354"/>
      <c r="FE3" s="354"/>
      <c r="FF3" s="354"/>
      <c r="FG3" s="354"/>
      <c r="FH3" s="354"/>
      <c r="FI3" s="354"/>
      <c r="FJ3" s="354"/>
      <c r="FK3" s="354"/>
      <c r="FL3" s="354"/>
      <c r="FM3" s="365"/>
      <c r="FN3" s="365"/>
      <c r="FO3" s="365"/>
      <c r="FP3" s="365"/>
      <c r="FQ3" s="365"/>
      <c r="FR3" s="365"/>
      <c r="FS3" s="365"/>
      <c r="FT3" s="365"/>
      <c r="FU3" s="365"/>
      <c r="FV3" s="365"/>
      <c r="FW3" s="365"/>
      <c r="FX3" s="365"/>
      <c r="FY3" s="365"/>
      <c r="FZ3" s="365"/>
      <c r="GA3" s="365"/>
      <c r="GB3" s="365"/>
      <c r="GC3" s="365"/>
      <c r="GD3" s="365"/>
      <c r="GE3" s="365"/>
      <c r="GF3" s="365"/>
      <c r="GG3" s="365"/>
      <c r="GH3" s="365"/>
      <c r="GI3" s="365"/>
      <c r="GJ3" s="365"/>
      <c r="GK3" s="365"/>
      <c r="GL3" s="365"/>
      <c r="GM3" s="365"/>
      <c r="GN3" s="365"/>
      <c r="GO3" s="365"/>
      <c r="GP3" s="365"/>
      <c r="GQ3" s="365"/>
      <c r="GR3" s="365"/>
      <c r="GS3" s="365"/>
      <c r="GT3" s="365"/>
      <c r="GU3" s="365"/>
      <c r="GV3" s="365"/>
      <c r="GW3" s="365"/>
      <c r="GX3" s="365"/>
      <c r="GY3" s="365"/>
      <c r="GZ3" s="365"/>
      <c r="HA3" s="365"/>
      <c r="HB3" s="365"/>
      <c r="HC3" s="365"/>
      <c r="HD3" s="365"/>
      <c r="HE3" s="365"/>
      <c r="HF3" s="365"/>
      <c r="HG3" s="365"/>
      <c r="HH3" s="354"/>
    </row>
    <row r="4" spans="1:216" s="380" customFormat="1" ht="42" customHeight="1">
      <c r="A4" s="365"/>
      <c r="B4" s="365"/>
      <c r="C4" s="365"/>
      <c r="D4" s="365"/>
      <c r="E4" s="365"/>
      <c r="F4" s="365" t="s">
        <v>10441</v>
      </c>
      <c r="G4" s="365" t="s">
        <v>10442</v>
      </c>
      <c r="H4" s="365"/>
      <c r="I4" s="365"/>
      <c r="J4" s="365"/>
      <c r="K4" s="365"/>
      <c r="L4" s="365"/>
      <c r="M4" s="365" t="s">
        <v>10443</v>
      </c>
      <c r="N4" s="365" t="s">
        <v>10444</v>
      </c>
      <c r="O4" s="365" t="s">
        <v>10445</v>
      </c>
      <c r="P4" s="365"/>
      <c r="Q4" s="365"/>
      <c r="R4" s="365" t="s">
        <v>10446</v>
      </c>
      <c r="S4" s="365" t="s">
        <v>10447</v>
      </c>
      <c r="T4" s="365" t="s">
        <v>10448</v>
      </c>
      <c r="U4" s="365" t="s">
        <v>10449</v>
      </c>
      <c r="V4" s="365"/>
      <c r="W4" s="365" t="s">
        <v>10450</v>
      </c>
      <c r="X4" s="365" t="s">
        <v>10451</v>
      </c>
      <c r="Y4" s="365" t="s">
        <v>10452</v>
      </c>
      <c r="Z4" s="365" t="s">
        <v>10453</v>
      </c>
      <c r="AA4" s="365" t="s">
        <v>10454</v>
      </c>
      <c r="AB4" s="365" t="s">
        <v>10455</v>
      </c>
      <c r="AC4" s="365" t="s">
        <v>10456</v>
      </c>
      <c r="AD4" s="365" t="s">
        <v>10457</v>
      </c>
      <c r="AE4" s="365" t="s">
        <v>10458</v>
      </c>
      <c r="AF4" s="365" t="s">
        <v>10459</v>
      </c>
      <c r="AG4" s="365" t="s">
        <v>10460</v>
      </c>
      <c r="AH4" s="365" t="s">
        <v>10461</v>
      </c>
      <c r="AI4" s="365" t="s">
        <v>10462</v>
      </c>
      <c r="AJ4" s="365" t="s">
        <v>10923</v>
      </c>
      <c r="AK4" s="365" t="s">
        <v>10924</v>
      </c>
      <c r="AL4" s="378" t="s">
        <v>10463</v>
      </c>
      <c r="AM4" s="378" t="s">
        <v>10464</v>
      </c>
      <c r="AN4" s="365"/>
      <c r="AO4" s="379"/>
      <c r="AP4" s="365" t="s">
        <v>10465</v>
      </c>
      <c r="AQ4" s="365" t="s">
        <v>10466</v>
      </c>
      <c r="AR4" s="365" t="s">
        <v>10467</v>
      </c>
      <c r="AS4" s="365" t="s">
        <v>10468</v>
      </c>
      <c r="AT4" s="365" t="s">
        <v>10469</v>
      </c>
      <c r="AU4" s="365" t="s">
        <v>10470</v>
      </c>
      <c r="AV4" s="365" t="s">
        <v>10471</v>
      </c>
      <c r="AW4" s="365" t="s">
        <v>10472</v>
      </c>
      <c r="AX4" s="365" t="s">
        <v>10473</v>
      </c>
      <c r="AY4" s="365" t="s">
        <v>10474</v>
      </c>
      <c r="AZ4" s="365" t="s">
        <v>10475</v>
      </c>
      <c r="BA4" s="365" t="s">
        <v>10476</v>
      </c>
      <c r="BB4" s="365" t="s">
        <v>10477</v>
      </c>
      <c r="BC4" s="365" t="s">
        <v>10478</v>
      </c>
      <c r="BD4" s="365" t="s">
        <v>10479</v>
      </c>
      <c r="BE4" s="365" t="s">
        <v>10480</v>
      </c>
      <c r="BF4" s="365" t="s">
        <v>10481</v>
      </c>
      <c r="BG4" s="365" t="s">
        <v>10482</v>
      </c>
      <c r="BH4" s="365" t="s">
        <v>10483</v>
      </c>
      <c r="BI4" s="365" t="s">
        <v>10484</v>
      </c>
      <c r="BJ4" s="365" t="s">
        <v>10485</v>
      </c>
      <c r="BK4" s="365" t="s">
        <v>10486</v>
      </c>
      <c r="BL4" s="365" t="s">
        <v>10487</v>
      </c>
      <c r="BM4" s="365" t="s">
        <v>10488</v>
      </c>
      <c r="BN4" s="365" t="s">
        <v>10489</v>
      </c>
      <c r="BO4" s="365" t="s">
        <v>10490</v>
      </c>
      <c r="BP4" s="365" t="s">
        <v>10491</v>
      </c>
      <c r="BQ4" s="365" t="s">
        <v>10492</v>
      </c>
      <c r="BR4" s="365" t="s">
        <v>10493</v>
      </c>
      <c r="BS4" s="365" t="s">
        <v>10494</v>
      </c>
      <c r="BT4" s="365" t="s">
        <v>10495</v>
      </c>
      <c r="BU4" s="365" t="s">
        <v>10496</v>
      </c>
      <c r="BV4" s="365" t="s">
        <v>10497</v>
      </c>
      <c r="BW4" s="365" t="s">
        <v>10498</v>
      </c>
      <c r="BX4" s="365" t="s">
        <v>10499</v>
      </c>
      <c r="BY4" s="365" t="s">
        <v>10500</v>
      </c>
      <c r="BZ4" s="365" t="s">
        <v>10501</v>
      </c>
      <c r="CA4" s="365" t="s">
        <v>10502</v>
      </c>
      <c r="CB4" s="365" t="s">
        <v>10503</v>
      </c>
      <c r="CC4" s="365" t="s">
        <v>10504</v>
      </c>
      <c r="CD4" s="365" t="s">
        <v>10505</v>
      </c>
      <c r="CE4" s="365" t="s">
        <v>10506</v>
      </c>
      <c r="CF4" s="365" t="s">
        <v>10507</v>
      </c>
      <c r="CG4" s="365" t="s">
        <v>10508</v>
      </c>
      <c r="CH4" s="365" t="s">
        <v>10509</v>
      </c>
      <c r="CI4" s="365" t="s">
        <v>10510</v>
      </c>
      <c r="CJ4" s="365" t="s">
        <v>10511</v>
      </c>
      <c r="CK4" s="365" t="s">
        <v>10512</v>
      </c>
      <c r="CL4" s="365" t="s">
        <v>10513</v>
      </c>
      <c r="CM4" s="365" t="s">
        <v>10514</v>
      </c>
      <c r="CN4" s="365" t="s">
        <v>10515</v>
      </c>
      <c r="CO4" s="365" t="s">
        <v>10516</v>
      </c>
      <c r="CP4" s="365" t="s">
        <v>10517</v>
      </c>
      <c r="CQ4" s="365" t="s">
        <v>10518</v>
      </c>
      <c r="CR4" s="365" t="s">
        <v>10519</v>
      </c>
      <c r="CS4" s="365" t="s">
        <v>10520</v>
      </c>
      <c r="CT4" s="365" t="s">
        <v>10521</v>
      </c>
      <c r="CU4" s="365" t="s">
        <v>10522</v>
      </c>
      <c r="CV4" s="365" t="s">
        <v>10523</v>
      </c>
      <c r="CW4" s="365" t="s">
        <v>10524</v>
      </c>
      <c r="CX4" s="365" t="s">
        <v>10525</v>
      </c>
      <c r="CY4" s="365" t="s">
        <v>10526</v>
      </c>
      <c r="CZ4" s="365" t="s">
        <v>10527</v>
      </c>
      <c r="DA4" s="365" t="s">
        <v>10528</v>
      </c>
      <c r="DB4" s="365" t="s">
        <v>10529</v>
      </c>
      <c r="DC4" s="365" t="s">
        <v>10530</v>
      </c>
      <c r="DD4" s="365" t="s">
        <v>10531</v>
      </c>
      <c r="DE4" s="365" t="s">
        <v>10532</v>
      </c>
      <c r="DF4" s="365" t="s">
        <v>10533</v>
      </c>
      <c r="DG4" s="365" t="s">
        <v>10534</v>
      </c>
      <c r="DH4" s="365" t="s">
        <v>11137</v>
      </c>
      <c r="DI4" s="365" t="s">
        <v>11741</v>
      </c>
      <c r="DJ4" s="648" t="s">
        <v>11740</v>
      </c>
      <c r="DK4" s="365" t="s">
        <v>11149</v>
      </c>
      <c r="DL4" s="365" t="s">
        <v>11159</v>
      </c>
      <c r="DM4" s="365" t="s">
        <v>11160</v>
      </c>
      <c r="DN4" s="365" t="s">
        <v>11161</v>
      </c>
      <c r="DO4" s="365" t="s">
        <v>10535</v>
      </c>
      <c r="DP4" s="365" t="s">
        <v>10536</v>
      </c>
      <c r="DQ4" s="365" t="s">
        <v>10537</v>
      </c>
      <c r="DR4" s="365" t="s">
        <v>10538</v>
      </c>
      <c r="DS4" s="365" t="s">
        <v>10539</v>
      </c>
      <c r="DT4" s="365" t="s">
        <v>10540</v>
      </c>
      <c r="DU4" s="365" t="s">
        <v>10541</v>
      </c>
      <c r="DV4" s="365" t="s">
        <v>10542</v>
      </c>
      <c r="DW4" s="365"/>
      <c r="DX4" s="365" t="s">
        <v>10543</v>
      </c>
      <c r="DY4" s="365" t="s">
        <v>10544</v>
      </c>
      <c r="DZ4" s="365" t="s">
        <v>10545</v>
      </c>
      <c r="EA4" s="365" t="s">
        <v>10546</v>
      </c>
      <c r="EB4" s="365" t="s">
        <v>10547</v>
      </c>
      <c r="EC4" s="365" t="s">
        <v>10548</v>
      </c>
      <c r="ED4" s="365" t="s">
        <v>10549</v>
      </c>
      <c r="EE4" s="365" t="s">
        <v>10550</v>
      </c>
      <c r="EF4" s="365" t="s">
        <v>10551</v>
      </c>
      <c r="EG4" s="365" t="s">
        <v>10552</v>
      </c>
      <c r="EH4" s="365" t="s">
        <v>10553</v>
      </c>
      <c r="EI4" s="365" t="s">
        <v>10554</v>
      </c>
      <c r="EJ4" s="365" t="s">
        <v>10555</v>
      </c>
      <c r="EK4" s="365" t="s">
        <v>10556</v>
      </c>
      <c r="EL4" s="365" t="s">
        <v>10557</v>
      </c>
      <c r="EM4" s="365" t="s">
        <v>10558</v>
      </c>
      <c r="EN4" s="365"/>
      <c r="EO4" s="365" t="s">
        <v>10559</v>
      </c>
      <c r="EP4" s="365" t="s">
        <v>10560</v>
      </c>
      <c r="EQ4" s="365" t="s">
        <v>10561</v>
      </c>
      <c r="ER4" s="365" t="s">
        <v>10562</v>
      </c>
      <c r="ES4" s="365" t="s">
        <v>10563</v>
      </c>
      <c r="ET4" s="365"/>
      <c r="EU4" s="365" t="s">
        <v>10564</v>
      </c>
      <c r="EV4" s="365" t="s">
        <v>10565</v>
      </c>
      <c r="EW4" s="365" t="s">
        <v>10566</v>
      </c>
      <c r="EX4" s="365" t="s">
        <v>10567</v>
      </c>
      <c r="EY4" s="365" t="s">
        <v>10568</v>
      </c>
      <c r="EZ4" s="365" t="s">
        <v>10569</v>
      </c>
      <c r="FA4" s="365" t="s">
        <v>10570</v>
      </c>
      <c r="FB4" s="365" t="s">
        <v>10571</v>
      </c>
      <c r="FC4" s="365" t="s">
        <v>10572</v>
      </c>
      <c r="FD4" s="365" t="s">
        <v>10573</v>
      </c>
      <c r="FE4" s="365" t="s">
        <v>10574</v>
      </c>
      <c r="FF4" s="365" t="s">
        <v>9529</v>
      </c>
      <c r="FG4" s="365" t="s">
        <v>9535</v>
      </c>
      <c r="FH4" s="365" t="s">
        <v>9536</v>
      </c>
      <c r="FI4" s="365" t="s">
        <v>9537</v>
      </c>
      <c r="FJ4" s="365" t="s">
        <v>9538</v>
      </c>
      <c r="FK4" s="365"/>
      <c r="FL4" s="365"/>
      <c r="FM4" s="365" t="s">
        <v>10575</v>
      </c>
      <c r="FN4" s="365" t="s">
        <v>10576</v>
      </c>
      <c r="FO4" s="365" t="s">
        <v>10577</v>
      </c>
      <c r="FP4" s="365" t="s">
        <v>10578</v>
      </c>
      <c r="FQ4" s="365" t="s">
        <v>10579</v>
      </c>
      <c r="FR4" s="365" t="s">
        <v>10580</v>
      </c>
      <c r="FS4" s="365" t="s">
        <v>10581</v>
      </c>
      <c r="FT4" s="365" t="s">
        <v>10582</v>
      </c>
      <c r="FU4" s="365" t="s">
        <v>10583</v>
      </c>
      <c r="FV4" s="365" t="s">
        <v>10584</v>
      </c>
      <c r="FW4" s="365" t="s">
        <v>10585</v>
      </c>
      <c r="FX4" s="365" t="s">
        <v>10586</v>
      </c>
      <c r="FY4" s="365" t="s">
        <v>10587</v>
      </c>
      <c r="FZ4" s="365" t="s">
        <v>10588</v>
      </c>
      <c r="GA4" s="365" t="s">
        <v>10589</v>
      </c>
      <c r="GB4" s="365" t="s">
        <v>10590</v>
      </c>
      <c r="GC4" s="365" t="s">
        <v>10591</v>
      </c>
      <c r="GD4" s="365" t="s">
        <v>10592</v>
      </c>
      <c r="GE4" s="365" t="s">
        <v>10593</v>
      </c>
      <c r="GF4" s="365" t="s">
        <v>10594</v>
      </c>
      <c r="GG4" s="365" t="s">
        <v>10595</v>
      </c>
      <c r="GH4" s="365" t="s">
        <v>10596</v>
      </c>
      <c r="GI4" s="365" t="s">
        <v>10597</v>
      </c>
      <c r="GJ4" s="365" t="s">
        <v>10598</v>
      </c>
      <c r="GK4" s="365" t="s">
        <v>10599</v>
      </c>
      <c r="GL4" s="365" t="s">
        <v>10600</v>
      </c>
      <c r="GM4" s="365" t="s">
        <v>10601</v>
      </c>
      <c r="GN4" s="365" t="s">
        <v>10602</v>
      </c>
      <c r="GO4" s="365" t="s">
        <v>10603</v>
      </c>
      <c r="GP4" s="365" t="s">
        <v>10604</v>
      </c>
      <c r="GQ4" s="365" t="s">
        <v>10605</v>
      </c>
      <c r="GR4" s="365" t="s">
        <v>10606</v>
      </c>
      <c r="GS4" s="365" t="s">
        <v>10607</v>
      </c>
      <c r="GT4" s="365" t="s">
        <v>10608</v>
      </c>
      <c r="GU4" s="365" t="s">
        <v>10609</v>
      </c>
      <c r="GV4" s="365" t="s">
        <v>10610</v>
      </c>
      <c r="GW4" s="365" t="s">
        <v>10611</v>
      </c>
      <c r="GX4" s="365" t="s">
        <v>10612</v>
      </c>
      <c r="GY4" s="365" t="s">
        <v>10613</v>
      </c>
      <c r="GZ4" s="365" t="s">
        <v>10614</v>
      </c>
      <c r="HA4" s="365" t="s">
        <v>10615</v>
      </c>
      <c r="HB4" s="365" t="s">
        <v>10616</v>
      </c>
      <c r="HC4" s="365" t="s">
        <v>10617</v>
      </c>
      <c r="HD4" s="365" t="s">
        <v>10618</v>
      </c>
      <c r="HE4" s="365" t="s">
        <v>10619</v>
      </c>
      <c r="HF4" s="365" t="s">
        <v>10620</v>
      </c>
      <c r="HG4" s="365" t="s">
        <v>10621</v>
      </c>
      <c r="HH4" s="365"/>
    </row>
    <row r="5" spans="1:216" s="277" customFormat="1" ht="18" customHeight="1">
      <c r="A5" s="381" t="s">
        <v>10622</v>
      </c>
      <c r="B5" s="381"/>
      <c r="C5" s="381"/>
      <c r="D5" s="381"/>
      <c r="E5" s="382"/>
      <c r="F5" s="383"/>
      <c r="G5" s="383"/>
      <c r="H5" s="366"/>
      <c r="I5" s="382" t="s">
        <v>10623</v>
      </c>
      <c r="J5" s="384"/>
      <c r="K5" s="384"/>
      <c r="L5" s="385"/>
      <c r="M5" s="358"/>
      <c r="N5" s="358"/>
      <c r="O5" s="358"/>
      <c r="P5" s="358"/>
      <c r="Q5" s="358"/>
      <c r="R5" s="384"/>
      <c r="S5" s="384"/>
      <c r="T5" s="384"/>
      <c r="U5" s="384"/>
      <c r="V5" s="384"/>
      <c r="W5" s="384"/>
      <c r="X5" s="384"/>
      <c r="Y5" s="384"/>
      <c r="Z5" s="384"/>
      <c r="AA5" s="384"/>
      <c r="AB5" s="384"/>
      <c r="AC5" s="384"/>
      <c r="AD5" s="384"/>
      <c r="AE5" s="384"/>
      <c r="AF5" s="384"/>
      <c r="AG5" s="384"/>
      <c r="AH5" s="384"/>
      <c r="AI5" s="384"/>
      <c r="AJ5" s="384"/>
      <c r="AK5" s="384"/>
      <c r="AL5" s="384"/>
      <c r="AM5" s="384"/>
      <c r="AN5" s="384"/>
      <c r="AO5" s="386"/>
      <c r="AP5" s="384"/>
      <c r="AQ5" s="384"/>
      <c r="AR5" s="384"/>
      <c r="AS5" s="384"/>
      <c r="AT5" s="384"/>
      <c r="AU5" s="384"/>
      <c r="AV5" s="384"/>
      <c r="AW5" s="384"/>
      <c r="AX5" s="384"/>
      <c r="AY5" s="384"/>
      <c r="AZ5" s="384"/>
      <c r="BA5" s="384"/>
      <c r="BB5" s="384"/>
      <c r="BC5" s="384"/>
      <c r="BD5" s="384"/>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3"/>
      <c r="CL5" s="383"/>
      <c r="CM5" s="383"/>
      <c r="CN5" s="383"/>
      <c r="CO5" s="383"/>
      <c r="CP5" s="383"/>
      <c r="CQ5" s="383"/>
      <c r="CR5" s="388"/>
      <c r="CS5" s="388"/>
      <c r="CT5" s="383"/>
      <c r="CU5" s="383"/>
      <c r="CV5" s="383"/>
      <c r="CW5" s="383"/>
      <c r="CX5" s="383"/>
      <c r="CY5" s="383"/>
      <c r="CZ5" s="383"/>
      <c r="DA5" s="383"/>
      <c r="DB5" s="383"/>
      <c r="DC5" s="383"/>
      <c r="DD5" s="383"/>
      <c r="DE5" s="383"/>
      <c r="DF5" s="383"/>
      <c r="DG5" s="383"/>
      <c r="DH5" s="383"/>
      <c r="DI5" s="383"/>
      <c r="DJ5" s="383"/>
      <c r="DK5" s="383"/>
      <c r="DL5" s="383"/>
      <c r="DM5" s="383"/>
      <c r="DN5" s="383"/>
      <c r="DO5" s="383"/>
      <c r="DP5" s="383"/>
      <c r="DQ5" s="383"/>
      <c r="DR5" s="383"/>
      <c r="DS5" s="383"/>
      <c r="DT5" s="383"/>
      <c r="DU5" s="384"/>
      <c r="DV5" s="384"/>
      <c r="DW5" s="383"/>
      <c r="DX5" s="384"/>
      <c r="DY5" s="384"/>
      <c r="DZ5" s="383"/>
      <c r="EA5" s="383"/>
      <c r="EB5" s="389"/>
      <c r="EC5" s="389"/>
      <c r="ED5" s="383"/>
      <c r="EE5" s="383"/>
      <c r="EF5" s="383"/>
      <c r="EG5" s="383"/>
      <c r="EH5" s="383"/>
      <c r="EI5" s="383"/>
      <c r="EJ5" s="383"/>
      <c r="EK5" s="383"/>
      <c r="EL5" s="383"/>
      <c r="EM5" s="383"/>
      <c r="EN5" s="370"/>
      <c r="EO5" s="370"/>
      <c r="EP5" s="370"/>
      <c r="EQ5" s="370"/>
      <c r="ER5" s="370"/>
      <c r="ES5" s="370"/>
      <c r="ET5" s="383"/>
      <c r="EU5" s="383"/>
      <c r="EV5" s="383"/>
      <c r="EW5" s="383"/>
      <c r="EX5" s="383"/>
      <c r="EY5" s="383"/>
      <c r="EZ5" s="383"/>
      <c r="FA5" s="383"/>
      <c r="FB5" s="383"/>
      <c r="FC5" s="383"/>
      <c r="FD5" s="383"/>
      <c r="FE5" s="383"/>
      <c r="FF5" s="383"/>
      <c r="FG5" s="383"/>
      <c r="FH5" s="383"/>
      <c r="FI5" s="383"/>
      <c r="FJ5" s="383"/>
      <c r="FK5" s="383"/>
      <c r="FL5" s="383"/>
      <c r="FM5" s="383"/>
      <c r="FN5" s="383"/>
      <c r="FO5" s="383"/>
      <c r="FP5" s="383"/>
      <c r="FQ5" s="383"/>
      <c r="FR5" s="383"/>
      <c r="FS5" s="383"/>
      <c r="FT5" s="383"/>
      <c r="FU5" s="383"/>
      <c r="FV5" s="383"/>
      <c r="FW5" s="383"/>
      <c r="FX5" s="383"/>
      <c r="FY5" s="383"/>
      <c r="FZ5" s="383"/>
      <c r="GA5" s="383"/>
      <c r="GB5" s="383"/>
      <c r="GC5" s="383"/>
      <c r="GD5" s="383"/>
      <c r="GE5" s="383"/>
      <c r="GF5" s="383"/>
      <c r="GG5" s="383"/>
      <c r="GH5" s="383"/>
      <c r="GI5" s="383"/>
      <c r="GJ5" s="383"/>
      <c r="GK5" s="383"/>
      <c r="GL5" s="383"/>
      <c r="GM5" s="383"/>
      <c r="GN5" s="383"/>
      <c r="GO5" s="383"/>
      <c r="GP5" s="383"/>
      <c r="GQ5" s="383"/>
      <c r="GR5" s="383"/>
      <c r="GS5" s="383"/>
      <c r="GT5" s="383"/>
      <c r="GU5" s="383"/>
      <c r="GV5" s="383"/>
      <c r="GW5" s="383"/>
      <c r="GX5" s="383"/>
      <c r="GY5" s="383"/>
      <c r="GZ5" s="383"/>
      <c r="HA5" s="383"/>
      <c r="HB5" s="383"/>
      <c r="HC5" s="383"/>
      <c r="HD5" s="383"/>
      <c r="HE5" s="383"/>
      <c r="HF5" s="383"/>
      <c r="HG5" s="383"/>
      <c r="HH5" s="383"/>
    </row>
    <row r="6" spans="1:216" s="392" customFormat="1" ht="18" customHeight="1">
      <c r="A6" s="374"/>
      <c r="B6" s="374" t="s">
        <v>10624</v>
      </c>
      <c r="C6" s="374"/>
      <c r="D6" s="374" t="s">
        <v>10625</v>
      </c>
      <c r="E6" s="374" t="s">
        <v>10626</v>
      </c>
      <c r="F6" s="374"/>
      <c r="G6" s="390">
        <v>1</v>
      </c>
      <c r="H6" s="377"/>
      <c r="I6" s="374"/>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4"/>
      <c r="AM6" s="384"/>
      <c r="AN6" s="387"/>
      <c r="AO6" s="391"/>
      <c r="AP6" s="387"/>
      <c r="AQ6" s="384"/>
      <c r="AR6" s="384"/>
      <c r="AS6" s="384"/>
      <c r="AT6" s="384"/>
      <c r="AU6" s="384"/>
      <c r="AV6" s="384"/>
      <c r="AW6" s="384"/>
      <c r="AX6" s="384"/>
      <c r="AY6" s="384"/>
      <c r="AZ6" s="384"/>
      <c r="BA6" s="384"/>
      <c r="BB6" s="384"/>
      <c r="BC6" s="384"/>
      <c r="BD6" s="384"/>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70"/>
      <c r="CL6" s="370"/>
      <c r="CM6" s="370"/>
      <c r="CN6" s="370"/>
      <c r="CO6" s="370"/>
      <c r="CP6" s="370"/>
      <c r="CQ6" s="370"/>
      <c r="CR6" s="390"/>
      <c r="CS6" s="390"/>
      <c r="CT6" s="370"/>
      <c r="CU6" s="370"/>
      <c r="CV6" s="370"/>
      <c r="CW6" s="370"/>
      <c r="CX6" s="370"/>
      <c r="CY6" s="370"/>
      <c r="CZ6" s="370"/>
      <c r="DA6" s="370"/>
      <c r="DB6" s="370"/>
      <c r="DC6" s="370"/>
      <c r="DD6" s="370"/>
      <c r="DE6" s="370"/>
      <c r="DF6" s="370"/>
      <c r="DG6" s="370"/>
      <c r="DH6" s="370"/>
      <c r="DI6" s="370"/>
      <c r="DJ6" s="370"/>
      <c r="DK6" s="370"/>
      <c r="DL6" s="370"/>
      <c r="DM6" s="370"/>
      <c r="DN6" s="370"/>
      <c r="DO6" s="370"/>
      <c r="DP6" s="370"/>
      <c r="DQ6" s="370"/>
      <c r="DR6" s="370"/>
      <c r="DS6" s="370"/>
      <c r="DT6" s="370"/>
      <c r="DU6" s="384"/>
      <c r="DV6" s="384"/>
      <c r="DW6" s="370"/>
      <c r="DX6" s="384"/>
      <c r="DY6" s="384"/>
      <c r="DZ6" s="370"/>
      <c r="EA6" s="370"/>
      <c r="EB6" s="390"/>
      <c r="EC6" s="390"/>
      <c r="ED6" s="370"/>
      <c r="EE6" s="370"/>
      <c r="EF6" s="370"/>
      <c r="EG6" s="370"/>
      <c r="EH6" s="370"/>
      <c r="EI6" s="370"/>
      <c r="EJ6" s="370"/>
      <c r="EK6" s="370"/>
      <c r="EL6" s="370"/>
      <c r="EM6" s="370"/>
      <c r="EN6" s="370"/>
      <c r="EO6" s="370"/>
      <c r="EP6" s="370"/>
      <c r="EQ6" s="370"/>
      <c r="ER6" s="370"/>
      <c r="ES6" s="370"/>
      <c r="ET6" s="370"/>
      <c r="EU6" s="370"/>
      <c r="EV6" s="370"/>
      <c r="EW6" s="370"/>
      <c r="EX6" s="370"/>
      <c r="EY6" s="370"/>
      <c r="EZ6" s="370"/>
      <c r="FA6" s="370"/>
      <c r="FB6" s="370"/>
      <c r="FC6" s="370"/>
      <c r="FD6" s="370"/>
      <c r="FE6" s="370"/>
      <c r="FF6" s="370"/>
      <c r="FG6" s="370"/>
      <c r="FH6" s="370"/>
      <c r="FI6" s="370"/>
      <c r="FJ6" s="370"/>
      <c r="FK6" s="370"/>
      <c r="FL6" s="370"/>
      <c r="FM6" s="370"/>
      <c r="FN6" s="370"/>
      <c r="FO6" s="370"/>
      <c r="FP6" s="370"/>
      <c r="FQ6" s="370"/>
      <c r="FR6" s="370"/>
      <c r="FS6" s="370"/>
      <c r="FT6" s="370"/>
      <c r="FU6" s="370"/>
      <c r="FV6" s="370"/>
      <c r="FW6" s="370"/>
      <c r="FX6" s="370"/>
      <c r="FY6" s="370"/>
      <c r="FZ6" s="370"/>
      <c r="GA6" s="370"/>
      <c r="GB6" s="370"/>
      <c r="GC6" s="370"/>
      <c r="GD6" s="370"/>
      <c r="GE6" s="370"/>
      <c r="GF6" s="370"/>
      <c r="GG6" s="370"/>
      <c r="GH6" s="370"/>
      <c r="GI6" s="370"/>
      <c r="GJ6" s="370"/>
      <c r="GK6" s="370"/>
      <c r="GL6" s="370"/>
      <c r="GM6" s="370"/>
      <c r="GN6" s="370"/>
      <c r="GO6" s="370"/>
      <c r="GP6" s="370"/>
      <c r="GQ6" s="370"/>
      <c r="GR6" s="370"/>
      <c r="GS6" s="370"/>
      <c r="GT6" s="370"/>
      <c r="GU6" s="370"/>
      <c r="GV6" s="370"/>
      <c r="GW6" s="370"/>
      <c r="GX6" s="370"/>
      <c r="GY6" s="370"/>
      <c r="GZ6" s="370"/>
      <c r="HA6" s="370"/>
      <c r="HB6" s="370"/>
      <c r="HC6" s="370"/>
      <c r="HD6" s="370"/>
      <c r="HE6" s="370"/>
      <c r="HF6" s="370"/>
      <c r="HG6" s="370"/>
      <c r="HH6" s="370"/>
    </row>
    <row r="7" spans="1:216" s="393" customFormat="1" ht="18" customHeight="1">
      <c r="A7" s="382"/>
      <c r="B7" s="382" t="s">
        <v>10656</v>
      </c>
      <c r="C7" s="382"/>
      <c r="D7" s="374" t="s">
        <v>10657</v>
      </c>
      <c r="E7" s="394"/>
      <c r="F7" s="370"/>
      <c r="G7" s="370">
        <v>1</v>
      </c>
      <c r="H7" s="366"/>
      <c r="I7" s="382"/>
      <c r="J7" s="384"/>
      <c r="K7" s="352"/>
      <c r="L7" s="352"/>
      <c r="M7" s="358"/>
      <c r="N7" s="358"/>
      <c r="O7" s="358"/>
      <c r="P7" s="358"/>
      <c r="Q7" s="358"/>
      <c r="R7" s="384"/>
      <c r="S7" s="384"/>
      <c r="T7" s="384"/>
      <c r="U7" s="384"/>
      <c r="V7" s="384"/>
      <c r="W7" s="384"/>
      <c r="X7" s="384"/>
      <c r="Y7" s="384"/>
      <c r="Z7" s="384"/>
      <c r="AA7" s="384"/>
      <c r="AB7" s="384"/>
      <c r="AC7" s="384"/>
      <c r="AD7" s="384"/>
      <c r="AE7" s="384"/>
      <c r="AF7" s="384"/>
      <c r="AG7" s="384"/>
      <c r="AH7" s="384"/>
      <c r="AI7" s="384"/>
      <c r="AJ7" s="384"/>
      <c r="AK7" s="384"/>
      <c r="AL7" s="384"/>
      <c r="AM7" s="384"/>
      <c r="AN7" s="384"/>
      <c r="AO7" s="391"/>
      <c r="AP7" s="384"/>
      <c r="AQ7" s="384"/>
      <c r="AR7" s="384"/>
      <c r="AS7" s="384"/>
      <c r="AT7" s="384"/>
      <c r="AU7" s="384"/>
      <c r="AV7" s="384"/>
      <c r="AW7" s="384"/>
      <c r="AX7" s="384"/>
      <c r="AY7" s="384"/>
      <c r="AZ7" s="384"/>
      <c r="BA7" s="384"/>
      <c r="BB7" s="384"/>
      <c r="BC7" s="384"/>
      <c r="BD7" s="384"/>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70"/>
      <c r="CL7" s="370"/>
      <c r="CM7" s="370"/>
      <c r="CN7" s="370"/>
      <c r="CO7" s="370"/>
      <c r="CP7" s="370"/>
      <c r="CQ7" s="370"/>
      <c r="CR7" s="390"/>
      <c r="CS7" s="390"/>
      <c r="CT7" s="370"/>
      <c r="CU7" s="370"/>
      <c r="CV7" s="370"/>
      <c r="CW7" s="370"/>
      <c r="CX7" s="370"/>
      <c r="CY7" s="370"/>
      <c r="CZ7" s="370"/>
      <c r="DA7" s="370"/>
      <c r="DB7" s="370"/>
      <c r="DC7" s="370"/>
      <c r="DD7" s="370"/>
      <c r="DE7" s="370"/>
      <c r="DF7" s="370"/>
      <c r="DG7" s="370"/>
      <c r="DH7" s="370"/>
      <c r="DI7" s="370"/>
      <c r="DJ7" s="370"/>
      <c r="DK7" s="370"/>
      <c r="DL7" s="370"/>
      <c r="DM7" s="370"/>
      <c r="DN7" s="370"/>
      <c r="DO7" s="370"/>
      <c r="DP7" s="370"/>
      <c r="DQ7" s="370"/>
      <c r="DR7" s="370"/>
      <c r="DS7" s="383"/>
      <c r="DT7" s="383"/>
      <c r="DU7" s="384"/>
      <c r="DV7" s="384"/>
      <c r="DW7" s="370"/>
      <c r="DX7" s="384"/>
      <c r="DY7" s="384"/>
      <c r="DZ7" s="370"/>
      <c r="EA7" s="370"/>
      <c r="EB7" s="390"/>
      <c r="EC7" s="390"/>
      <c r="ED7" s="370"/>
      <c r="EE7" s="370"/>
      <c r="EF7" s="370"/>
      <c r="EG7" s="370"/>
      <c r="EH7" s="370"/>
      <c r="EI7" s="370"/>
      <c r="EJ7" s="370"/>
      <c r="EK7" s="370"/>
      <c r="EL7" s="370"/>
      <c r="EM7" s="370"/>
      <c r="EN7" s="370"/>
      <c r="EO7" s="370"/>
      <c r="EP7" s="370"/>
      <c r="EQ7" s="370"/>
      <c r="ER7" s="370"/>
      <c r="ES7" s="370"/>
      <c r="ET7" s="370"/>
      <c r="EU7" s="370"/>
      <c r="EV7" s="370"/>
      <c r="EW7" s="370"/>
      <c r="EX7" s="370"/>
      <c r="EY7" s="370"/>
      <c r="EZ7" s="370"/>
      <c r="FA7" s="370"/>
      <c r="FB7" s="370"/>
      <c r="FC7" s="370"/>
      <c r="FD7" s="370"/>
      <c r="FE7" s="370"/>
      <c r="FF7" s="370"/>
      <c r="FG7" s="370"/>
      <c r="FH7" s="370"/>
      <c r="FI7" s="370"/>
      <c r="FJ7" s="370"/>
      <c r="FK7" s="370"/>
      <c r="FL7" s="370"/>
      <c r="FM7" s="370"/>
      <c r="FN7" s="370"/>
      <c r="FO7" s="370"/>
      <c r="FP7" s="370"/>
      <c r="FQ7" s="370"/>
      <c r="FR7" s="370"/>
      <c r="FS7" s="370"/>
      <c r="FT7" s="370"/>
      <c r="FU7" s="370"/>
      <c r="FV7" s="370"/>
      <c r="FW7" s="370"/>
      <c r="FX7" s="370"/>
      <c r="FY7" s="370"/>
      <c r="FZ7" s="370"/>
      <c r="GA7" s="370"/>
      <c r="GB7" s="370"/>
      <c r="GC7" s="370"/>
      <c r="GD7" s="370"/>
      <c r="GE7" s="370"/>
      <c r="GF7" s="370"/>
      <c r="GG7" s="370"/>
      <c r="GH7" s="370"/>
      <c r="GI7" s="370"/>
      <c r="GJ7" s="370"/>
      <c r="GK7" s="370"/>
      <c r="GL7" s="370"/>
      <c r="GM7" s="370"/>
      <c r="GN7" s="370"/>
      <c r="GO7" s="370"/>
      <c r="GP7" s="370"/>
      <c r="GQ7" s="370"/>
      <c r="GR7" s="370"/>
      <c r="GS7" s="370"/>
      <c r="GT7" s="370"/>
      <c r="GU7" s="370"/>
      <c r="GV7" s="370"/>
      <c r="GW7" s="370"/>
      <c r="GX7" s="370"/>
      <c r="GY7" s="370"/>
      <c r="GZ7" s="370"/>
      <c r="HA7" s="370"/>
      <c r="HB7" s="370"/>
      <c r="HC7" s="370"/>
      <c r="HD7" s="370"/>
      <c r="HE7" s="370"/>
      <c r="HF7" s="370"/>
      <c r="HG7" s="370"/>
      <c r="HH7" s="370"/>
    </row>
    <row r="8" spans="1:216" s="392" customFormat="1" ht="18" customHeight="1">
      <c r="A8" s="374"/>
      <c r="B8" s="374" t="s">
        <v>10627</v>
      </c>
      <c r="C8" s="374"/>
      <c r="D8" s="374" t="s">
        <v>10628</v>
      </c>
      <c r="E8" s="374"/>
      <c r="F8" s="374"/>
      <c r="G8" s="390">
        <v>1</v>
      </c>
      <c r="H8" s="377"/>
      <c r="I8" s="374"/>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4"/>
      <c r="AM8" s="384"/>
      <c r="AN8" s="387"/>
      <c r="AO8" s="391"/>
      <c r="AP8" s="387"/>
      <c r="AQ8" s="384"/>
      <c r="AR8" s="384"/>
      <c r="AS8" s="384"/>
      <c r="AT8" s="384"/>
      <c r="AU8" s="384"/>
      <c r="AV8" s="384"/>
      <c r="AW8" s="384"/>
      <c r="AX8" s="384"/>
      <c r="AY8" s="384"/>
      <c r="AZ8" s="384"/>
      <c r="BA8" s="384"/>
      <c r="BB8" s="384"/>
      <c r="BC8" s="384"/>
      <c r="BD8" s="384"/>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70"/>
      <c r="CL8" s="370"/>
      <c r="CM8" s="370"/>
      <c r="CN8" s="370"/>
      <c r="CO8" s="370"/>
      <c r="CP8" s="370"/>
      <c r="CQ8" s="370"/>
      <c r="CR8" s="390"/>
      <c r="CS8" s="390"/>
      <c r="CT8" s="370"/>
      <c r="CU8" s="370"/>
      <c r="CV8" s="370"/>
      <c r="CW8" s="370"/>
      <c r="CX8" s="370"/>
      <c r="CY8" s="370"/>
      <c r="CZ8" s="370"/>
      <c r="DA8" s="370"/>
      <c r="DB8" s="370"/>
      <c r="DC8" s="370"/>
      <c r="DD8" s="370"/>
      <c r="DE8" s="370"/>
      <c r="DF8" s="370"/>
      <c r="DG8" s="370"/>
      <c r="DH8" s="370"/>
      <c r="DI8" s="370"/>
      <c r="DJ8" s="370"/>
      <c r="DK8" s="370"/>
      <c r="DL8" s="370"/>
      <c r="DM8" s="370"/>
      <c r="DN8" s="370"/>
      <c r="DO8" s="370"/>
      <c r="DP8" s="370"/>
      <c r="DQ8" s="370"/>
      <c r="DR8" s="370"/>
      <c r="DS8" s="370"/>
      <c r="DT8" s="370"/>
      <c r="DU8" s="384"/>
      <c r="DV8" s="384"/>
      <c r="DW8" s="370"/>
      <c r="DX8" s="384"/>
      <c r="DY8" s="384"/>
      <c r="DZ8" s="370"/>
      <c r="EA8" s="370"/>
      <c r="EB8" s="390"/>
      <c r="EC8" s="390"/>
      <c r="ED8" s="370"/>
      <c r="EE8" s="370"/>
      <c r="EF8" s="370"/>
      <c r="EG8" s="370"/>
      <c r="EH8" s="370"/>
      <c r="EI8" s="370"/>
      <c r="EJ8" s="370"/>
      <c r="EK8" s="370"/>
      <c r="EL8" s="370"/>
      <c r="EM8" s="370"/>
      <c r="EN8" s="370"/>
      <c r="EO8" s="370"/>
      <c r="EP8" s="370"/>
      <c r="EQ8" s="370"/>
      <c r="ER8" s="370"/>
      <c r="ES8" s="370"/>
      <c r="ET8" s="370"/>
      <c r="EU8" s="370"/>
      <c r="EV8" s="370"/>
      <c r="EW8" s="370"/>
      <c r="EX8" s="370"/>
      <c r="EY8" s="370"/>
      <c r="EZ8" s="370"/>
      <c r="FA8" s="370"/>
      <c r="FB8" s="370"/>
      <c r="FC8" s="370"/>
      <c r="FD8" s="370"/>
      <c r="FE8" s="370"/>
      <c r="FF8" s="370"/>
      <c r="FG8" s="370"/>
      <c r="FH8" s="370"/>
      <c r="FI8" s="370"/>
      <c r="FJ8" s="370"/>
      <c r="FK8" s="370"/>
      <c r="FL8" s="370"/>
      <c r="FM8" s="370"/>
      <c r="FN8" s="370"/>
      <c r="FO8" s="370"/>
      <c r="FP8" s="370"/>
      <c r="FQ8" s="370"/>
      <c r="FR8" s="370"/>
      <c r="FS8" s="370"/>
      <c r="FT8" s="370"/>
      <c r="FU8" s="370"/>
      <c r="FV8" s="370"/>
      <c r="FW8" s="370"/>
      <c r="FX8" s="370"/>
      <c r="FY8" s="370"/>
      <c r="FZ8" s="370"/>
      <c r="GA8" s="370"/>
      <c r="GB8" s="370"/>
      <c r="GC8" s="370"/>
      <c r="GD8" s="370"/>
      <c r="GE8" s="370"/>
      <c r="GF8" s="370"/>
      <c r="GG8" s="370"/>
      <c r="GH8" s="370"/>
      <c r="GI8" s="370"/>
      <c r="GJ8" s="370"/>
      <c r="GK8" s="370"/>
      <c r="GL8" s="370"/>
      <c r="GM8" s="370"/>
      <c r="GN8" s="370"/>
      <c r="GO8" s="370"/>
      <c r="GP8" s="370"/>
      <c r="GQ8" s="370"/>
      <c r="GR8" s="370"/>
      <c r="GS8" s="370"/>
      <c r="GT8" s="370"/>
      <c r="GU8" s="370"/>
      <c r="GV8" s="370"/>
      <c r="GW8" s="370"/>
      <c r="GX8" s="370"/>
      <c r="GY8" s="370"/>
      <c r="GZ8" s="370"/>
      <c r="HA8" s="370"/>
      <c r="HB8" s="370"/>
      <c r="HC8" s="370"/>
      <c r="HD8" s="370"/>
      <c r="HE8" s="370"/>
      <c r="HF8" s="370"/>
      <c r="HG8" s="370"/>
      <c r="HH8" s="370"/>
    </row>
    <row r="9" spans="1:216" s="392" customFormat="1" ht="18" customHeight="1">
      <c r="A9" s="374"/>
      <c r="B9" s="374" t="s">
        <v>9993</v>
      </c>
      <c r="C9" s="374"/>
      <c r="D9" s="374" t="s">
        <v>10001</v>
      </c>
      <c r="E9" s="374"/>
      <c r="F9" s="374"/>
      <c r="G9" s="390">
        <v>1</v>
      </c>
      <c r="H9" s="377"/>
      <c r="I9" s="374"/>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4"/>
      <c r="AM9" s="384"/>
      <c r="AN9" s="387"/>
      <c r="AO9" s="391"/>
      <c r="AP9" s="387"/>
      <c r="AQ9" s="384"/>
      <c r="AR9" s="384"/>
      <c r="AS9" s="384"/>
      <c r="AT9" s="384"/>
      <c r="AU9" s="384"/>
      <c r="AV9" s="384"/>
      <c r="AW9" s="384"/>
      <c r="AX9" s="384"/>
      <c r="AY9" s="384"/>
      <c r="AZ9" s="384"/>
      <c r="BA9" s="384"/>
      <c r="BB9" s="384"/>
      <c r="BC9" s="384"/>
      <c r="BD9" s="384"/>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70"/>
      <c r="CL9" s="370"/>
      <c r="CM9" s="370"/>
      <c r="CN9" s="370"/>
      <c r="CO9" s="370"/>
      <c r="CP9" s="370"/>
      <c r="CQ9" s="370"/>
      <c r="CR9" s="390"/>
      <c r="CS9" s="390"/>
      <c r="CT9" s="370"/>
      <c r="CU9" s="370"/>
      <c r="CV9" s="370"/>
      <c r="CW9" s="370"/>
      <c r="CX9" s="370"/>
      <c r="CY9" s="370"/>
      <c r="CZ9" s="370"/>
      <c r="DA9" s="370"/>
      <c r="DB9" s="370"/>
      <c r="DC9" s="370"/>
      <c r="DD9" s="370"/>
      <c r="DE9" s="370"/>
      <c r="DF9" s="370"/>
      <c r="DG9" s="370"/>
      <c r="DH9" s="370"/>
      <c r="DI9" s="370"/>
      <c r="DJ9" s="370"/>
      <c r="DK9" s="370"/>
      <c r="DL9" s="370"/>
      <c r="DM9" s="370"/>
      <c r="DN9" s="370"/>
      <c r="DO9" s="370"/>
      <c r="DP9" s="370"/>
      <c r="DQ9" s="370"/>
      <c r="DR9" s="370"/>
      <c r="DS9" s="370"/>
      <c r="DT9" s="370"/>
      <c r="DU9" s="384"/>
      <c r="DV9" s="384"/>
      <c r="DW9" s="370"/>
      <c r="DX9" s="384"/>
      <c r="DY9" s="384"/>
      <c r="DZ9" s="370"/>
      <c r="EA9" s="370"/>
      <c r="EB9" s="390"/>
      <c r="EC9" s="390"/>
      <c r="ED9" s="370"/>
      <c r="EE9" s="370"/>
      <c r="EF9" s="370"/>
      <c r="EG9" s="370"/>
      <c r="EH9" s="370"/>
      <c r="EI9" s="370"/>
      <c r="EJ9" s="370"/>
      <c r="EK9" s="370"/>
      <c r="EL9" s="370"/>
      <c r="EM9" s="370"/>
      <c r="EN9" s="370"/>
      <c r="EO9" s="370"/>
      <c r="EP9" s="370"/>
      <c r="EQ9" s="370"/>
      <c r="ER9" s="370"/>
      <c r="ES9" s="370"/>
      <c r="ET9" s="370"/>
      <c r="EU9" s="370"/>
      <c r="EV9" s="370"/>
      <c r="EW9" s="370"/>
      <c r="EX9" s="370"/>
      <c r="EY9" s="370"/>
      <c r="EZ9" s="370"/>
      <c r="FA9" s="370"/>
      <c r="FB9" s="370"/>
      <c r="FC9" s="370"/>
      <c r="FD9" s="370"/>
      <c r="FE9" s="370"/>
      <c r="FF9" s="370"/>
      <c r="FG9" s="370"/>
      <c r="FH9" s="370"/>
      <c r="FI9" s="370"/>
      <c r="FJ9" s="370"/>
      <c r="FK9" s="370"/>
      <c r="FL9" s="370"/>
      <c r="FM9" s="370"/>
      <c r="FN9" s="370"/>
      <c r="FO9" s="370"/>
      <c r="FP9" s="370"/>
      <c r="FQ9" s="370"/>
      <c r="FR9" s="370"/>
      <c r="FS9" s="370"/>
      <c r="FT9" s="370"/>
      <c r="FU9" s="370"/>
      <c r="FV9" s="370"/>
      <c r="FW9" s="370"/>
      <c r="FX9" s="370"/>
      <c r="FY9" s="370"/>
      <c r="FZ9" s="370"/>
      <c r="GA9" s="370"/>
      <c r="GB9" s="370"/>
      <c r="GC9" s="370"/>
      <c r="GD9" s="370"/>
      <c r="GE9" s="370"/>
      <c r="GF9" s="370"/>
      <c r="GG9" s="370"/>
      <c r="GH9" s="370"/>
      <c r="GI9" s="370"/>
      <c r="GJ9" s="370"/>
      <c r="GK9" s="370"/>
      <c r="GL9" s="370"/>
      <c r="GM9" s="370"/>
      <c r="GN9" s="370"/>
      <c r="GO9" s="370"/>
      <c r="GP9" s="370"/>
      <c r="GQ9" s="370"/>
      <c r="GR9" s="370"/>
      <c r="GS9" s="370"/>
      <c r="GT9" s="370"/>
      <c r="GU9" s="370"/>
      <c r="GV9" s="370"/>
      <c r="GW9" s="370"/>
      <c r="GX9" s="370"/>
      <c r="GY9" s="370"/>
      <c r="GZ9" s="370"/>
      <c r="HA9" s="370"/>
      <c r="HB9" s="370"/>
      <c r="HC9" s="370"/>
      <c r="HD9" s="370"/>
      <c r="HE9" s="370"/>
      <c r="HF9" s="370"/>
      <c r="HG9" s="370"/>
      <c r="HH9" s="370"/>
    </row>
    <row r="10" spans="1:216" s="392" customFormat="1" ht="18" customHeight="1">
      <c r="A10" s="374"/>
      <c r="B10" s="374" t="s">
        <v>9994</v>
      </c>
      <c r="C10" s="374"/>
      <c r="D10" s="374" t="s">
        <v>10002</v>
      </c>
      <c r="E10" s="374"/>
      <c r="F10" s="374"/>
      <c r="G10" s="390">
        <v>1</v>
      </c>
      <c r="H10" s="377"/>
      <c r="I10" s="374"/>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4"/>
      <c r="AM10" s="384"/>
      <c r="AN10" s="387"/>
      <c r="AO10" s="391"/>
      <c r="AP10" s="387"/>
      <c r="AQ10" s="384"/>
      <c r="AR10" s="384"/>
      <c r="AS10" s="384"/>
      <c r="AT10" s="384"/>
      <c r="AU10" s="384"/>
      <c r="AV10" s="384"/>
      <c r="AW10" s="384"/>
      <c r="AX10" s="384"/>
      <c r="AY10" s="384"/>
      <c r="AZ10" s="384"/>
      <c r="BA10" s="384"/>
      <c r="BB10" s="384"/>
      <c r="BC10" s="384"/>
      <c r="BD10" s="384"/>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70"/>
      <c r="CL10" s="370"/>
      <c r="CM10" s="370"/>
      <c r="CN10" s="370"/>
      <c r="CO10" s="370"/>
      <c r="CP10" s="370"/>
      <c r="CQ10" s="370"/>
      <c r="CR10" s="390"/>
      <c r="CS10" s="390"/>
      <c r="CT10" s="370"/>
      <c r="CU10" s="370"/>
      <c r="CV10" s="370"/>
      <c r="CW10" s="370"/>
      <c r="CX10" s="370"/>
      <c r="CY10" s="370"/>
      <c r="CZ10" s="370"/>
      <c r="DA10" s="370"/>
      <c r="DB10" s="370"/>
      <c r="DC10" s="370"/>
      <c r="DD10" s="370"/>
      <c r="DE10" s="370"/>
      <c r="DF10" s="370"/>
      <c r="DG10" s="370"/>
      <c r="DH10" s="370"/>
      <c r="DI10" s="370"/>
      <c r="DJ10" s="370"/>
      <c r="DK10" s="370"/>
      <c r="DL10" s="370"/>
      <c r="DM10" s="370"/>
      <c r="DN10" s="370"/>
      <c r="DO10" s="370"/>
      <c r="DP10" s="370"/>
      <c r="DQ10" s="370"/>
      <c r="DR10" s="370"/>
      <c r="DS10" s="370"/>
      <c r="DT10" s="370"/>
      <c r="DU10" s="384"/>
      <c r="DV10" s="384"/>
      <c r="DW10" s="370"/>
      <c r="DX10" s="384"/>
      <c r="DY10" s="384"/>
      <c r="DZ10" s="370"/>
      <c r="EA10" s="370"/>
      <c r="EB10" s="390"/>
      <c r="EC10" s="390"/>
      <c r="ED10" s="370"/>
      <c r="EE10" s="370"/>
      <c r="EF10" s="370"/>
      <c r="EG10" s="370"/>
      <c r="EH10" s="370"/>
      <c r="EI10" s="370"/>
      <c r="EJ10" s="370"/>
      <c r="EK10" s="370"/>
      <c r="EL10" s="370"/>
      <c r="EM10" s="370"/>
      <c r="EN10" s="370"/>
      <c r="EO10" s="370"/>
      <c r="EP10" s="370"/>
      <c r="EQ10" s="370"/>
      <c r="ER10" s="370"/>
      <c r="ES10" s="370"/>
      <c r="ET10" s="370"/>
      <c r="EU10" s="370"/>
      <c r="EV10" s="370"/>
      <c r="EW10" s="370"/>
      <c r="EX10" s="370"/>
      <c r="EY10" s="370"/>
      <c r="EZ10" s="370"/>
      <c r="FA10" s="370"/>
      <c r="FB10" s="370"/>
      <c r="FC10" s="370"/>
      <c r="FD10" s="370"/>
      <c r="FE10" s="370"/>
      <c r="FF10" s="370"/>
      <c r="FG10" s="370"/>
      <c r="FH10" s="370"/>
      <c r="FI10" s="370"/>
      <c r="FJ10" s="370"/>
      <c r="FK10" s="370"/>
      <c r="FL10" s="370"/>
      <c r="FM10" s="370"/>
      <c r="FN10" s="370"/>
      <c r="FO10" s="370"/>
      <c r="FP10" s="370"/>
      <c r="FQ10" s="370"/>
      <c r="FR10" s="370"/>
      <c r="FS10" s="370"/>
      <c r="FT10" s="370"/>
      <c r="FU10" s="370"/>
      <c r="FV10" s="370"/>
      <c r="FW10" s="370"/>
      <c r="FX10" s="370"/>
      <c r="FY10" s="370"/>
      <c r="FZ10" s="370"/>
      <c r="GA10" s="370"/>
      <c r="GB10" s="370"/>
      <c r="GC10" s="370"/>
      <c r="GD10" s="370"/>
      <c r="GE10" s="370"/>
      <c r="GF10" s="370"/>
      <c r="GG10" s="370"/>
      <c r="GH10" s="370"/>
      <c r="GI10" s="370"/>
      <c r="GJ10" s="370"/>
      <c r="GK10" s="370"/>
      <c r="GL10" s="370"/>
      <c r="GM10" s="370"/>
      <c r="GN10" s="370"/>
      <c r="GO10" s="370"/>
      <c r="GP10" s="370"/>
      <c r="GQ10" s="370"/>
      <c r="GR10" s="370"/>
      <c r="GS10" s="370"/>
      <c r="GT10" s="370"/>
      <c r="GU10" s="370"/>
      <c r="GV10" s="370"/>
      <c r="GW10" s="370"/>
      <c r="GX10" s="370"/>
      <c r="GY10" s="370"/>
      <c r="GZ10" s="370"/>
      <c r="HA10" s="370"/>
      <c r="HB10" s="370"/>
      <c r="HC10" s="370"/>
      <c r="HD10" s="370"/>
      <c r="HE10" s="370"/>
      <c r="HF10" s="370"/>
      <c r="HG10" s="370"/>
      <c r="HH10" s="370"/>
    </row>
    <row r="11" spans="1:216" s="393" customFormat="1" ht="18" customHeight="1">
      <c r="A11" s="382"/>
      <c r="B11" s="382" t="s">
        <v>10630</v>
      </c>
      <c r="C11" s="382"/>
      <c r="D11" s="374" t="s">
        <v>10631</v>
      </c>
      <c r="E11" s="382" t="s">
        <v>10632</v>
      </c>
      <c r="F11" s="370"/>
      <c r="G11" s="370">
        <v>1</v>
      </c>
      <c r="H11" s="366"/>
      <c r="I11" s="382"/>
      <c r="J11" s="384"/>
      <c r="K11" s="384"/>
      <c r="L11" s="384"/>
      <c r="M11" s="358"/>
      <c r="N11" s="358"/>
      <c r="O11" s="358"/>
      <c r="P11" s="358"/>
      <c r="Q11" s="358"/>
      <c r="R11" s="384"/>
      <c r="S11" s="384"/>
      <c r="T11" s="384"/>
      <c r="U11" s="384"/>
      <c r="V11" s="384"/>
      <c r="W11" s="384"/>
      <c r="X11" s="384"/>
      <c r="Y11" s="384"/>
      <c r="Z11" s="384"/>
      <c r="AA11" s="384"/>
      <c r="AB11" s="384"/>
      <c r="AC11" s="384"/>
      <c r="AD11" s="384"/>
      <c r="AE11" s="384"/>
      <c r="AF11" s="384"/>
      <c r="AG11" s="384"/>
      <c r="AH11" s="384"/>
      <c r="AI11" s="384"/>
      <c r="AJ11" s="384"/>
      <c r="AK11" s="384"/>
      <c r="AL11" s="387"/>
      <c r="AM11" s="387"/>
      <c r="AN11" s="384"/>
      <c r="AO11" s="391"/>
      <c r="AP11" s="384"/>
      <c r="AQ11" s="384"/>
      <c r="AR11" s="384"/>
      <c r="AS11" s="384"/>
      <c r="AT11" s="384"/>
      <c r="AU11" s="384"/>
      <c r="AV11" s="384"/>
      <c r="AW11" s="384"/>
      <c r="AX11" s="384"/>
      <c r="AY11" s="384"/>
      <c r="AZ11" s="384"/>
      <c r="BA11" s="384"/>
      <c r="BB11" s="384"/>
      <c r="BC11" s="384"/>
      <c r="BD11" s="384"/>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70"/>
      <c r="CL11" s="370"/>
      <c r="CM11" s="370"/>
      <c r="CN11" s="370"/>
      <c r="CO11" s="370"/>
      <c r="CP11" s="370"/>
      <c r="CQ11" s="370"/>
      <c r="CR11" s="390"/>
      <c r="CS11" s="390"/>
      <c r="CT11" s="370"/>
      <c r="CU11" s="370"/>
      <c r="CV11" s="370"/>
      <c r="CW11" s="370"/>
      <c r="CX11" s="370"/>
      <c r="CY11" s="370"/>
      <c r="CZ11" s="370"/>
      <c r="DA11" s="370"/>
      <c r="DB11" s="370"/>
      <c r="DC11" s="370"/>
      <c r="DD11" s="370"/>
      <c r="DE11" s="370"/>
      <c r="DF11" s="370"/>
      <c r="DG11" s="370"/>
      <c r="DH11" s="370"/>
      <c r="DI11" s="370"/>
      <c r="DJ11" s="370"/>
      <c r="DK11" s="370"/>
      <c r="DL11" s="370"/>
      <c r="DM11" s="370"/>
      <c r="DN11" s="370"/>
      <c r="DO11" s="370"/>
      <c r="DP11" s="370"/>
      <c r="DQ11" s="370"/>
      <c r="DR11" s="370"/>
      <c r="DS11" s="370"/>
      <c r="DT11" s="370"/>
      <c r="DU11" s="384"/>
      <c r="DV11" s="384"/>
      <c r="DW11" s="370"/>
      <c r="DX11" s="384"/>
      <c r="DY11" s="384"/>
      <c r="DZ11" s="370"/>
      <c r="EA11" s="370"/>
      <c r="EB11" s="390"/>
      <c r="EC11" s="390"/>
      <c r="ED11" s="370"/>
      <c r="EE11" s="370"/>
      <c r="EF11" s="370"/>
      <c r="EG11" s="370"/>
      <c r="EH11" s="370"/>
      <c r="EI11" s="370"/>
      <c r="EJ11" s="370"/>
      <c r="EK11" s="370"/>
      <c r="EL11" s="370"/>
      <c r="EM11" s="370"/>
      <c r="EN11" s="370"/>
      <c r="EO11" s="370"/>
      <c r="EP11" s="370"/>
      <c r="EQ11" s="370"/>
      <c r="ER11" s="370"/>
      <c r="ES11" s="370"/>
      <c r="ET11" s="370"/>
      <c r="EU11" s="370"/>
      <c r="EV11" s="370"/>
      <c r="EW11" s="370"/>
      <c r="EX11" s="370"/>
      <c r="EY11" s="370"/>
      <c r="EZ11" s="370"/>
      <c r="FA11" s="370"/>
      <c r="FB11" s="370"/>
      <c r="FC11" s="370"/>
      <c r="FD11" s="370"/>
      <c r="FE11" s="370"/>
      <c r="FF11" s="370"/>
      <c r="FG11" s="370"/>
      <c r="FH11" s="370"/>
      <c r="FI11" s="370"/>
      <c r="FJ11" s="370"/>
      <c r="FK11" s="370"/>
      <c r="FL11" s="370"/>
      <c r="FM11" s="370"/>
      <c r="FN11" s="370"/>
      <c r="FO11" s="370"/>
      <c r="FP11" s="370"/>
      <c r="FQ11" s="370"/>
      <c r="FR11" s="370"/>
      <c r="FS11" s="370"/>
      <c r="FT11" s="370"/>
      <c r="FU11" s="370"/>
      <c r="FV11" s="370"/>
      <c r="FW11" s="370"/>
      <c r="FX11" s="370"/>
      <c r="FY11" s="370"/>
      <c r="FZ11" s="370"/>
      <c r="GA11" s="370"/>
      <c r="GB11" s="370"/>
      <c r="GC11" s="370"/>
      <c r="GD11" s="370"/>
      <c r="GE11" s="370"/>
      <c r="GF11" s="370"/>
      <c r="GG11" s="370"/>
      <c r="GH11" s="370"/>
      <c r="GI11" s="370"/>
      <c r="GJ11" s="370"/>
      <c r="GK11" s="370"/>
      <c r="GL11" s="370"/>
      <c r="GM11" s="370"/>
      <c r="GN11" s="370"/>
      <c r="GO11" s="370"/>
      <c r="GP11" s="370"/>
      <c r="GQ11" s="370"/>
      <c r="GR11" s="370"/>
      <c r="GS11" s="370"/>
      <c r="GT11" s="370"/>
      <c r="GU11" s="370"/>
      <c r="GV11" s="370"/>
      <c r="GW11" s="370"/>
      <c r="GX11" s="370"/>
      <c r="GY11" s="370"/>
      <c r="GZ11" s="370"/>
      <c r="HA11" s="370"/>
      <c r="HB11" s="370"/>
      <c r="HC11" s="370"/>
      <c r="HD11" s="370"/>
      <c r="HE11" s="370"/>
      <c r="HF11" s="370"/>
      <c r="HG11" s="370"/>
      <c r="HH11" s="370"/>
    </row>
    <row r="12" spans="1:216" s="393" customFormat="1" ht="18" customHeight="1">
      <c r="A12" s="382"/>
      <c r="B12" s="382" t="s">
        <v>9958</v>
      </c>
      <c r="C12" s="382"/>
      <c r="D12" s="374" t="s">
        <v>9970</v>
      </c>
      <c r="E12" s="382"/>
      <c r="F12" s="370"/>
      <c r="G12" s="370">
        <v>1</v>
      </c>
      <c r="H12" s="366"/>
      <c r="I12" s="382"/>
      <c r="J12" s="384"/>
      <c r="K12" s="384"/>
      <c r="L12" s="384"/>
      <c r="M12" s="358"/>
      <c r="N12" s="358"/>
      <c r="O12" s="358"/>
      <c r="P12" s="358"/>
      <c r="Q12" s="358"/>
      <c r="R12" s="384"/>
      <c r="S12" s="384"/>
      <c r="T12" s="384"/>
      <c r="U12" s="384"/>
      <c r="V12" s="384"/>
      <c r="W12" s="384"/>
      <c r="X12" s="384"/>
      <c r="Y12" s="384"/>
      <c r="Z12" s="384"/>
      <c r="AA12" s="384"/>
      <c r="AB12" s="384"/>
      <c r="AC12" s="384"/>
      <c r="AD12" s="384"/>
      <c r="AE12" s="384"/>
      <c r="AF12" s="384"/>
      <c r="AG12" s="384"/>
      <c r="AH12" s="384"/>
      <c r="AI12" s="384"/>
      <c r="AJ12" s="384"/>
      <c r="AK12" s="384"/>
      <c r="AL12" s="387"/>
      <c r="AM12" s="387"/>
      <c r="AN12" s="384"/>
      <c r="AO12" s="391"/>
      <c r="AP12" s="384"/>
      <c r="AQ12" s="384"/>
      <c r="AR12" s="384"/>
      <c r="AS12" s="384"/>
      <c r="AT12" s="384"/>
      <c r="AU12" s="384"/>
      <c r="AV12" s="384"/>
      <c r="AW12" s="384"/>
      <c r="AX12" s="384"/>
      <c r="AY12" s="384"/>
      <c r="AZ12" s="384"/>
      <c r="BA12" s="384"/>
      <c r="BB12" s="384"/>
      <c r="BC12" s="384"/>
      <c r="BD12" s="384"/>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70"/>
      <c r="CL12" s="370"/>
      <c r="CM12" s="370"/>
      <c r="CN12" s="370"/>
      <c r="CO12" s="370"/>
      <c r="CP12" s="370"/>
      <c r="CQ12" s="370"/>
      <c r="CR12" s="390"/>
      <c r="CS12" s="390"/>
      <c r="CT12" s="370"/>
      <c r="CU12" s="370"/>
      <c r="CV12" s="370"/>
      <c r="CW12" s="370"/>
      <c r="CX12" s="370"/>
      <c r="CY12" s="370"/>
      <c r="CZ12" s="370"/>
      <c r="DA12" s="370"/>
      <c r="DB12" s="370"/>
      <c r="DC12" s="370"/>
      <c r="DD12" s="370"/>
      <c r="DE12" s="370"/>
      <c r="DF12" s="370"/>
      <c r="DG12" s="370"/>
      <c r="DH12" s="370"/>
      <c r="DI12" s="370"/>
      <c r="DJ12" s="370"/>
      <c r="DK12" s="370"/>
      <c r="DL12" s="370"/>
      <c r="DM12" s="370"/>
      <c r="DN12" s="370"/>
      <c r="DO12" s="370"/>
      <c r="DP12" s="370"/>
      <c r="DQ12" s="370"/>
      <c r="DR12" s="370"/>
      <c r="DS12" s="370"/>
      <c r="DT12" s="370"/>
      <c r="DU12" s="384"/>
      <c r="DV12" s="384"/>
      <c r="DW12" s="370"/>
      <c r="DX12" s="384"/>
      <c r="DY12" s="384"/>
      <c r="DZ12" s="370"/>
      <c r="EA12" s="370"/>
      <c r="EB12" s="390"/>
      <c r="EC12" s="390"/>
      <c r="ED12" s="370"/>
      <c r="EE12" s="370"/>
      <c r="EF12" s="370"/>
      <c r="EG12" s="370"/>
      <c r="EH12" s="370"/>
      <c r="EI12" s="370"/>
      <c r="EJ12" s="370"/>
      <c r="EK12" s="370"/>
      <c r="EL12" s="370"/>
      <c r="EM12" s="370"/>
      <c r="EN12" s="370"/>
      <c r="EO12" s="370"/>
      <c r="EP12" s="370"/>
      <c r="EQ12" s="370"/>
      <c r="ER12" s="370"/>
      <c r="ES12" s="370"/>
      <c r="ET12" s="370"/>
      <c r="EU12" s="370"/>
      <c r="EV12" s="370"/>
      <c r="EW12" s="370"/>
      <c r="EX12" s="370"/>
      <c r="EY12" s="370"/>
      <c r="EZ12" s="370"/>
      <c r="FA12" s="370"/>
      <c r="FB12" s="370"/>
      <c r="FC12" s="370"/>
      <c r="FD12" s="370"/>
      <c r="FE12" s="370"/>
      <c r="FF12" s="370"/>
      <c r="FG12" s="370"/>
      <c r="FH12" s="370"/>
      <c r="FI12" s="370"/>
      <c r="FJ12" s="370"/>
      <c r="FK12" s="370"/>
      <c r="FL12" s="370"/>
      <c r="FM12" s="370"/>
      <c r="FN12" s="370"/>
      <c r="FO12" s="370"/>
      <c r="FP12" s="370"/>
      <c r="FQ12" s="370"/>
      <c r="FR12" s="370"/>
      <c r="FS12" s="370"/>
      <c r="FT12" s="370"/>
      <c r="FU12" s="370"/>
      <c r="FV12" s="370"/>
      <c r="FW12" s="370"/>
      <c r="FX12" s="370"/>
      <c r="FY12" s="370"/>
      <c r="FZ12" s="370"/>
      <c r="GA12" s="370"/>
      <c r="GB12" s="370"/>
      <c r="GC12" s="370"/>
      <c r="GD12" s="370"/>
      <c r="GE12" s="370"/>
      <c r="GF12" s="370"/>
      <c r="GG12" s="370"/>
      <c r="GH12" s="370"/>
      <c r="GI12" s="370"/>
      <c r="GJ12" s="370"/>
      <c r="GK12" s="370"/>
      <c r="GL12" s="370"/>
      <c r="GM12" s="370"/>
      <c r="GN12" s="370"/>
      <c r="GO12" s="370"/>
      <c r="GP12" s="370"/>
      <c r="GQ12" s="370"/>
      <c r="GR12" s="370"/>
      <c r="GS12" s="370"/>
      <c r="GT12" s="370"/>
      <c r="GU12" s="370"/>
      <c r="GV12" s="370"/>
      <c r="GW12" s="370"/>
      <c r="GX12" s="370"/>
      <c r="GY12" s="370"/>
      <c r="GZ12" s="370"/>
      <c r="HA12" s="370"/>
      <c r="HB12" s="370"/>
      <c r="HC12" s="370"/>
      <c r="HD12" s="370"/>
      <c r="HE12" s="370"/>
      <c r="HF12" s="370"/>
      <c r="HG12" s="370"/>
      <c r="HH12" s="370"/>
    </row>
    <row r="13" spans="1:216" s="393" customFormat="1" ht="18" customHeight="1">
      <c r="A13" s="382"/>
      <c r="B13" s="382" t="s">
        <v>10633</v>
      </c>
      <c r="C13" s="382"/>
      <c r="D13" s="374" t="s">
        <v>10634</v>
      </c>
      <c r="E13" s="382"/>
      <c r="F13" s="370"/>
      <c r="G13" s="370">
        <v>1</v>
      </c>
      <c r="H13" s="366"/>
      <c r="I13" s="382"/>
      <c r="J13" s="384"/>
      <c r="K13" s="384"/>
      <c r="L13" s="384"/>
      <c r="M13" s="358"/>
      <c r="N13" s="358"/>
      <c r="O13" s="358"/>
      <c r="P13" s="358"/>
      <c r="Q13" s="358"/>
      <c r="R13" s="384"/>
      <c r="S13" s="384"/>
      <c r="T13" s="384"/>
      <c r="U13" s="384"/>
      <c r="V13" s="384"/>
      <c r="W13" s="384"/>
      <c r="X13" s="384"/>
      <c r="Y13" s="384"/>
      <c r="Z13" s="384"/>
      <c r="AA13" s="384"/>
      <c r="AB13" s="384"/>
      <c r="AC13" s="384"/>
      <c r="AD13" s="384"/>
      <c r="AE13" s="384"/>
      <c r="AF13" s="384"/>
      <c r="AG13" s="384"/>
      <c r="AH13" s="384"/>
      <c r="AI13" s="384"/>
      <c r="AJ13" s="384"/>
      <c r="AK13" s="384"/>
      <c r="AL13" s="387"/>
      <c r="AM13" s="387"/>
      <c r="AN13" s="384"/>
      <c r="AO13" s="391"/>
      <c r="AP13" s="384"/>
      <c r="AQ13" s="384"/>
      <c r="AR13" s="384"/>
      <c r="AS13" s="384"/>
      <c r="AT13" s="384"/>
      <c r="AU13" s="384"/>
      <c r="AV13" s="384"/>
      <c r="AW13" s="384"/>
      <c r="AX13" s="384"/>
      <c r="AY13" s="384"/>
      <c r="AZ13" s="384"/>
      <c r="BA13" s="384"/>
      <c r="BB13" s="384"/>
      <c r="BC13" s="384"/>
      <c r="BD13" s="384"/>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70"/>
      <c r="CL13" s="370"/>
      <c r="CM13" s="370"/>
      <c r="CN13" s="370"/>
      <c r="CO13" s="370"/>
      <c r="CP13" s="370"/>
      <c r="CQ13" s="370"/>
      <c r="CR13" s="390"/>
      <c r="CS13" s="390"/>
      <c r="CT13" s="370"/>
      <c r="CU13" s="370"/>
      <c r="CV13" s="370"/>
      <c r="CW13" s="370"/>
      <c r="CX13" s="370"/>
      <c r="CY13" s="370"/>
      <c r="CZ13" s="370"/>
      <c r="DA13" s="370"/>
      <c r="DB13" s="370"/>
      <c r="DC13" s="370"/>
      <c r="DD13" s="370"/>
      <c r="DE13" s="370"/>
      <c r="DF13" s="370"/>
      <c r="DG13" s="370"/>
      <c r="DH13" s="370"/>
      <c r="DI13" s="370"/>
      <c r="DJ13" s="370"/>
      <c r="DK13" s="370"/>
      <c r="DL13" s="370"/>
      <c r="DM13" s="370"/>
      <c r="DN13" s="370"/>
      <c r="DO13" s="370"/>
      <c r="DP13" s="370"/>
      <c r="DQ13" s="370"/>
      <c r="DR13" s="370"/>
      <c r="DS13" s="370"/>
      <c r="DT13" s="370"/>
      <c r="DU13" s="384"/>
      <c r="DV13" s="384"/>
      <c r="DW13" s="370"/>
      <c r="DX13" s="384"/>
      <c r="DY13" s="384"/>
      <c r="DZ13" s="370"/>
      <c r="EA13" s="370"/>
      <c r="EB13" s="390"/>
      <c r="EC13" s="390"/>
      <c r="ED13" s="370"/>
      <c r="EE13" s="370"/>
      <c r="EF13" s="370"/>
      <c r="EG13" s="370"/>
      <c r="EH13" s="370"/>
      <c r="EI13" s="370"/>
      <c r="EJ13" s="370"/>
      <c r="EK13" s="370"/>
      <c r="EL13" s="370"/>
      <c r="EM13" s="370"/>
      <c r="EN13" s="370"/>
      <c r="EO13" s="370"/>
      <c r="EP13" s="370"/>
      <c r="EQ13" s="370"/>
      <c r="ER13" s="370"/>
      <c r="ES13" s="370"/>
      <c r="ET13" s="370"/>
      <c r="EU13" s="370"/>
      <c r="EV13" s="370"/>
      <c r="EW13" s="370"/>
      <c r="EX13" s="370"/>
      <c r="EY13" s="370"/>
      <c r="EZ13" s="370"/>
      <c r="FA13" s="370"/>
      <c r="FB13" s="370"/>
      <c r="FC13" s="370"/>
      <c r="FD13" s="370"/>
      <c r="FE13" s="370"/>
      <c r="FF13" s="370"/>
      <c r="FG13" s="370"/>
      <c r="FH13" s="370"/>
      <c r="FI13" s="370"/>
      <c r="FJ13" s="370"/>
      <c r="FK13" s="370"/>
      <c r="FL13" s="370"/>
      <c r="FM13" s="370"/>
      <c r="FN13" s="370"/>
      <c r="FO13" s="370"/>
      <c r="FP13" s="370"/>
      <c r="FQ13" s="370"/>
      <c r="FR13" s="370"/>
      <c r="FS13" s="370"/>
      <c r="FT13" s="370"/>
      <c r="FU13" s="370"/>
      <c r="FV13" s="370"/>
      <c r="FW13" s="370"/>
      <c r="FX13" s="370"/>
      <c r="FY13" s="370"/>
      <c r="FZ13" s="370"/>
      <c r="GA13" s="370"/>
      <c r="GB13" s="370"/>
      <c r="GC13" s="370"/>
      <c r="GD13" s="370"/>
      <c r="GE13" s="370"/>
      <c r="GF13" s="370"/>
      <c r="GG13" s="370"/>
      <c r="GH13" s="370"/>
      <c r="GI13" s="370"/>
      <c r="GJ13" s="370"/>
      <c r="GK13" s="370"/>
      <c r="GL13" s="370"/>
      <c r="GM13" s="370"/>
      <c r="GN13" s="370"/>
      <c r="GO13" s="370"/>
      <c r="GP13" s="370"/>
      <c r="GQ13" s="370"/>
      <c r="GR13" s="370"/>
      <c r="GS13" s="370"/>
      <c r="GT13" s="370"/>
      <c r="GU13" s="370"/>
      <c r="GV13" s="370"/>
      <c r="GW13" s="370"/>
      <c r="GX13" s="370"/>
      <c r="GY13" s="370"/>
      <c r="GZ13" s="370"/>
      <c r="HA13" s="370"/>
      <c r="HB13" s="370"/>
      <c r="HC13" s="370"/>
      <c r="HD13" s="370"/>
      <c r="HE13" s="370"/>
      <c r="HF13" s="370"/>
      <c r="HG13" s="370"/>
      <c r="HH13" s="370"/>
    </row>
    <row r="14" spans="1:216" s="393" customFormat="1" ht="18" customHeight="1">
      <c r="A14" s="382"/>
      <c r="B14" s="382" t="s">
        <v>9959</v>
      </c>
      <c r="C14" s="382"/>
      <c r="D14" s="374" t="s">
        <v>9971</v>
      </c>
      <c r="E14" s="382"/>
      <c r="F14" s="370"/>
      <c r="G14" s="390">
        <v>1</v>
      </c>
      <c r="H14" s="366"/>
      <c r="I14" s="382"/>
      <c r="J14" s="384"/>
      <c r="K14" s="384"/>
      <c r="L14" s="384"/>
      <c r="M14" s="358"/>
      <c r="N14" s="358"/>
      <c r="O14" s="358"/>
      <c r="P14" s="358"/>
      <c r="Q14" s="358"/>
      <c r="R14" s="384"/>
      <c r="S14" s="384"/>
      <c r="T14" s="384"/>
      <c r="U14" s="384"/>
      <c r="V14" s="384"/>
      <c r="W14" s="384"/>
      <c r="X14" s="384"/>
      <c r="Y14" s="384"/>
      <c r="Z14" s="384"/>
      <c r="AA14" s="384"/>
      <c r="AB14" s="384"/>
      <c r="AC14" s="384"/>
      <c r="AD14" s="384"/>
      <c r="AE14" s="384"/>
      <c r="AF14" s="384"/>
      <c r="AG14" s="384"/>
      <c r="AH14" s="384"/>
      <c r="AI14" s="384"/>
      <c r="AJ14" s="384"/>
      <c r="AK14" s="384"/>
      <c r="AL14" s="387"/>
      <c r="AM14" s="387"/>
      <c r="AN14" s="384"/>
      <c r="AO14" s="391"/>
      <c r="AP14" s="384"/>
      <c r="AQ14" s="384"/>
      <c r="AR14" s="384"/>
      <c r="AS14" s="384"/>
      <c r="AT14" s="384"/>
      <c r="AU14" s="384"/>
      <c r="AV14" s="384"/>
      <c r="AW14" s="384"/>
      <c r="AX14" s="384"/>
      <c r="AY14" s="384"/>
      <c r="AZ14" s="384"/>
      <c r="BA14" s="384"/>
      <c r="BB14" s="384"/>
      <c r="BC14" s="384"/>
      <c r="BD14" s="384"/>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70"/>
      <c r="CL14" s="370"/>
      <c r="CM14" s="370"/>
      <c r="CN14" s="370"/>
      <c r="CO14" s="370"/>
      <c r="CP14" s="370"/>
      <c r="CQ14" s="370"/>
      <c r="CR14" s="390"/>
      <c r="CS14" s="390"/>
      <c r="CT14" s="370"/>
      <c r="CU14" s="370"/>
      <c r="CV14" s="370"/>
      <c r="CW14" s="370"/>
      <c r="CX14" s="370"/>
      <c r="CY14" s="370"/>
      <c r="CZ14" s="370"/>
      <c r="DA14" s="370"/>
      <c r="DB14" s="370"/>
      <c r="DC14" s="370"/>
      <c r="DD14" s="370"/>
      <c r="DE14" s="370"/>
      <c r="DF14" s="370"/>
      <c r="DG14" s="370"/>
      <c r="DH14" s="370"/>
      <c r="DI14" s="370"/>
      <c r="DJ14" s="370"/>
      <c r="DK14" s="370"/>
      <c r="DL14" s="370"/>
      <c r="DM14" s="370"/>
      <c r="DN14" s="370"/>
      <c r="DO14" s="370"/>
      <c r="DP14" s="370"/>
      <c r="DQ14" s="370"/>
      <c r="DR14" s="370"/>
      <c r="DS14" s="370"/>
      <c r="DT14" s="370"/>
      <c r="DU14" s="384"/>
      <c r="DV14" s="384"/>
      <c r="DW14" s="370"/>
      <c r="DX14" s="384"/>
      <c r="DY14" s="384"/>
      <c r="DZ14" s="370"/>
      <c r="EA14" s="370"/>
      <c r="EB14" s="390"/>
      <c r="EC14" s="390"/>
      <c r="ED14" s="370"/>
      <c r="EE14" s="370"/>
      <c r="EF14" s="370"/>
      <c r="EG14" s="370"/>
      <c r="EH14" s="370"/>
      <c r="EI14" s="370"/>
      <c r="EJ14" s="370"/>
      <c r="EK14" s="370"/>
      <c r="EL14" s="370"/>
      <c r="EM14" s="370"/>
      <c r="EN14" s="370"/>
      <c r="EO14" s="370"/>
      <c r="EP14" s="370"/>
      <c r="EQ14" s="370"/>
      <c r="ER14" s="370"/>
      <c r="ES14" s="370"/>
      <c r="ET14" s="370"/>
      <c r="EU14" s="370"/>
      <c r="EV14" s="370"/>
      <c r="EW14" s="370"/>
      <c r="EX14" s="370"/>
      <c r="EY14" s="370"/>
      <c r="EZ14" s="370"/>
      <c r="FA14" s="370"/>
      <c r="FB14" s="370"/>
      <c r="FC14" s="370"/>
      <c r="FD14" s="370"/>
      <c r="FE14" s="370"/>
      <c r="FF14" s="370"/>
      <c r="FG14" s="370"/>
      <c r="FH14" s="370"/>
      <c r="FI14" s="370"/>
      <c r="FJ14" s="370"/>
      <c r="FK14" s="370"/>
      <c r="FL14" s="370"/>
      <c r="FM14" s="370"/>
      <c r="FN14" s="370"/>
      <c r="FO14" s="370"/>
      <c r="FP14" s="370"/>
      <c r="FQ14" s="370"/>
      <c r="FR14" s="370"/>
      <c r="FS14" s="370"/>
      <c r="FT14" s="370"/>
      <c r="FU14" s="370"/>
      <c r="FV14" s="370"/>
      <c r="FW14" s="370"/>
      <c r="FX14" s="370"/>
      <c r="FY14" s="370"/>
      <c r="FZ14" s="370"/>
      <c r="GA14" s="370"/>
      <c r="GB14" s="370"/>
      <c r="GC14" s="370"/>
      <c r="GD14" s="370"/>
      <c r="GE14" s="370"/>
      <c r="GF14" s="370"/>
      <c r="GG14" s="370"/>
      <c r="GH14" s="370"/>
      <c r="GI14" s="370"/>
      <c r="GJ14" s="370"/>
      <c r="GK14" s="370"/>
      <c r="GL14" s="370"/>
      <c r="GM14" s="370"/>
      <c r="GN14" s="370"/>
      <c r="GO14" s="370"/>
      <c r="GP14" s="370"/>
      <c r="GQ14" s="370"/>
      <c r="GR14" s="370"/>
      <c r="GS14" s="370"/>
      <c r="GT14" s="370"/>
      <c r="GU14" s="370"/>
      <c r="GV14" s="370"/>
      <c r="GW14" s="370"/>
      <c r="GX14" s="370"/>
      <c r="GY14" s="370"/>
      <c r="GZ14" s="370"/>
      <c r="HA14" s="370"/>
      <c r="HB14" s="370"/>
      <c r="HC14" s="370"/>
      <c r="HD14" s="370"/>
      <c r="HE14" s="370"/>
      <c r="HF14" s="370"/>
      <c r="HG14" s="370"/>
      <c r="HH14" s="370"/>
    </row>
    <row r="15" spans="1:216" s="393" customFormat="1" ht="18" customHeight="1">
      <c r="A15" s="382"/>
      <c r="B15" s="382" t="s">
        <v>10060</v>
      </c>
      <c r="C15" s="382"/>
      <c r="D15" s="374" t="s">
        <v>10075</v>
      </c>
      <c r="E15" s="382"/>
      <c r="F15" s="370"/>
      <c r="G15" s="390">
        <v>1</v>
      </c>
      <c r="H15" s="366"/>
      <c r="I15" s="382"/>
      <c r="J15" s="384"/>
      <c r="K15" s="384"/>
      <c r="L15" s="384"/>
      <c r="M15" s="358"/>
      <c r="N15" s="358"/>
      <c r="O15" s="358"/>
      <c r="P15" s="358"/>
      <c r="Q15" s="358"/>
      <c r="R15" s="384"/>
      <c r="S15" s="384"/>
      <c r="T15" s="384"/>
      <c r="U15" s="384"/>
      <c r="V15" s="384"/>
      <c r="W15" s="384"/>
      <c r="X15" s="384"/>
      <c r="Y15" s="384"/>
      <c r="Z15" s="384"/>
      <c r="AA15" s="384"/>
      <c r="AB15" s="384"/>
      <c r="AC15" s="384"/>
      <c r="AD15" s="384"/>
      <c r="AE15" s="384"/>
      <c r="AF15" s="384"/>
      <c r="AG15" s="384"/>
      <c r="AH15" s="384"/>
      <c r="AI15" s="384"/>
      <c r="AJ15" s="384"/>
      <c r="AK15" s="384"/>
      <c r="AL15" s="387"/>
      <c r="AM15" s="387"/>
      <c r="AN15" s="384"/>
      <c r="AO15" s="391"/>
      <c r="AP15" s="384"/>
      <c r="AQ15" s="384"/>
      <c r="AR15" s="384"/>
      <c r="AS15" s="384"/>
      <c r="AT15" s="384"/>
      <c r="AU15" s="384"/>
      <c r="AV15" s="384"/>
      <c r="AW15" s="384"/>
      <c r="AX15" s="384"/>
      <c r="AY15" s="384"/>
      <c r="AZ15" s="384"/>
      <c r="BA15" s="384"/>
      <c r="BB15" s="384"/>
      <c r="BC15" s="384"/>
      <c r="BD15" s="384"/>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70"/>
      <c r="CL15" s="370"/>
      <c r="CM15" s="370"/>
      <c r="CN15" s="370"/>
      <c r="CO15" s="370"/>
      <c r="CP15" s="370"/>
      <c r="CQ15" s="370"/>
      <c r="CR15" s="390"/>
      <c r="CS15" s="390"/>
      <c r="CT15" s="370"/>
      <c r="CU15" s="370"/>
      <c r="CV15" s="370"/>
      <c r="CW15" s="370"/>
      <c r="CX15" s="370"/>
      <c r="CY15" s="370"/>
      <c r="CZ15" s="370"/>
      <c r="DA15" s="370"/>
      <c r="DB15" s="370"/>
      <c r="DC15" s="370"/>
      <c r="DD15" s="370"/>
      <c r="DE15" s="370"/>
      <c r="DF15" s="370"/>
      <c r="DG15" s="370"/>
      <c r="DH15" s="370"/>
      <c r="DI15" s="370"/>
      <c r="DJ15" s="370"/>
      <c r="DK15" s="370"/>
      <c r="DL15" s="370"/>
      <c r="DM15" s="370"/>
      <c r="DN15" s="370"/>
      <c r="DO15" s="370"/>
      <c r="DP15" s="370"/>
      <c r="DQ15" s="370"/>
      <c r="DR15" s="370"/>
      <c r="DS15" s="370"/>
      <c r="DT15" s="370"/>
      <c r="DU15" s="384"/>
      <c r="DV15" s="384"/>
      <c r="DW15" s="370"/>
      <c r="DX15" s="384"/>
      <c r="DY15" s="384"/>
      <c r="DZ15" s="370"/>
      <c r="EA15" s="370"/>
      <c r="EB15" s="390"/>
      <c r="EC15" s="390"/>
      <c r="ED15" s="370"/>
      <c r="EE15" s="370"/>
      <c r="EF15" s="370"/>
      <c r="EG15" s="370"/>
      <c r="EH15" s="370"/>
      <c r="EI15" s="370"/>
      <c r="EJ15" s="370"/>
      <c r="EK15" s="370"/>
      <c r="EL15" s="370"/>
      <c r="EM15" s="370"/>
      <c r="EN15" s="370"/>
      <c r="EO15" s="370"/>
      <c r="EP15" s="370"/>
      <c r="EQ15" s="370"/>
      <c r="ER15" s="370"/>
      <c r="ES15" s="370"/>
      <c r="ET15" s="370"/>
      <c r="EU15" s="370"/>
      <c r="EV15" s="370"/>
      <c r="EW15" s="370"/>
      <c r="EX15" s="370"/>
      <c r="EY15" s="370"/>
      <c r="EZ15" s="370"/>
      <c r="FA15" s="370"/>
      <c r="FB15" s="370"/>
      <c r="FC15" s="370"/>
      <c r="FD15" s="370"/>
      <c r="FE15" s="370"/>
      <c r="FF15" s="370"/>
      <c r="FG15" s="370"/>
      <c r="FH15" s="370"/>
      <c r="FI15" s="370"/>
      <c r="FJ15" s="370"/>
      <c r="FK15" s="370"/>
      <c r="FL15" s="370"/>
      <c r="FM15" s="370"/>
      <c r="FN15" s="370"/>
      <c r="FO15" s="370"/>
      <c r="FP15" s="370"/>
      <c r="FQ15" s="370"/>
      <c r="FR15" s="370"/>
      <c r="FS15" s="370"/>
      <c r="FT15" s="370"/>
      <c r="FU15" s="370"/>
      <c r="FV15" s="370"/>
      <c r="FW15" s="370"/>
      <c r="FX15" s="370"/>
      <c r="FY15" s="370"/>
      <c r="FZ15" s="370"/>
      <c r="GA15" s="370"/>
      <c r="GB15" s="370"/>
      <c r="GC15" s="370"/>
      <c r="GD15" s="370"/>
      <c r="GE15" s="370"/>
      <c r="GF15" s="370"/>
      <c r="GG15" s="370"/>
      <c r="GH15" s="370"/>
      <c r="GI15" s="370"/>
      <c r="GJ15" s="370"/>
      <c r="GK15" s="370"/>
      <c r="GL15" s="370"/>
      <c r="GM15" s="370"/>
      <c r="GN15" s="370"/>
      <c r="GO15" s="370"/>
      <c r="GP15" s="370"/>
      <c r="GQ15" s="370"/>
      <c r="GR15" s="370"/>
      <c r="GS15" s="370"/>
      <c r="GT15" s="370"/>
      <c r="GU15" s="370"/>
      <c r="GV15" s="370"/>
      <c r="GW15" s="370"/>
      <c r="GX15" s="370"/>
      <c r="GY15" s="370"/>
      <c r="GZ15" s="370"/>
      <c r="HA15" s="370"/>
      <c r="HB15" s="370"/>
      <c r="HC15" s="370"/>
      <c r="HD15" s="370"/>
      <c r="HE15" s="370"/>
      <c r="HF15" s="370"/>
      <c r="HG15" s="370"/>
      <c r="HH15" s="370"/>
    </row>
    <row r="16" spans="1:216" s="393" customFormat="1" ht="18" customHeight="1">
      <c r="A16" s="382"/>
      <c r="B16" s="382" t="s">
        <v>10074</v>
      </c>
      <c r="C16" s="382"/>
      <c r="D16" s="374" t="s">
        <v>10076</v>
      </c>
      <c r="E16" s="382"/>
      <c r="F16" s="370"/>
      <c r="G16" s="390">
        <v>1</v>
      </c>
      <c r="H16" s="366"/>
      <c r="I16" s="382"/>
      <c r="J16" s="384"/>
      <c r="K16" s="384"/>
      <c r="L16" s="384"/>
      <c r="M16" s="358"/>
      <c r="N16" s="358"/>
      <c r="O16" s="358"/>
      <c r="P16" s="358"/>
      <c r="Q16" s="358"/>
      <c r="R16" s="384"/>
      <c r="S16" s="384"/>
      <c r="T16" s="384"/>
      <c r="U16" s="384"/>
      <c r="V16" s="384"/>
      <c r="W16" s="384"/>
      <c r="X16" s="384"/>
      <c r="Y16" s="384"/>
      <c r="Z16" s="384"/>
      <c r="AA16" s="384"/>
      <c r="AB16" s="384"/>
      <c r="AC16" s="384"/>
      <c r="AD16" s="384"/>
      <c r="AE16" s="384"/>
      <c r="AF16" s="384"/>
      <c r="AG16" s="384"/>
      <c r="AH16" s="384"/>
      <c r="AI16" s="384"/>
      <c r="AJ16" s="384"/>
      <c r="AK16" s="384"/>
      <c r="AL16" s="387"/>
      <c r="AM16" s="387"/>
      <c r="AN16" s="384"/>
      <c r="AO16" s="391"/>
      <c r="AP16" s="384"/>
      <c r="AQ16" s="384"/>
      <c r="AR16" s="384"/>
      <c r="AS16" s="384"/>
      <c r="AT16" s="384"/>
      <c r="AU16" s="384"/>
      <c r="AV16" s="384"/>
      <c r="AW16" s="384"/>
      <c r="AX16" s="384"/>
      <c r="AY16" s="384"/>
      <c r="AZ16" s="384"/>
      <c r="BA16" s="384"/>
      <c r="BB16" s="384"/>
      <c r="BC16" s="384"/>
      <c r="BD16" s="384"/>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70"/>
      <c r="CL16" s="370"/>
      <c r="CM16" s="370"/>
      <c r="CN16" s="370"/>
      <c r="CO16" s="370"/>
      <c r="CP16" s="370"/>
      <c r="CQ16" s="370"/>
      <c r="CR16" s="390"/>
      <c r="CS16" s="390"/>
      <c r="CT16" s="370"/>
      <c r="CU16" s="370"/>
      <c r="CV16" s="370"/>
      <c r="CW16" s="370"/>
      <c r="CX16" s="370"/>
      <c r="CY16" s="370"/>
      <c r="CZ16" s="370"/>
      <c r="DA16" s="370"/>
      <c r="DB16" s="370"/>
      <c r="DC16" s="370"/>
      <c r="DD16" s="370"/>
      <c r="DE16" s="370"/>
      <c r="DF16" s="370"/>
      <c r="DG16" s="370"/>
      <c r="DH16" s="370"/>
      <c r="DI16" s="370"/>
      <c r="DJ16" s="370"/>
      <c r="DK16" s="370"/>
      <c r="DL16" s="370"/>
      <c r="DM16" s="370"/>
      <c r="DN16" s="370"/>
      <c r="DO16" s="370"/>
      <c r="DP16" s="370"/>
      <c r="DQ16" s="370"/>
      <c r="DR16" s="370"/>
      <c r="DS16" s="370"/>
      <c r="DT16" s="370"/>
      <c r="DU16" s="384"/>
      <c r="DV16" s="384"/>
      <c r="DW16" s="370"/>
      <c r="DX16" s="384"/>
      <c r="DY16" s="384"/>
      <c r="DZ16" s="370"/>
      <c r="EA16" s="370"/>
      <c r="EB16" s="390"/>
      <c r="EC16" s="390"/>
      <c r="ED16" s="370"/>
      <c r="EE16" s="370"/>
      <c r="EF16" s="370"/>
      <c r="EG16" s="370"/>
      <c r="EH16" s="370"/>
      <c r="EI16" s="370"/>
      <c r="EJ16" s="370"/>
      <c r="EK16" s="370"/>
      <c r="EL16" s="370"/>
      <c r="EM16" s="370"/>
      <c r="EN16" s="370"/>
      <c r="EO16" s="370"/>
      <c r="EP16" s="370"/>
      <c r="EQ16" s="370"/>
      <c r="ER16" s="370"/>
      <c r="ES16" s="370"/>
      <c r="ET16" s="370"/>
      <c r="EU16" s="370"/>
      <c r="EV16" s="370"/>
      <c r="EW16" s="370"/>
      <c r="EX16" s="370"/>
      <c r="EY16" s="370"/>
      <c r="EZ16" s="370"/>
      <c r="FA16" s="370"/>
      <c r="FB16" s="370"/>
      <c r="FC16" s="370"/>
      <c r="FD16" s="370"/>
      <c r="FE16" s="370"/>
      <c r="FF16" s="370"/>
      <c r="FG16" s="370"/>
      <c r="FH16" s="370"/>
      <c r="FI16" s="370"/>
      <c r="FJ16" s="370"/>
      <c r="FK16" s="370"/>
      <c r="FL16" s="370"/>
      <c r="FM16" s="370"/>
      <c r="FN16" s="370"/>
      <c r="FO16" s="370"/>
      <c r="FP16" s="370"/>
      <c r="FQ16" s="370"/>
      <c r="FR16" s="370"/>
      <c r="FS16" s="370"/>
      <c r="FT16" s="370"/>
      <c r="FU16" s="370"/>
      <c r="FV16" s="370"/>
      <c r="FW16" s="370"/>
      <c r="FX16" s="370"/>
      <c r="FY16" s="370"/>
      <c r="FZ16" s="370"/>
      <c r="GA16" s="370"/>
      <c r="GB16" s="370"/>
      <c r="GC16" s="370"/>
      <c r="GD16" s="370"/>
      <c r="GE16" s="370"/>
      <c r="GF16" s="370"/>
      <c r="GG16" s="370"/>
      <c r="GH16" s="370"/>
      <c r="GI16" s="370"/>
      <c r="GJ16" s="370"/>
      <c r="GK16" s="370"/>
      <c r="GL16" s="370"/>
      <c r="GM16" s="370"/>
      <c r="GN16" s="370"/>
      <c r="GO16" s="370"/>
      <c r="GP16" s="370"/>
      <c r="GQ16" s="370"/>
      <c r="GR16" s="370"/>
      <c r="GS16" s="370"/>
      <c r="GT16" s="370"/>
      <c r="GU16" s="370"/>
      <c r="GV16" s="370"/>
      <c r="GW16" s="370"/>
      <c r="GX16" s="370"/>
      <c r="GY16" s="370"/>
      <c r="GZ16" s="370"/>
      <c r="HA16" s="370"/>
      <c r="HB16" s="370"/>
      <c r="HC16" s="370"/>
      <c r="HD16" s="370"/>
      <c r="HE16" s="370"/>
      <c r="HF16" s="370"/>
      <c r="HG16" s="370"/>
      <c r="HH16" s="370"/>
    </row>
    <row r="17" spans="1:216" s="392" customFormat="1" ht="18" customHeight="1">
      <c r="A17" s="374"/>
      <c r="B17" s="374" t="s">
        <v>10629</v>
      </c>
      <c r="C17" s="374"/>
      <c r="D17" s="374" t="s">
        <v>10077</v>
      </c>
      <c r="E17" s="374"/>
      <c r="F17" s="374"/>
      <c r="G17" s="390">
        <v>1</v>
      </c>
      <c r="H17" s="377"/>
      <c r="I17" s="374"/>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4"/>
      <c r="AM17" s="384"/>
      <c r="AN17" s="387"/>
      <c r="AO17" s="391"/>
      <c r="AP17" s="387"/>
      <c r="AQ17" s="384"/>
      <c r="AR17" s="384"/>
      <c r="AS17" s="384"/>
      <c r="AT17" s="384"/>
      <c r="AU17" s="384"/>
      <c r="AV17" s="384"/>
      <c r="AW17" s="384"/>
      <c r="AX17" s="384"/>
      <c r="AY17" s="384"/>
      <c r="AZ17" s="384"/>
      <c r="BA17" s="384"/>
      <c r="BB17" s="384"/>
      <c r="BC17" s="384"/>
      <c r="BD17" s="384"/>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70"/>
      <c r="CL17" s="370"/>
      <c r="CM17" s="370"/>
      <c r="CN17" s="370"/>
      <c r="CO17" s="370"/>
      <c r="CP17" s="370"/>
      <c r="CQ17" s="370"/>
      <c r="CR17" s="390"/>
      <c r="CS17" s="390"/>
      <c r="CT17" s="370"/>
      <c r="CU17" s="370"/>
      <c r="CV17" s="370"/>
      <c r="CW17" s="370"/>
      <c r="CX17" s="370"/>
      <c r="CY17" s="370"/>
      <c r="CZ17" s="370"/>
      <c r="DA17" s="370"/>
      <c r="DB17" s="370"/>
      <c r="DC17" s="370"/>
      <c r="DD17" s="370"/>
      <c r="DE17" s="370"/>
      <c r="DF17" s="370"/>
      <c r="DG17" s="370"/>
      <c r="DH17" s="370"/>
      <c r="DI17" s="370"/>
      <c r="DJ17" s="370"/>
      <c r="DK17" s="370"/>
      <c r="DL17" s="370"/>
      <c r="DM17" s="370"/>
      <c r="DN17" s="370"/>
      <c r="DO17" s="370"/>
      <c r="DP17" s="370"/>
      <c r="DQ17" s="370"/>
      <c r="DR17" s="370"/>
      <c r="DS17" s="370"/>
      <c r="DT17" s="370"/>
      <c r="DU17" s="384"/>
      <c r="DV17" s="384"/>
      <c r="DW17" s="370"/>
      <c r="DX17" s="384"/>
      <c r="DY17" s="384"/>
      <c r="DZ17" s="370"/>
      <c r="EA17" s="370"/>
      <c r="EB17" s="390"/>
      <c r="EC17" s="390"/>
      <c r="ED17" s="370"/>
      <c r="EE17" s="370"/>
      <c r="EF17" s="370"/>
      <c r="EG17" s="370"/>
      <c r="EH17" s="370"/>
      <c r="EI17" s="370"/>
      <c r="EJ17" s="370"/>
      <c r="EK17" s="370"/>
      <c r="EL17" s="370"/>
      <c r="EM17" s="370"/>
      <c r="EN17" s="370"/>
      <c r="EO17" s="370"/>
      <c r="EP17" s="370"/>
      <c r="EQ17" s="370"/>
      <c r="ER17" s="370"/>
      <c r="ES17" s="370"/>
      <c r="ET17" s="370"/>
      <c r="EU17" s="370"/>
      <c r="EV17" s="370"/>
      <c r="EW17" s="370"/>
      <c r="EX17" s="370"/>
      <c r="EY17" s="370"/>
      <c r="EZ17" s="370"/>
      <c r="FA17" s="370"/>
      <c r="FB17" s="370"/>
      <c r="FC17" s="370"/>
      <c r="FD17" s="370"/>
      <c r="FE17" s="370"/>
      <c r="FF17" s="370"/>
      <c r="FG17" s="370"/>
      <c r="FH17" s="370"/>
      <c r="FI17" s="370"/>
      <c r="FJ17" s="370"/>
      <c r="FK17" s="370"/>
      <c r="FL17" s="370"/>
      <c r="FM17" s="370"/>
      <c r="FN17" s="370"/>
      <c r="FO17" s="370"/>
      <c r="FP17" s="370"/>
      <c r="FQ17" s="370"/>
      <c r="FR17" s="370"/>
      <c r="FS17" s="370"/>
      <c r="FT17" s="370"/>
      <c r="FU17" s="370"/>
      <c r="FV17" s="370"/>
      <c r="FW17" s="370"/>
      <c r="FX17" s="370"/>
      <c r="FY17" s="370"/>
      <c r="FZ17" s="370"/>
      <c r="GA17" s="370"/>
      <c r="GB17" s="370"/>
      <c r="GC17" s="370"/>
      <c r="GD17" s="370"/>
      <c r="GE17" s="370"/>
      <c r="GF17" s="370"/>
      <c r="GG17" s="370"/>
      <c r="GH17" s="370"/>
      <c r="GI17" s="370"/>
      <c r="GJ17" s="370"/>
      <c r="GK17" s="370"/>
      <c r="GL17" s="370"/>
      <c r="GM17" s="370"/>
      <c r="GN17" s="370"/>
      <c r="GO17" s="370"/>
      <c r="GP17" s="370"/>
      <c r="GQ17" s="370"/>
      <c r="GR17" s="370"/>
      <c r="GS17" s="370"/>
      <c r="GT17" s="370"/>
      <c r="GU17" s="370"/>
      <c r="GV17" s="370"/>
      <c r="GW17" s="370"/>
      <c r="GX17" s="370"/>
      <c r="GY17" s="370"/>
      <c r="GZ17" s="370"/>
      <c r="HA17" s="370"/>
      <c r="HB17" s="370"/>
      <c r="HC17" s="370"/>
      <c r="HD17" s="370"/>
      <c r="HE17" s="370"/>
      <c r="HF17" s="370"/>
      <c r="HG17" s="370"/>
      <c r="HH17" s="370"/>
    </row>
    <row r="18" spans="1:216" s="393" customFormat="1" ht="18" customHeight="1">
      <c r="A18" s="382"/>
      <c r="B18" s="382" t="s">
        <v>10635</v>
      </c>
      <c r="C18" s="382"/>
      <c r="D18" s="374" t="s">
        <v>10636</v>
      </c>
      <c r="E18" s="382"/>
      <c r="F18" s="370"/>
      <c r="G18" s="370">
        <v>1</v>
      </c>
      <c r="H18" s="366"/>
      <c r="I18" s="382"/>
      <c r="J18" s="384"/>
      <c r="K18" s="384"/>
      <c r="L18" s="384"/>
      <c r="M18" s="358"/>
      <c r="N18" s="358"/>
      <c r="O18" s="358"/>
      <c r="P18" s="358"/>
      <c r="Q18" s="358"/>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91"/>
      <c r="AP18" s="384"/>
      <c r="AQ18" s="384"/>
      <c r="AR18" s="384"/>
      <c r="AS18" s="384"/>
      <c r="AT18" s="384"/>
      <c r="AU18" s="384"/>
      <c r="AV18" s="384"/>
      <c r="AW18" s="384"/>
      <c r="AX18" s="384"/>
      <c r="AY18" s="384"/>
      <c r="AZ18" s="384"/>
      <c r="BA18" s="384"/>
      <c r="BB18" s="384"/>
      <c r="BC18" s="384"/>
      <c r="BD18" s="384"/>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70"/>
      <c r="CL18" s="370"/>
      <c r="CM18" s="370"/>
      <c r="CN18" s="370"/>
      <c r="CO18" s="370"/>
      <c r="CP18" s="370"/>
      <c r="CQ18" s="370"/>
      <c r="CR18" s="390"/>
      <c r="CS18" s="390"/>
      <c r="CT18" s="370"/>
      <c r="CU18" s="370"/>
      <c r="CV18" s="370"/>
      <c r="CW18" s="370"/>
      <c r="CX18" s="370"/>
      <c r="CY18" s="370"/>
      <c r="CZ18" s="370"/>
      <c r="DA18" s="370"/>
      <c r="DB18" s="370"/>
      <c r="DC18" s="370"/>
      <c r="DD18" s="370"/>
      <c r="DE18" s="370"/>
      <c r="DF18" s="370"/>
      <c r="DG18" s="370"/>
      <c r="DH18" s="370"/>
      <c r="DI18" s="370"/>
      <c r="DJ18" s="370"/>
      <c r="DK18" s="370"/>
      <c r="DL18" s="370"/>
      <c r="DM18" s="370"/>
      <c r="DN18" s="370"/>
      <c r="DO18" s="370"/>
      <c r="DP18" s="370"/>
      <c r="DQ18" s="370"/>
      <c r="DR18" s="370"/>
      <c r="DS18" s="370"/>
      <c r="DT18" s="370"/>
      <c r="DU18" s="384"/>
      <c r="DV18" s="384"/>
      <c r="DW18" s="370"/>
      <c r="DX18" s="384"/>
      <c r="DY18" s="384"/>
      <c r="DZ18" s="370"/>
      <c r="EA18" s="370"/>
      <c r="EB18" s="390"/>
      <c r="EC18" s="390"/>
      <c r="ED18" s="370"/>
      <c r="EE18" s="370"/>
      <c r="EF18" s="370"/>
      <c r="EG18" s="370"/>
      <c r="EH18" s="370"/>
      <c r="EI18" s="370"/>
      <c r="EJ18" s="370"/>
      <c r="EK18" s="370"/>
      <c r="EL18" s="370"/>
      <c r="EM18" s="370"/>
      <c r="EN18" s="370"/>
      <c r="EO18" s="370"/>
      <c r="EP18" s="370"/>
      <c r="EQ18" s="370"/>
      <c r="ER18" s="370"/>
      <c r="ES18" s="370"/>
      <c r="ET18" s="370"/>
      <c r="EU18" s="370"/>
      <c r="EV18" s="370"/>
      <c r="EW18" s="370"/>
      <c r="EX18" s="370"/>
      <c r="EY18" s="370"/>
      <c r="EZ18" s="370"/>
      <c r="FA18" s="370"/>
      <c r="FB18" s="370"/>
      <c r="FC18" s="370"/>
      <c r="FD18" s="370"/>
      <c r="FE18" s="370"/>
      <c r="FF18" s="370"/>
      <c r="FG18" s="370"/>
      <c r="FH18" s="370"/>
      <c r="FI18" s="370"/>
      <c r="FJ18" s="370"/>
      <c r="FK18" s="370"/>
      <c r="FL18" s="370"/>
      <c r="FM18" s="370"/>
      <c r="FN18" s="370"/>
      <c r="FO18" s="370"/>
      <c r="FP18" s="370"/>
      <c r="FQ18" s="370"/>
      <c r="FR18" s="370"/>
      <c r="FS18" s="370"/>
      <c r="FT18" s="370"/>
      <c r="FU18" s="370"/>
      <c r="FV18" s="370"/>
      <c r="FW18" s="370"/>
      <c r="FX18" s="370"/>
      <c r="FY18" s="370"/>
      <c r="FZ18" s="370"/>
      <c r="GA18" s="370"/>
      <c r="GB18" s="370"/>
      <c r="GC18" s="370"/>
      <c r="GD18" s="370"/>
      <c r="GE18" s="370"/>
      <c r="GF18" s="370"/>
      <c r="GG18" s="370"/>
      <c r="GH18" s="370"/>
      <c r="GI18" s="370"/>
      <c r="GJ18" s="370"/>
      <c r="GK18" s="370"/>
      <c r="GL18" s="370"/>
      <c r="GM18" s="370"/>
      <c r="GN18" s="370"/>
      <c r="GO18" s="370"/>
      <c r="GP18" s="370"/>
      <c r="GQ18" s="370"/>
      <c r="GR18" s="370"/>
      <c r="GS18" s="370"/>
      <c r="GT18" s="370"/>
      <c r="GU18" s="370"/>
      <c r="GV18" s="370"/>
      <c r="GW18" s="370"/>
      <c r="GX18" s="370"/>
      <c r="GY18" s="370"/>
      <c r="GZ18" s="370"/>
      <c r="HA18" s="370"/>
      <c r="HB18" s="370"/>
      <c r="HC18" s="370"/>
      <c r="HD18" s="370"/>
      <c r="HE18" s="370"/>
      <c r="HF18" s="370"/>
      <c r="HG18" s="370"/>
      <c r="HH18" s="370"/>
    </row>
    <row r="19" spans="1:216" s="393" customFormat="1" ht="18" customHeight="1">
      <c r="A19" s="382"/>
      <c r="B19" s="382" t="s">
        <v>10637</v>
      </c>
      <c r="C19" s="382"/>
      <c r="D19" s="374" t="s">
        <v>10638</v>
      </c>
      <c r="E19" s="382" t="s">
        <v>10639</v>
      </c>
      <c r="F19" s="370"/>
      <c r="G19" s="370">
        <v>1</v>
      </c>
      <c r="H19" s="366"/>
      <c r="I19" s="382"/>
      <c r="J19" s="384"/>
      <c r="K19" s="384"/>
      <c r="L19" s="384"/>
      <c r="M19" s="358"/>
      <c r="N19" s="358"/>
      <c r="O19" s="358"/>
      <c r="P19" s="358"/>
      <c r="Q19" s="358"/>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91"/>
      <c r="AP19" s="384"/>
      <c r="AQ19" s="384"/>
      <c r="AR19" s="384"/>
      <c r="AS19" s="384"/>
      <c r="AT19" s="384"/>
      <c r="AU19" s="384"/>
      <c r="AV19" s="384"/>
      <c r="AW19" s="384"/>
      <c r="AX19" s="384"/>
      <c r="AY19" s="384"/>
      <c r="AZ19" s="384"/>
      <c r="BA19" s="384"/>
      <c r="BB19" s="384"/>
      <c r="BC19" s="384"/>
      <c r="BD19" s="384"/>
      <c r="BE19" s="387"/>
      <c r="BF19" s="387"/>
      <c r="BG19" s="387"/>
      <c r="BH19" s="387"/>
      <c r="BI19" s="387"/>
      <c r="BJ19" s="387"/>
      <c r="BK19" s="387"/>
      <c r="BL19" s="387"/>
      <c r="BM19" s="387"/>
      <c r="BN19" s="387"/>
      <c r="BO19" s="387"/>
      <c r="BP19" s="387"/>
      <c r="BQ19" s="387"/>
      <c r="BR19" s="387"/>
      <c r="BS19" s="387"/>
      <c r="BT19" s="387"/>
      <c r="BU19" s="387"/>
      <c r="BV19" s="387"/>
      <c r="BW19" s="387"/>
      <c r="BX19" s="387"/>
      <c r="BY19" s="387"/>
      <c r="BZ19" s="387"/>
      <c r="CA19" s="387"/>
      <c r="CB19" s="387"/>
      <c r="CC19" s="387"/>
      <c r="CD19" s="387"/>
      <c r="CE19" s="387"/>
      <c r="CF19" s="387"/>
      <c r="CG19" s="387"/>
      <c r="CH19" s="387"/>
      <c r="CI19" s="387"/>
      <c r="CJ19" s="387"/>
      <c r="CK19" s="370"/>
      <c r="CL19" s="370"/>
      <c r="CM19" s="370"/>
      <c r="CN19" s="370"/>
      <c r="CO19" s="370"/>
      <c r="CP19" s="370"/>
      <c r="CQ19" s="370"/>
      <c r="CR19" s="390"/>
      <c r="CS19" s="390"/>
      <c r="CT19" s="370"/>
      <c r="CU19" s="370"/>
      <c r="CV19" s="370"/>
      <c r="CW19" s="370"/>
      <c r="CX19" s="370"/>
      <c r="CY19" s="370"/>
      <c r="CZ19" s="370"/>
      <c r="DA19" s="370"/>
      <c r="DB19" s="370"/>
      <c r="DC19" s="370"/>
      <c r="DD19" s="370"/>
      <c r="DE19" s="370"/>
      <c r="DF19" s="370"/>
      <c r="DG19" s="370"/>
      <c r="DH19" s="370"/>
      <c r="DI19" s="370"/>
      <c r="DJ19" s="370"/>
      <c r="DK19" s="370"/>
      <c r="DL19" s="370"/>
      <c r="DM19" s="370"/>
      <c r="DN19" s="370"/>
      <c r="DO19" s="370"/>
      <c r="DP19" s="370"/>
      <c r="DQ19" s="370"/>
      <c r="DR19" s="370"/>
      <c r="DS19" s="370"/>
      <c r="DT19" s="370"/>
      <c r="DU19" s="384"/>
      <c r="DV19" s="384"/>
      <c r="DW19" s="370"/>
      <c r="DX19" s="384"/>
      <c r="DY19" s="384"/>
      <c r="DZ19" s="370"/>
      <c r="EA19" s="370"/>
      <c r="EB19" s="390"/>
      <c r="EC19" s="390"/>
      <c r="ED19" s="370"/>
      <c r="EE19" s="370"/>
      <c r="EF19" s="370"/>
      <c r="EG19" s="370"/>
      <c r="EH19" s="370"/>
      <c r="EI19" s="370"/>
      <c r="EJ19" s="370"/>
      <c r="EK19" s="370"/>
      <c r="EL19" s="370"/>
      <c r="EM19" s="370"/>
      <c r="EN19" s="370"/>
      <c r="EO19" s="370"/>
      <c r="EP19" s="370"/>
      <c r="EQ19" s="370"/>
      <c r="ER19" s="370"/>
      <c r="ES19" s="370"/>
      <c r="ET19" s="370"/>
      <c r="EU19" s="370"/>
      <c r="EV19" s="370"/>
      <c r="EW19" s="370"/>
      <c r="EX19" s="370"/>
      <c r="EY19" s="370"/>
      <c r="EZ19" s="370"/>
      <c r="FA19" s="370"/>
      <c r="FB19" s="370"/>
      <c r="FC19" s="370"/>
      <c r="FD19" s="370"/>
      <c r="FE19" s="370"/>
      <c r="FF19" s="370"/>
      <c r="FG19" s="370"/>
      <c r="FH19" s="370"/>
      <c r="FI19" s="370"/>
      <c r="FJ19" s="370"/>
      <c r="FK19" s="370"/>
      <c r="FL19" s="370"/>
      <c r="FM19" s="370"/>
      <c r="FN19" s="370"/>
      <c r="FO19" s="370"/>
      <c r="FP19" s="370"/>
      <c r="FQ19" s="370"/>
      <c r="FR19" s="370"/>
      <c r="FS19" s="370"/>
      <c r="FT19" s="370"/>
      <c r="FU19" s="370"/>
      <c r="FV19" s="370"/>
      <c r="FW19" s="370"/>
      <c r="FX19" s="370"/>
      <c r="FY19" s="370"/>
      <c r="FZ19" s="370"/>
      <c r="GA19" s="370"/>
      <c r="GB19" s="370"/>
      <c r="GC19" s="370"/>
      <c r="GD19" s="370"/>
      <c r="GE19" s="370"/>
      <c r="GF19" s="370"/>
      <c r="GG19" s="370"/>
      <c r="GH19" s="370"/>
      <c r="GI19" s="370"/>
      <c r="GJ19" s="370"/>
      <c r="GK19" s="370"/>
      <c r="GL19" s="370"/>
      <c r="GM19" s="370"/>
      <c r="GN19" s="370"/>
      <c r="GO19" s="370"/>
      <c r="GP19" s="370"/>
      <c r="GQ19" s="370"/>
      <c r="GR19" s="370"/>
      <c r="GS19" s="370"/>
      <c r="GT19" s="370"/>
      <c r="GU19" s="370"/>
      <c r="GV19" s="370"/>
      <c r="GW19" s="370"/>
      <c r="GX19" s="370"/>
      <c r="GY19" s="370"/>
      <c r="GZ19" s="370"/>
      <c r="HA19" s="370"/>
      <c r="HB19" s="370"/>
      <c r="HC19" s="370"/>
      <c r="HD19" s="370"/>
      <c r="HE19" s="370"/>
      <c r="HF19" s="370"/>
      <c r="HG19" s="370"/>
      <c r="HH19" s="370"/>
    </row>
    <row r="20" spans="1:216" s="393" customFormat="1" ht="18" customHeight="1">
      <c r="A20" s="382"/>
      <c r="B20" s="382" t="s">
        <v>10640</v>
      </c>
      <c r="C20" s="382"/>
      <c r="D20" s="374" t="s">
        <v>10641</v>
      </c>
      <c r="E20" s="382" t="s">
        <v>10642</v>
      </c>
      <c r="F20" s="370"/>
      <c r="G20" s="370">
        <v>1</v>
      </c>
      <c r="H20" s="366"/>
      <c r="I20" s="382"/>
      <c r="J20" s="384"/>
      <c r="K20" s="384"/>
      <c r="L20" s="384"/>
      <c r="M20" s="358"/>
      <c r="N20" s="358"/>
      <c r="O20" s="358"/>
      <c r="P20" s="358"/>
      <c r="Q20" s="358"/>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91"/>
      <c r="AP20" s="384"/>
      <c r="AQ20" s="384"/>
      <c r="AR20" s="384"/>
      <c r="AS20" s="384"/>
      <c r="AT20" s="384"/>
      <c r="AU20" s="384"/>
      <c r="AV20" s="384"/>
      <c r="AW20" s="384"/>
      <c r="AX20" s="384"/>
      <c r="AY20" s="384"/>
      <c r="AZ20" s="384"/>
      <c r="BA20" s="384"/>
      <c r="BB20" s="384"/>
      <c r="BC20" s="384"/>
      <c r="BD20" s="384"/>
      <c r="BE20" s="387"/>
      <c r="BF20" s="387"/>
      <c r="BG20" s="387"/>
      <c r="BH20" s="387"/>
      <c r="BI20" s="387"/>
      <c r="BJ20" s="387"/>
      <c r="BK20" s="387"/>
      <c r="BL20" s="387"/>
      <c r="BM20" s="387"/>
      <c r="BN20" s="387"/>
      <c r="BO20" s="387"/>
      <c r="BP20" s="387"/>
      <c r="BQ20" s="387"/>
      <c r="BR20" s="387"/>
      <c r="BS20" s="387"/>
      <c r="BT20" s="387"/>
      <c r="BU20" s="387"/>
      <c r="BV20" s="387"/>
      <c r="BW20" s="387"/>
      <c r="BX20" s="387"/>
      <c r="BY20" s="387"/>
      <c r="BZ20" s="387"/>
      <c r="CA20" s="387"/>
      <c r="CB20" s="387"/>
      <c r="CC20" s="387"/>
      <c r="CD20" s="387"/>
      <c r="CE20" s="387"/>
      <c r="CF20" s="387"/>
      <c r="CG20" s="387"/>
      <c r="CH20" s="387"/>
      <c r="CI20" s="387"/>
      <c r="CJ20" s="387"/>
      <c r="CK20" s="370"/>
      <c r="CL20" s="370"/>
      <c r="CM20" s="370"/>
      <c r="CN20" s="370"/>
      <c r="CO20" s="370"/>
      <c r="CP20" s="370"/>
      <c r="CQ20" s="370"/>
      <c r="CR20" s="390"/>
      <c r="CS20" s="390"/>
      <c r="CT20" s="370"/>
      <c r="CU20" s="370"/>
      <c r="CV20" s="370"/>
      <c r="CW20" s="370"/>
      <c r="CX20" s="370"/>
      <c r="CY20" s="370"/>
      <c r="CZ20" s="370"/>
      <c r="DA20" s="370"/>
      <c r="DB20" s="370"/>
      <c r="DC20" s="370"/>
      <c r="DD20" s="370"/>
      <c r="DE20" s="370"/>
      <c r="DF20" s="370"/>
      <c r="DG20" s="370"/>
      <c r="DH20" s="370"/>
      <c r="DI20" s="370"/>
      <c r="DJ20" s="370"/>
      <c r="DK20" s="370"/>
      <c r="DL20" s="370"/>
      <c r="DM20" s="370"/>
      <c r="DN20" s="370"/>
      <c r="DO20" s="370"/>
      <c r="DP20" s="370"/>
      <c r="DQ20" s="370"/>
      <c r="DR20" s="370"/>
      <c r="DS20" s="370"/>
      <c r="DT20" s="370"/>
      <c r="DU20" s="384"/>
      <c r="DV20" s="384"/>
      <c r="DW20" s="370"/>
      <c r="DX20" s="384"/>
      <c r="DY20" s="384"/>
      <c r="DZ20" s="370"/>
      <c r="EA20" s="370"/>
      <c r="EB20" s="390"/>
      <c r="EC20" s="390"/>
      <c r="ED20" s="370"/>
      <c r="EE20" s="370"/>
      <c r="EF20" s="370"/>
      <c r="EG20" s="370"/>
      <c r="EH20" s="370"/>
      <c r="EI20" s="370"/>
      <c r="EJ20" s="370"/>
      <c r="EK20" s="370"/>
      <c r="EL20" s="370"/>
      <c r="EM20" s="370"/>
      <c r="EN20" s="370"/>
      <c r="EO20" s="370"/>
      <c r="EP20" s="370"/>
      <c r="EQ20" s="370"/>
      <c r="ER20" s="370"/>
      <c r="ES20" s="370"/>
      <c r="ET20" s="370"/>
      <c r="EU20" s="370"/>
      <c r="EV20" s="370"/>
      <c r="EW20" s="370"/>
      <c r="EX20" s="370"/>
      <c r="EY20" s="370"/>
      <c r="EZ20" s="370"/>
      <c r="FA20" s="370"/>
      <c r="FB20" s="370"/>
      <c r="FC20" s="370"/>
      <c r="FD20" s="370"/>
      <c r="FE20" s="370"/>
      <c r="FF20" s="370"/>
      <c r="FG20" s="370"/>
      <c r="FH20" s="370"/>
      <c r="FI20" s="370"/>
      <c r="FJ20" s="370"/>
      <c r="FK20" s="370"/>
      <c r="FL20" s="370"/>
      <c r="FM20" s="370"/>
      <c r="FN20" s="370"/>
      <c r="FO20" s="370"/>
      <c r="FP20" s="370"/>
      <c r="FQ20" s="370"/>
      <c r="FR20" s="370"/>
      <c r="FS20" s="370"/>
      <c r="FT20" s="370"/>
      <c r="FU20" s="370"/>
      <c r="FV20" s="370"/>
      <c r="FW20" s="370"/>
      <c r="FX20" s="370"/>
      <c r="FY20" s="370"/>
      <c r="FZ20" s="370"/>
      <c r="GA20" s="370"/>
      <c r="GB20" s="370"/>
      <c r="GC20" s="370"/>
      <c r="GD20" s="370"/>
      <c r="GE20" s="370"/>
      <c r="GF20" s="370"/>
      <c r="GG20" s="370"/>
      <c r="GH20" s="370"/>
      <c r="GI20" s="370"/>
      <c r="GJ20" s="370"/>
      <c r="GK20" s="370"/>
      <c r="GL20" s="370"/>
      <c r="GM20" s="370"/>
      <c r="GN20" s="370"/>
      <c r="GO20" s="370"/>
      <c r="GP20" s="370"/>
      <c r="GQ20" s="370"/>
      <c r="GR20" s="370"/>
      <c r="GS20" s="370"/>
      <c r="GT20" s="370"/>
      <c r="GU20" s="370"/>
      <c r="GV20" s="370"/>
      <c r="GW20" s="370"/>
      <c r="GX20" s="370"/>
      <c r="GY20" s="370"/>
      <c r="GZ20" s="370"/>
      <c r="HA20" s="370"/>
      <c r="HB20" s="370"/>
      <c r="HC20" s="370"/>
      <c r="HD20" s="370"/>
      <c r="HE20" s="370"/>
      <c r="HF20" s="370"/>
      <c r="HG20" s="370"/>
      <c r="HH20" s="370"/>
    </row>
    <row r="21" spans="1:216" s="393" customFormat="1" ht="18" customHeight="1">
      <c r="A21" s="382"/>
      <c r="B21" s="382" t="s">
        <v>10643</v>
      </c>
      <c r="C21" s="382"/>
      <c r="D21" s="374" t="s">
        <v>10644</v>
      </c>
      <c r="E21" s="382" t="s">
        <v>10645</v>
      </c>
      <c r="F21" s="370"/>
      <c r="G21" s="370">
        <v>1</v>
      </c>
      <c r="H21" s="366"/>
      <c r="I21" s="382"/>
      <c r="J21" s="384"/>
      <c r="K21" s="384"/>
      <c r="L21" s="384"/>
      <c r="M21" s="358"/>
      <c r="N21" s="358"/>
      <c r="O21" s="358"/>
      <c r="P21" s="358"/>
      <c r="Q21" s="358"/>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91"/>
      <c r="AP21" s="384"/>
      <c r="AQ21" s="384"/>
      <c r="AR21" s="384"/>
      <c r="AS21" s="384"/>
      <c r="AT21" s="384"/>
      <c r="AU21" s="384"/>
      <c r="AV21" s="384"/>
      <c r="AW21" s="384"/>
      <c r="AX21" s="384"/>
      <c r="AY21" s="384"/>
      <c r="AZ21" s="384"/>
      <c r="BA21" s="384"/>
      <c r="BB21" s="384"/>
      <c r="BC21" s="384"/>
      <c r="BD21" s="384"/>
      <c r="BE21" s="387"/>
      <c r="BF21" s="387"/>
      <c r="BG21" s="387"/>
      <c r="BH21" s="387"/>
      <c r="BI21" s="387"/>
      <c r="BJ21" s="387"/>
      <c r="BK21" s="387"/>
      <c r="BL21" s="387"/>
      <c r="BM21" s="387"/>
      <c r="BN21" s="387"/>
      <c r="BO21" s="387"/>
      <c r="BP21" s="387"/>
      <c r="BQ21" s="387"/>
      <c r="BR21" s="387"/>
      <c r="BS21" s="387"/>
      <c r="BT21" s="387"/>
      <c r="BU21" s="387"/>
      <c r="BV21" s="387"/>
      <c r="BW21" s="387"/>
      <c r="BX21" s="387"/>
      <c r="BY21" s="387"/>
      <c r="BZ21" s="387"/>
      <c r="CA21" s="387"/>
      <c r="CB21" s="387"/>
      <c r="CC21" s="387"/>
      <c r="CD21" s="387"/>
      <c r="CE21" s="387"/>
      <c r="CF21" s="387"/>
      <c r="CG21" s="387"/>
      <c r="CH21" s="387"/>
      <c r="CI21" s="387"/>
      <c r="CJ21" s="387"/>
      <c r="CK21" s="370"/>
      <c r="CL21" s="370"/>
      <c r="CM21" s="370"/>
      <c r="CN21" s="370"/>
      <c r="CO21" s="370"/>
      <c r="CP21" s="370"/>
      <c r="CQ21" s="370"/>
      <c r="CR21" s="390"/>
      <c r="CS21" s="390"/>
      <c r="CT21" s="370"/>
      <c r="CU21" s="370"/>
      <c r="CV21" s="370"/>
      <c r="CW21" s="370"/>
      <c r="CX21" s="370"/>
      <c r="CY21" s="370"/>
      <c r="CZ21" s="370"/>
      <c r="DA21" s="370"/>
      <c r="DB21" s="370"/>
      <c r="DC21" s="370"/>
      <c r="DD21" s="370"/>
      <c r="DE21" s="370"/>
      <c r="DF21" s="370"/>
      <c r="DG21" s="370"/>
      <c r="DH21" s="370"/>
      <c r="DI21" s="370"/>
      <c r="DJ21" s="370"/>
      <c r="DK21" s="370"/>
      <c r="DL21" s="370"/>
      <c r="DM21" s="370"/>
      <c r="DN21" s="370"/>
      <c r="DO21" s="370"/>
      <c r="DP21" s="370"/>
      <c r="DQ21" s="370"/>
      <c r="DR21" s="370"/>
      <c r="DS21" s="370"/>
      <c r="DT21" s="370"/>
      <c r="DU21" s="384"/>
      <c r="DV21" s="384"/>
      <c r="DW21" s="370"/>
      <c r="DX21" s="384"/>
      <c r="DY21" s="384"/>
      <c r="DZ21" s="370"/>
      <c r="EA21" s="370"/>
      <c r="EB21" s="390"/>
      <c r="EC21" s="390"/>
      <c r="ED21" s="370"/>
      <c r="EE21" s="370"/>
      <c r="EF21" s="370"/>
      <c r="EG21" s="370"/>
      <c r="EH21" s="370"/>
      <c r="EI21" s="370"/>
      <c r="EJ21" s="370"/>
      <c r="EK21" s="370"/>
      <c r="EL21" s="370"/>
      <c r="EM21" s="370"/>
      <c r="EN21" s="370"/>
      <c r="EO21" s="370"/>
      <c r="EP21" s="370"/>
      <c r="EQ21" s="370"/>
      <c r="ER21" s="370"/>
      <c r="ES21" s="370"/>
      <c r="ET21" s="370"/>
      <c r="EU21" s="370"/>
      <c r="EV21" s="370"/>
      <c r="EW21" s="370"/>
      <c r="EX21" s="370"/>
      <c r="EY21" s="370"/>
      <c r="EZ21" s="370"/>
      <c r="FA21" s="370"/>
      <c r="FB21" s="370"/>
      <c r="FC21" s="370"/>
      <c r="FD21" s="370"/>
      <c r="FE21" s="370"/>
      <c r="FF21" s="370"/>
      <c r="FG21" s="370"/>
      <c r="FH21" s="370"/>
      <c r="FI21" s="370"/>
      <c r="FJ21" s="370"/>
      <c r="FK21" s="370"/>
      <c r="FL21" s="370"/>
      <c r="FM21" s="370"/>
      <c r="FN21" s="370"/>
      <c r="FO21" s="370"/>
      <c r="FP21" s="370"/>
      <c r="FQ21" s="370"/>
      <c r="FR21" s="370"/>
      <c r="FS21" s="370"/>
      <c r="FT21" s="370"/>
      <c r="FU21" s="370"/>
      <c r="FV21" s="370"/>
      <c r="FW21" s="370"/>
      <c r="FX21" s="370"/>
      <c r="FY21" s="370"/>
      <c r="FZ21" s="370"/>
      <c r="GA21" s="370"/>
      <c r="GB21" s="370"/>
      <c r="GC21" s="370"/>
      <c r="GD21" s="370"/>
      <c r="GE21" s="370"/>
      <c r="GF21" s="370"/>
      <c r="GG21" s="370"/>
      <c r="GH21" s="370"/>
      <c r="GI21" s="370"/>
      <c r="GJ21" s="370"/>
      <c r="GK21" s="370"/>
      <c r="GL21" s="370"/>
      <c r="GM21" s="370"/>
      <c r="GN21" s="370"/>
      <c r="GO21" s="370"/>
      <c r="GP21" s="370"/>
      <c r="GQ21" s="370"/>
      <c r="GR21" s="370"/>
      <c r="GS21" s="370"/>
      <c r="GT21" s="370"/>
      <c r="GU21" s="370"/>
      <c r="GV21" s="370"/>
      <c r="GW21" s="370"/>
      <c r="GX21" s="370"/>
      <c r="GY21" s="370"/>
      <c r="GZ21" s="370"/>
      <c r="HA21" s="370"/>
      <c r="HB21" s="370"/>
      <c r="HC21" s="370"/>
      <c r="HD21" s="370"/>
      <c r="HE21" s="370"/>
      <c r="HF21" s="370"/>
      <c r="HG21" s="370"/>
      <c r="HH21" s="370"/>
    </row>
    <row r="22" spans="1:216" s="393" customFormat="1" ht="18" customHeight="1">
      <c r="A22" s="382"/>
      <c r="B22" s="382" t="s">
        <v>10646</v>
      </c>
      <c r="C22" s="382"/>
      <c r="D22" s="374" t="s">
        <v>10647</v>
      </c>
      <c r="E22" s="382" t="s">
        <v>10648</v>
      </c>
      <c r="F22" s="370"/>
      <c r="G22" s="370">
        <v>1</v>
      </c>
      <c r="H22" s="366"/>
      <c r="I22" s="382"/>
      <c r="J22" s="384"/>
      <c r="K22" s="384"/>
      <c r="L22" s="384"/>
      <c r="M22" s="358"/>
      <c r="N22" s="358"/>
      <c r="O22" s="358"/>
      <c r="P22" s="358"/>
      <c r="Q22" s="358"/>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91"/>
      <c r="AP22" s="384"/>
      <c r="AQ22" s="384"/>
      <c r="AR22" s="384"/>
      <c r="AS22" s="384"/>
      <c r="AT22" s="384"/>
      <c r="AU22" s="384"/>
      <c r="AV22" s="384"/>
      <c r="AW22" s="384"/>
      <c r="AX22" s="384"/>
      <c r="AY22" s="384"/>
      <c r="AZ22" s="384"/>
      <c r="BA22" s="384"/>
      <c r="BB22" s="384"/>
      <c r="BC22" s="384"/>
      <c r="BD22" s="384"/>
      <c r="BE22" s="387"/>
      <c r="BF22" s="387"/>
      <c r="BG22" s="387"/>
      <c r="BH22" s="387"/>
      <c r="BI22" s="387"/>
      <c r="BJ22" s="387"/>
      <c r="BK22" s="387"/>
      <c r="BL22" s="387"/>
      <c r="BM22" s="387"/>
      <c r="BN22" s="387"/>
      <c r="BO22" s="387"/>
      <c r="BP22" s="387"/>
      <c r="BQ22" s="387"/>
      <c r="BR22" s="387"/>
      <c r="BS22" s="387"/>
      <c r="BT22" s="387"/>
      <c r="BU22" s="387"/>
      <c r="BV22" s="387"/>
      <c r="BW22" s="387"/>
      <c r="BX22" s="387"/>
      <c r="BY22" s="387"/>
      <c r="BZ22" s="387"/>
      <c r="CA22" s="387"/>
      <c r="CB22" s="387"/>
      <c r="CC22" s="387"/>
      <c r="CD22" s="387"/>
      <c r="CE22" s="387"/>
      <c r="CF22" s="387"/>
      <c r="CG22" s="387"/>
      <c r="CH22" s="387"/>
      <c r="CI22" s="387"/>
      <c r="CJ22" s="387"/>
      <c r="CK22" s="370"/>
      <c r="CL22" s="370"/>
      <c r="CM22" s="370"/>
      <c r="CN22" s="370"/>
      <c r="CO22" s="370"/>
      <c r="CP22" s="370"/>
      <c r="CQ22" s="370"/>
      <c r="CR22" s="390"/>
      <c r="CS22" s="390"/>
      <c r="CT22" s="370"/>
      <c r="CU22" s="370"/>
      <c r="CV22" s="370"/>
      <c r="CW22" s="370"/>
      <c r="CX22" s="370"/>
      <c r="CY22" s="370"/>
      <c r="CZ22" s="370"/>
      <c r="DA22" s="370"/>
      <c r="DB22" s="370"/>
      <c r="DC22" s="370"/>
      <c r="DD22" s="370"/>
      <c r="DE22" s="370"/>
      <c r="DF22" s="370"/>
      <c r="DG22" s="370"/>
      <c r="DH22" s="370"/>
      <c r="DI22" s="370"/>
      <c r="DJ22" s="370"/>
      <c r="DK22" s="370"/>
      <c r="DL22" s="370"/>
      <c r="DM22" s="370"/>
      <c r="DN22" s="370"/>
      <c r="DO22" s="370"/>
      <c r="DP22" s="370"/>
      <c r="DQ22" s="370"/>
      <c r="DR22" s="370"/>
      <c r="DS22" s="370"/>
      <c r="DT22" s="370"/>
      <c r="DU22" s="384"/>
      <c r="DV22" s="384"/>
      <c r="DW22" s="370"/>
      <c r="DX22" s="384"/>
      <c r="DY22" s="384"/>
      <c r="DZ22" s="370"/>
      <c r="EA22" s="370"/>
      <c r="EB22" s="390"/>
      <c r="EC22" s="390"/>
      <c r="ED22" s="370"/>
      <c r="EE22" s="370"/>
      <c r="EF22" s="370"/>
      <c r="EG22" s="370"/>
      <c r="EH22" s="370"/>
      <c r="EI22" s="370"/>
      <c r="EJ22" s="370"/>
      <c r="EK22" s="370"/>
      <c r="EL22" s="370"/>
      <c r="EM22" s="370"/>
      <c r="EN22" s="370"/>
      <c r="EO22" s="370"/>
      <c r="EP22" s="370"/>
      <c r="EQ22" s="370"/>
      <c r="ER22" s="370"/>
      <c r="ES22" s="370"/>
      <c r="ET22" s="370"/>
      <c r="EU22" s="370"/>
      <c r="EV22" s="370"/>
      <c r="EW22" s="370"/>
      <c r="EX22" s="370"/>
      <c r="EY22" s="370"/>
      <c r="EZ22" s="370"/>
      <c r="FA22" s="370"/>
      <c r="FB22" s="370"/>
      <c r="FC22" s="370"/>
      <c r="FD22" s="370"/>
      <c r="FE22" s="370"/>
      <c r="FF22" s="370"/>
      <c r="FG22" s="370"/>
      <c r="FH22" s="370"/>
      <c r="FI22" s="370"/>
      <c r="FJ22" s="370"/>
      <c r="FK22" s="370"/>
      <c r="FL22" s="370"/>
      <c r="FM22" s="370"/>
      <c r="FN22" s="370"/>
      <c r="FO22" s="370"/>
      <c r="FP22" s="370"/>
      <c r="FQ22" s="370"/>
      <c r="FR22" s="370"/>
      <c r="FS22" s="370"/>
      <c r="FT22" s="370"/>
      <c r="FU22" s="370"/>
      <c r="FV22" s="370"/>
      <c r="FW22" s="370"/>
      <c r="FX22" s="370"/>
      <c r="FY22" s="370"/>
      <c r="FZ22" s="370"/>
      <c r="GA22" s="370"/>
      <c r="GB22" s="370"/>
      <c r="GC22" s="370"/>
      <c r="GD22" s="370"/>
      <c r="GE22" s="370"/>
      <c r="GF22" s="370"/>
      <c r="GG22" s="370"/>
      <c r="GH22" s="370"/>
      <c r="GI22" s="370"/>
      <c r="GJ22" s="370"/>
      <c r="GK22" s="370"/>
      <c r="GL22" s="370"/>
      <c r="GM22" s="370"/>
      <c r="GN22" s="370"/>
      <c r="GO22" s="370"/>
      <c r="GP22" s="370"/>
      <c r="GQ22" s="370"/>
      <c r="GR22" s="370"/>
      <c r="GS22" s="370"/>
      <c r="GT22" s="370"/>
      <c r="GU22" s="370"/>
      <c r="GV22" s="370"/>
      <c r="GW22" s="370"/>
      <c r="GX22" s="370"/>
      <c r="GY22" s="370"/>
      <c r="GZ22" s="370"/>
      <c r="HA22" s="370"/>
      <c r="HB22" s="370"/>
      <c r="HC22" s="370"/>
      <c r="HD22" s="370"/>
      <c r="HE22" s="370"/>
      <c r="HF22" s="370"/>
      <c r="HG22" s="370"/>
      <c r="HH22" s="370"/>
    </row>
    <row r="23" spans="1:216" s="393" customFormat="1" ht="18" customHeight="1">
      <c r="A23" s="382"/>
      <c r="B23" s="382" t="s">
        <v>10649</v>
      </c>
      <c r="C23" s="382"/>
      <c r="D23" s="374" t="s">
        <v>10650</v>
      </c>
      <c r="E23" s="394" t="s">
        <v>10651</v>
      </c>
      <c r="F23" s="370"/>
      <c r="G23" s="370">
        <v>1</v>
      </c>
      <c r="H23" s="366"/>
      <c r="I23" s="382"/>
      <c r="J23" s="384"/>
      <c r="K23" s="352"/>
      <c r="L23" s="352"/>
      <c r="M23" s="358"/>
      <c r="N23" s="358"/>
      <c r="O23" s="358"/>
      <c r="P23" s="358"/>
      <c r="Q23" s="358"/>
      <c r="R23" s="384"/>
      <c r="S23" s="384"/>
      <c r="T23" s="384"/>
      <c r="U23" s="384"/>
      <c r="V23" s="384"/>
      <c r="W23" s="384"/>
      <c r="X23" s="384"/>
      <c r="Y23" s="384"/>
      <c r="Z23" s="384"/>
      <c r="AA23" s="384"/>
      <c r="AB23" s="384"/>
      <c r="AC23" s="384"/>
      <c r="AD23" s="384"/>
      <c r="AE23" s="384"/>
      <c r="AF23" s="384"/>
      <c r="AG23" s="384"/>
      <c r="AH23" s="384"/>
      <c r="AI23" s="384"/>
      <c r="AJ23" s="384"/>
      <c r="AK23" s="384"/>
      <c r="AL23" s="384"/>
      <c r="AM23" s="384"/>
      <c r="AN23" s="384"/>
      <c r="AO23" s="391"/>
      <c r="AP23" s="384"/>
      <c r="AQ23" s="384"/>
      <c r="AR23" s="384"/>
      <c r="AS23" s="384"/>
      <c r="AT23" s="384"/>
      <c r="AU23" s="384"/>
      <c r="AV23" s="384"/>
      <c r="AW23" s="384"/>
      <c r="AX23" s="384"/>
      <c r="AY23" s="384"/>
      <c r="AZ23" s="384"/>
      <c r="BA23" s="384"/>
      <c r="BB23" s="384"/>
      <c r="BC23" s="384"/>
      <c r="BD23" s="384"/>
      <c r="BE23" s="387"/>
      <c r="BF23" s="387"/>
      <c r="BG23" s="387"/>
      <c r="BH23" s="387"/>
      <c r="BI23" s="387"/>
      <c r="BJ23" s="387"/>
      <c r="BK23" s="387"/>
      <c r="BL23" s="387"/>
      <c r="BM23" s="387"/>
      <c r="BN23" s="387"/>
      <c r="BO23" s="387"/>
      <c r="BP23" s="387"/>
      <c r="BQ23" s="387"/>
      <c r="BR23" s="387"/>
      <c r="BS23" s="387"/>
      <c r="BT23" s="387"/>
      <c r="BU23" s="387"/>
      <c r="BV23" s="387"/>
      <c r="BW23" s="387"/>
      <c r="BX23" s="387"/>
      <c r="BY23" s="387"/>
      <c r="BZ23" s="387"/>
      <c r="CA23" s="387"/>
      <c r="CB23" s="387"/>
      <c r="CC23" s="387"/>
      <c r="CD23" s="387"/>
      <c r="CE23" s="387"/>
      <c r="CF23" s="387"/>
      <c r="CG23" s="387"/>
      <c r="CH23" s="387"/>
      <c r="CI23" s="387"/>
      <c r="CJ23" s="387"/>
      <c r="CK23" s="370"/>
      <c r="CL23" s="370"/>
      <c r="CM23" s="370"/>
      <c r="CN23" s="370"/>
      <c r="CO23" s="370"/>
      <c r="CP23" s="370"/>
      <c r="CQ23" s="370"/>
      <c r="CR23" s="390"/>
      <c r="CS23" s="390"/>
      <c r="CT23" s="370"/>
      <c r="CU23" s="370"/>
      <c r="CV23" s="370"/>
      <c r="CW23" s="370"/>
      <c r="CX23" s="370"/>
      <c r="CY23" s="370"/>
      <c r="CZ23" s="370"/>
      <c r="DA23" s="370"/>
      <c r="DB23" s="370"/>
      <c r="DC23" s="370"/>
      <c r="DD23" s="370"/>
      <c r="DE23" s="370"/>
      <c r="DF23" s="370"/>
      <c r="DG23" s="370"/>
      <c r="DH23" s="370"/>
      <c r="DI23" s="370"/>
      <c r="DJ23" s="370"/>
      <c r="DK23" s="370"/>
      <c r="DL23" s="370"/>
      <c r="DM23" s="370"/>
      <c r="DN23" s="370"/>
      <c r="DO23" s="370"/>
      <c r="DP23" s="370"/>
      <c r="DQ23" s="370"/>
      <c r="DR23" s="370"/>
      <c r="DS23" s="383"/>
      <c r="DT23" s="383"/>
      <c r="DU23" s="384"/>
      <c r="DV23" s="384"/>
      <c r="DW23" s="370"/>
      <c r="DX23" s="384"/>
      <c r="DY23" s="384"/>
      <c r="DZ23" s="370"/>
      <c r="EA23" s="370"/>
      <c r="EB23" s="390"/>
      <c r="EC23" s="390"/>
      <c r="ED23" s="370"/>
      <c r="EE23" s="370"/>
      <c r="EF23" s="370"/>
      <c r="EG23" s="370"/>
      <c r="EH23" s="370"/>
      <c r="EI23" s="370"/>
      <c r="EJ23" s="370"/>
      <c r="EK23" s="370"/>
      <c r="EL23" s="370"/>
      <c r="EM23" s="370"/>
      <c r="EN23" s="370"/>
      <c r="EO23" s="370"/>
      <c r="EP23" s="370"/>
      <c r="EQ23" s="370"/>
      <c r="ER23" s="370"/>
      <c r="ES23" s="370"/>
      <c r="ET23" s="370"/>
      <c r="EU23" s="370"/>
      <c r="EV23" s="370"/>
      <c r="EW23" s="370"/>
      <c r="EX23" s="370"/>
      <c r="EY23" s="370"/>
      <c r="EZ23" s="370"/>
      <c r="FA23" s="370"/>
      <c r="FB23" s="370"/>
      <c r="FC23" s="370"/>
      <c r="FD23" s="370"/>
      <c r="FE23" s="370"/>
      <c r="FF23" s="370"/>
      <c r="FG23" s="370"/>
      <c r="FH23" s="370"/>
      <c r="FI23" s="370"/>
      <c r="FJ23" s="370"/>
      <c r="FK23" s="370"/>
      <c r="FL23" s="370"/>
      <c r="FM23" s="370"/>
      <c r="FN23" s="370"/>
      <c r="FO23" s="370"/>
      <c r="FP23" s="370"/>
      <c r="FQ23" s="370"/>
      <c r="FR23" s="370"/>
      <c r="FS23" s="370"/>
      <c r="FT23" s="370"/>
      <c r="FU23" s="370"/>
      <c r="FV23" s="370"/>
      <c r="FW23" s="370"/>
      <c r="FX23" s="370"/>
      <c r="FY23" s="370"/>
      <c r="FZ23" s="370"/>
      <c r="GA23" s="370"/>
      <c r="GB23" s="370"/>
      <c r="GC23" s="370"/>
      <c r="GD23" s="370"/>
      <c r="GE23" s="370"/>
      <c r="GF23" s="370"/>
      <c r="GG23" s="370"/>
      <c r="GH23" s="370"/>
      <c r="GI23" s="370"/>
      <c r="GJ23" s="370"/>
      <c r="GK23" s="370"/>
      <c r="GL23" s="370"/>
      <c r="GM23" s="370"/>
      <c r="GN23" s="370"/>
      <c r="GO23" s="370"/>
      <c r="GP23" s="370"/>
      <c r="GQ23" s="370"/>
      <c r="GR23" s="370"/>
      <c r="GS23" s="370"/>
      <c r="GT23" s="370"/>
      <c r="GU23" s="370"/>
      <c r="GV23" s="370"/>
      <c r="GW23" s="370"/>
      <c r="GX23" s="370"/>
      <c r="GY23" s="370"/>
      <c r="GZ23" s="370"/>
      <c r="HA23" s="370"/>
      <c r="HB23" s="370"/>
      <c r="HC23" s="370"/>
      <c r="HD23" s="370"/>
      <c r="HE23" s="370"/>
      <c r="HF23" s="370"/>
      <c r="HG23" s="370"/>
      <c r="HH23" s="370"/>
    </row>
    <row r="24" spans="1:216" s="393" customFormat="1" ht="18" customHeight="1">
      <c r="A24" s="382"/>
      <c r="B24" s="382"/>
      <c r="C24" s="382"/>
      <c r="D24" s="374"/>
      <c r="E24" s="394"/>
      <c r="F24" s="370"/>
      <c r="G24" s="370"/>
      <c r="H24" s="366"/>
      <c r="I24" s="382"/>
      <c r="J24" s="384"/>
      <c r="K24" s="352"/>
      <c r="L24" s="352"/>
      <c r="M24" s="358"/>
      <c r="N24" s="358"/>
      <c r="O24" s="358"/>
      <c r="P24" s="358"/>
      <c r="Q24" s="358"/>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91"/>
      <c r="AP24" s="384"/>
      <c r="AQ24" s="384"/>
      <c r="AR24" s="384"/>
      <c r="AS24" s="384"/>
      <c r="AT24" s="384"/>
      <c r="AU24" s="384"/>
      <c r="AV24" s="384"/>
      <c r="AW24" s="384"/>
      <c r="AX24" s="384"/>
      <c r="AY24" s="384"/>
      <c r="AZ24" s="384"/>
      <c r="BA24" s="384"/>
      <c r="BB24" s="384"/>
      <c r="BC24" s="384"/>
      <c r="BD24" s="384"/>
      <c r="BE24" s="387"/>
      <c r="BF24" s="387"/>
      <c r="BG24" s="387"/>
      <c r="BH24" s="387"/>
      <c r="BI24" s="387"/>
      <c r="BJ24" s="387"/>
      <c r="BK24" s="387"/>
      <c r="BL24" s="387"/>
      <c r="BM24" s="387"/>
      <c r="BN24" s="387"/>
      <c r="BO24" s="387"/>
      <c r="BP24" s="387"/>
      <c r="BQ24" s="387"/>
      <c r="BR24" s="387"/>
      <c r="BS24" s="387"/>
      <c r="BT24" s="387"/>
      <c r="BU24" s="387"/>
      <c r="BV24" s="387"/>
      <c r="BW24" s="387"/>
      <c r="BX24" s="387"/>
      <c r="BY24" s="387"/>
      <c r="BZ24" s="387"/>
      <c r="CA24" s="387"/>
      <c r="CB24" s="387"/>
      <c r="CC24" s="387"/>
      <c r="CD24" s="387"/>
      <c r="CE24" s="387"/>
      <c r="CF24" s="387"/>
      <c r="CG24" s="387"/>
      <c r="CH24" s="387"/>
      <c r="CI24" s="387"/>
      <c r="CJ24" s="387"/>
      <c r="CK24" s="370"/>
      <c r="CL24" s="370"/>
      <c r="CM24" s="370"/>
      <c r="CN24" s="370"/>
      <c r="CO24" s="370"/>
      <c r="CP24" s="370"/>
      <c r="CQ24" s="370"/>
      <c r="CR24" s="390"/>
      <c r="CS24" s="390"/>
      <c r="CT24" s="370"/>
      <c r="CU24" s="370"/>
      <c r="CV24" s="370"/>
      <c r="CW24" s="370"/>
      <c r="CX24" s="370"/>
      <c r="CY24" s="370"/>
      <c r="CZ24" s="370"/>
      <c r="DA24" s="370"/>
      <c r="DB24" s="370"/>
      <c r="DC24" s="370"/>
      <c r="DD24" s="370"/>
      <c r="DE24" s="370"/>
      <c r="DF24" s="370"/>
      <c r="DG24" s="370"/>
      <c r="DH24" s="370"/>
      <c r="DI24" s="370"/>
      <c r="DJ24" s="370"/>
      <c r="DK24" s="370"/>
      <c r="DL24" s="370"/>
      <c r="DM24" s="370"/>
      <c r="DN24" s="370"/>
      <c r="DO24" s="370"/>
      <c r="DP24" s="370"/>
      <c r="DQ24" s="370"/>
      <c r="DR24" s="370"/>
      <c r="DS24" s="383"/>
      <c r="DT24" s="383"/>
      <c r="DU24" s="384"/>
      <c r="DV24" s="384"/>
      <c r="DW24" s="370"/>
      <c r="DX24" s="384"/>
      <c r="DY24" s="384"/>
      <c r="DZ24" s="370"/>
      <c r="EA24" s="370"/>
      <c r="EB24" s="390"/>
      <c r="EC24" s="390"/>
      <c r="ED24" s="370"/>
      <c r="EE24" s="370"/>
      <c r="EF24" s="370"/>
      <c r="EG24" s="370"/>
      <c r="EH24" s="370"/>
      <c r="EI24" s="370"/>
      <c r="EJ24" s="370"/>
      <c r="EK24" s="370"/>
      <c r="EL24" s="370"/>
      <c r="EM24" s="370"/>
      <c r="EN24" s="370"/>
      <c r="EO24" s="370"/>
      <c r="EP24" s="370"/>
      <c r="EQ24" s="370"/>
      <c r="ER24" s="370"/>
      <c r="ES24" s="370"/>
      <c r="ET24" s="370"/>
      <c r="EU24" s="370"/>
      <c r="EV24" s="370"/>
      <c r="EW24" s="370"/>
      <c r="EX24" s="370"/>
      <c r="EY24" s="370"/>
      <c r="EZ24" s="370"/>
      <c r="FA24" s="370"/>
      <c r="FB24" s="370"/>
      <c r="FC24" s="370"/>
      <c r="FD24" s="370"/>
      <c r="FE24" s="370"/>
      <c r="FF24" s="370"/>
      <c r="FG24" s="370"/>
      <c r="FH24" s="370"/>
      <c r="FI24" s="370"/>
      <c r="FJ24" s="370"/>
      <c r="FK24" s="370"/>
      <c r="FL24" s="370"/>
      <c r="FM24" s="370"/>
      <c r="FN24" s="370"/>
      <c r="FO24" s="370"/>
      <c r="FP24" s="370"/>
      <c r="FQ24" s="370"/>
      <c r="FR24" s="370"/>
      <c r="FS24" s="370"/>
      <c r="FT24" s="370"/>
      <c r="FU24" s="370"/>
      <c r="FV24" s="370"/>
      <c r="FW24" s="370"/>
      <c r="FX24" s="370"/>
      <c r="FY24" s="370"/>
      <c r="FZ24" s="370"/>
      <c r="GA24" s="370"/>
      <c r="GB24" s="370"/>
      <c r="GC24" s="370"/>
      <c r="GD24" s="370"/>
      <c r="GE24" s="370"/>
      <c r="GF24" s="370"/>
      <c r="GG24" s="370"/>
      <c r="GH24" s="370"/>
      <c r="GI24" s="370"/>
      <c r="GJ24" s="370"/>
      <c r="GK24" s="370"/>
      <c r="GL24" s="370"/>
      <c r="GM24" s="370"/>
      <c r="GN24" s="370"/>
      <c r="GO24" s="370"/>
      <c r="GP24" s="370"/>
      <c r="GQ24" s="370"/>
      <c r="GR24" s="370"/>
      <c r="GS24" s="370"/>
      <c r="GT24" s="370"/>
      <c r="GU24" s="370"/>
      <c r="GV24" s="370"/>
      <c r="GW24" s="370"/>
      <c r="GX24" s="370"/>
      <c r="GY24" s="370"/>
      <c r="GZ24" s="370"/>
      <c r="HA24" s="370"/>
      <c r="HB24" s="370"/>
      <c r="HC24" s="370"/>
      <c r="HD24" s="370"/>
      <c r="HE24" s="370"/>
      <c r="HF24" s="370"/>
      <c r="HG24" s="370"/>
      <c r="HH24" s="370"/>
    </row>
    <row r="25" spans="1:216" s="393" customFormat="1" ht="18" customHeight="1">
      <c r="A25" s="382"/>
      <c r="B25" s="382"/>
      <c r="C25" s="382"/>
      <c r="D25" s="374"/>
      <c r="E25" s="394"/>
      <c r="F25" s="370"/>
      <c r="G25" s="370"/>
      <c r="H25" s="366"/>
      <c r="I25" s="382"/>
      <c r="J25" s="384"/>
      <c r="K25" s="352"/>
      <c r="L25" s="352"/>
      <c r="M25" s="358"/>
      <c r="N25" s="358"/>
      <c r="O25" s="358"/>
      <c r="P25" s="358"/>
      <c r="Q25" s="358"/>
      <c r="R25" s="384"/>
      <c r="S25" s="384"/>
      <c r="T25" s="384"/>
      <c r="U25" s="384"/>
      <c r="V25" s="384"/>
      <c r="W25" s="384"/>
      <c r="X25" s="384"/>
      <c r="Y25" s="384"/>
      <c r="Z25" s="384"/>
      <c r="AA25" s="384"/>
      <c r="AB25" s="384"/>
      <c r="AC25" s="384"/>
      <c r="AD25" s="384"/>
      <c r="AE25" s="384"/>
      <c r="AF25" s="384"/>
      <c r="AG25" s="384"/>
      <c r="AH25" s="384"/>
      <c r="AI25" s="384"/>
      <c r="AJ25" s="384"/>
      <c r="AK25" s="384"/>
      <c r="AL25" s="384"/>
      <c r="AM25" s="384"/>
      <c r="AN25" s="384"/>
      <c r="AO25" s="391"/>
      <c r="AP25" s="384"/>
      <c r="AQ25" s="384"/>
      <c r="AR25" s="384"/>
      <c r="AS25" s="384"/>
      <c r="AT25" s="384"/>
      <c r="AU25" s="384"/>
      <c r="AV25" s="384"/>
      <c r="AW25" s="384"/>
      <c r="AX25" s="384"/>
      <c r="AY25" s="384"/>
      <c r="AZ25" s="384"/>
      <c r="BA25" s="384"/>
      <c r="BB25" s="384"/>
      <c r="BC25" s="384"/>
      <c r="BD25" s="384"/>
      <c r="BE25" s="387"/>
      <c r="BF25" s="387"/>
      <c r="BG25" s="387"/>
      <c r="BH25" s="387"/>
      <c r="BI25" s="387"/>
      <c r="BJ25" s="387"/>
      <c r="BK25" s="387"/>
      <c r="BL25" s="387"/>
      <c r="BM25" s="387"/>
      <c r="BN25" s="387"/>
      <c r="BO25" s="387"/>
      <c r="BP25" s="387"/>
      <c r="BQ25" s="387"/>
      <c r="BR25" s="387"/>
      <c r="BS25" s="387"/>
      <c r="BT25" s="387"/>
      <c r="BU25" s="387"/>
      <c r="BV25" s="387"/>
      <c r="BW25" s="387"/>
      <c r="BX25" s="387"/>
      <c r="BY25" s="387"/>
      <c r="BZ25" s="387"/>
      <c r="CA25" s="387"/>
      <c r="CB25" s="387"/>
      <c r="CC25" s="387"/>
      <c r="CD25" s="387"/>
      <c r="CE25" s="387"/>
      <c r="CF25" s="387"/>
      <c r="CG25" s="387"/>
      <c r="CH25" s="387"/>
      <c r="CI25" s="387"/>
      <c r="CJ25" s="387"/>
      <c r="CK25" s="370"/>
      <c r="CL25" s="370"/>
      <c r="CM25" s="370"/>
      <c r="CN25" s="370"/>
      <c r="CO25" s="370"/>
      <c r="CP25" s="370"/>
      <c r="CQ25" s="370"/>
      <c r="CR25" s="390"/>
      <c r="CS25" s="390"/>
      <c r="CT25" s="370"/>
      <c r="CU25" s="370"/>
      <c r="CV25" s="370"/>
      <c r="CW25" s="370"/>
      <c r="CX25" s="370"/>
      <c r="CY25" s="370"/>
      <c r="CZ25" s="370"/>
      <c r="DA25" s="370"/>
      <c r="DB25" s="370"/>
      <c r="DC25" s="370"/>
      <c r="DD25" s="370"/>
      <c r="DE25" s="370"/>
      <c r="DF25" s="370"/>
      <c r="DG25" s="370"/>
      <c r="DH25" s="370"/>
      <c r="DI25" s="370"/>
      <c r="DJ25" s="370"/>
      <c r="DK25" s="370"/>
      <c r="DL25" s="370"/>
      <c r="DM25" s="370"/>
      <c r="DN25" s="370"/>
      <c r="DO25" s="370"/>
      <c r="DP25" s="370"/>
      <c r="DQ25" s="370"/>
      <c r="DR25" s="370"/>
      <c r="DS25" s="383"/>
      <c r="DT25" s="383"/>
      <c r="DU25" s="384"/>
      <c r="DV25" s="384"/>
      <c r="DW25" s="370"/>
      <c r="DX25" s="384"/>
      <c r="DY25" s="384"/>
      <c r="DZ25" s="370"/>
      <c r="EA25" s="370"/>
      <c r="EB25" s="390"/>
      <c r="EC25" s="390"/>
      <c r="ED25" s="370"/>
      <c r="EE25" s="370"/>
      <c r="EF25" s="370"/>
      <c r="EG25" s="370"/>
      <c r="EH25" s="370"/>
      <c r="EI25" s="370"/>
      <c r="EJ25" s="370"/>
      <c r="EK25" s="370"/>
      <c r="EL25" s="370"/>
      <c r="EM25" s="370"/>
      <c r="EN25" s="370"/>
      <c r="EO25" s="370"/>
      <c r="EP25" s="370"/>
      <c r="EQ25" s="370"/>
      <c r="ER25" s="370"/>
      <c r="ES25" s="370"/>
      <c r="ET25" s="370"/>
      <c r="EU25" s="370"/>
      <c r="EV25" s="370"/>
      <c r="EW25" s="370"/>
      <c r="EX25" s="370"/>
      <c r="EY25" s="370"/>
      <c r="EZ25" s="370"/>
      <c r="FA25" s="370"/>
      <c r="FB25" s="370"/>
      <c r="FC25" s="370"/>
      <c r="FD25" s="370"/>
      <c r="FE25" s="370"/>
      <c r="FF25" s="370"/>
      <c r="FG25" s="370"/>
      <c r="FH25" s="370"/>
      <c r="FI25" s="370"/>
      <c r="FJ25" s="370"/>
      <c r="FK25" s="370"/>
      <c r="FL25" s="370"/>
      <c r="FM25" s="370"/>
      <c r="FN25" s="370"/>
      <c r="FO25" s="370"/>
      <c r="FP25" s="370"/>
      <c r="FQ25" s="370"/>
      <c r="FR25" s="370"/>
      <c r="FS25" s="370"/>
      <c r="FT25" s="370"/>
      <c r="FU25" s="370"/>
      <c r="FV25" s="370"/>
      <c r="FW25" s="370"/>
      <c r="FX25" s="370"/>
      <c r="FY25" s="370"/>
      <c r="FZ25" s="370"/>
      <c r="GA25" s="370"/>
      <c r="GB25" s="370"/>
      <c r="GC25" s="370"/>
      <c r="GD25" s="370"/>
      <c r="GE25" s="370"/>
      <c r="GF25" s="370"/>
      <c r="GG25" s="370"/>
      <c r="GH25" s="370"/>
      <c r="GI25" s="370"/>
      <c r="GJ25" s="370"/>
      <c r="GK25" s="370"/>
      <c r="GL25" s="370"/>
      <c r="GM25" s="370"/>
      <c r="GN25" s="370"/>
      <c r="GO25" s="370"/>
      <c r="GP25" s="370"/>
      <c r="GQ25" s="370"/>
      <c r="GR25" s="370"/>
      <c r="GS25" s="370"/>
      <c r="GT25" s="370"/>
      <c r="GU25" s="370"/>
      <c r="GV25" s="370"/>
      <c r="GW25" s="370"/>
      <c r="GX25" s="370"/>
      <c r="GY25" s="370"/>
      <c r="GZ25" s="370"/>
      <c r="HA25" s="370"/>
      <c r="HB25" s="370"/>
      <c r="HC25" s="370"/>
      <c r="HD25" s="370"/>
      <c r="HE25" s="370"/>
      <c r="HF25" s="370"/>
      <c r="HG25" s="370"/>
      <c r="HH25" s="370"/>
    </row>
    <row r="26" spans="1:216" s="393" customFormat="1" ht="18" customHeight="1">
      <c r="A26" s="395"/>
      <c r="B26" s="475" t="s">
        <v>10093</v>
      </c>
      <c r="C26" s="382"/>
      <c r="D26" s="374" t="s">
        <v>10094</v>
      </c>
      <c r="F26" s="370"/>
      <c r="G26" s="390"/>
      <c r="H26" s="366"/>
      <c r="I26" s="382"/>
      <c r="J26" s="384"/>
      <c r="K26" s="384"/>
      <c r="L26" s="384"/>
      <c r="M26" s="397">
        <v>1</v>
      </c>
      <c r="N26" s="397">
        <v>1</v>
      </c>
      <c r="O26" s="397">
        <v>1</v>
      </c>
      <c r="P26" s="358"/>
      <c r="Q26" s="358"/>
      <c r="R26" s="397">
        <v>1</v>
      </c>
      <c r="S26" s="397">
        <v>1</v>
      </c>
      <c r="T26" s="397">
        <v>1</v>
      </c>
      <c r="U26" s="397">
        <v>1</v>
      </c>
      <c r="V26" s="384"/>
      <c r="W26" s="384"/>
      <c r="X26" s="397">
        <v>1</v>
      </c>
      <c r="Y26" s="397">
        <v>1</v>
      </c>
      <c r="Z26" s="384"/>
      <c r="AA26" s="384"/>
      <c r="AB26" s="384"/>
      <c r="AC26" s="384"/>
      <c r="AD26" s="384"/>
      <c r="AE26" s="384"/>
      <c r="AF26" s="384"/>
      <c r="AG26" s="384"/>
      <c r="AH26" s="384"/>
      <c r="AI26" s="384"/>
      <c r="AJ26" s="384"/>
      <c r="AK26" s="384"/>
      <c r="AL26" s="387"/>
      <c r="AM26" s="387"/>
      <c r="AN26" s="384"/>
      <c r="AO26" s="391"/>
      <c r="AP26" s="384"/>
      <c r="AQ26" s="384"/>
      <c r="AR26" s="384"/>
      <c r="AS26" s="384"/>
      <c r="AT26" s="384"/>
      <c r="AU26" s="384"/>
      <c r="AV26" s="384"/>
      <c r="AW26" s="384"/>
      <c r="AX26" s="384"/>
      <c r="AY26" s="384"/>
      <c r="AZ26" s="384"/>
      <c r="BA26" s="384"/>
      <c r="BB26" s="384"/>
      <c r="BC26" s="384"/>
      <c r="BD26" s="384"/>
      <c r="BE26" s="387"/>
      <c r="BF26" s="387"/>
      <c r="BG26" s="387"/>
      <c r="BH26" s="387"/>
      <c r="BI26" s="387"/>
      <c r="BJ26" s="387"/>
      <c r="BK26" s="387"/>
      <c r="BL26" s="387"/>
      <c r="BM26" s="387"/>
      <c r="BN26" s="387"/>
      <c r="BO26" s="387"/>
      <c r="BP26" s="387"/>
      <c r="BQ26" s="387"/>
      <c r="BR26" s="387"/>
      <c r="BS26" s="387"/>
      <c r="BT26" s="387"/>
      <c r="BU26" s="387"/>
      <c r="BV26" s="387"/>
      <c r="BW26" s="387"/>
      <c r="BX26" s="387"/>
      <c r="BY26" s="387"/>
      <c r="BZ26" s="387"/>
      <c r="CA26" s="387"/>
      <c r="CB26" s="387"/>
      <c r="CC26" s="387"/>
      <c r="CD26" s="387"/>
      <c r="CE26" s="387"/>
      <c r="CF26" s="387"/>
      <c r="CG26" s="387"/>
      <c r="CH26" s="387"/>
      <c r="CI26" s="387"/>
      <c r="CJ26" s="387"/>
      <c r="CK26" s="370"/>
      <c r="CL26" s="370"/>
      <c r="CM26" s="370"/>
      <c r="CN26" s="370"/>
      <c r="CO26" s="370"/>
      <c r="CP26" s="370"/>
      <c r="CQ26" s="370"/>
      <c r="CR26" s="390"/>
      <c r="CS26" s="390"/>
      <c r="CT26" s="370"/>
      <c r="CU26" s="370"/>
      <c r="CV26" s="370"/>
      <c r="CW26" s="370"/>
      <c r="CX26" s="370"/>
      <c r="CY26" s="370"/>
      <c r="CZ26" s="370"/>
      <c r="DA26" s="370"/>
      <c r="DB26" s="370"/>
      <c r="DC26" s="370"/>
      <c r="DD26" s="370"/>
      <c r="DE26" s="370"/>
      <c r="DF26" s="370"/>
      <c r="DG26" s="370"/>
      <c r="DH26" s="370"/>
      <c r="DI26" s="370"/>
      <c r="DJ26" s="370"/>
      <c r="DK26" s="370"/>
      <c r="DL26" s="370"/>
      <c r="DM26" s="370"/>
      <c r="DN26" s="370"/>
      <c r="DO26" s="370"/>
      <c r="DP26" s="370"/>
      <c r="DQ26" s="370"/>
      <c r="DR26" s="370"/>
      <c r="DS26" s="370"/>
      <c r="DT26" s="370"/>
      <c r="DU26" s="384"/>
      <c r="DV26" s="384"/>
      <c r="DW26" s="370"/>
      <c r="DX26" s="384"/>
      <c r="DY26" s="384"/>
      <c r="DZ26" s="370"/>
      <c r="EA26" s="370"/>
      <c r="EB26" s="390"/>
      <c r="EC26" s="390"/>
      <c r="ED26" s="370"/>
      <c r="EE26" s="370"/>
      <c r="EF26" s="370"/>
      <c r="EG26" s="370"/>
      <c r="EH26" s="370"/>
      <c r="EI26" s="370"/>
      <c r="EJ26" s="370"/>
      <c r="EK26" s="370"/>
      <c r="EL26" s="370"/>
      <c r="EM26" s="370"/>
      <c r="EN26" s="370"/>
      <c r="EO26" s="370"/>
      <c r="EP26" s="370"/>
      <c r="EQ26" s="370"/>
      <c r="ER26" s="370"/>
      <c r="ES26" s="370"/>
      <c r="ET26" s="370"/>
      <c r="EU26" s="370"/>
      <c r="EV26" s="370"/>
      <c r="EW26" s="370"/>
      <c r="EX26" s="370"/>
      <c r="EY26" s="370"/>
      <c r="EZ26" s="370"/>
      <c r="FA26" s="370"/>
      <c r="FB26" s="370"/>
      <c r="FC26" s="370"/>
      <c r="FD26" s="370"/>
      <c r="FE26" s="370"/>
      <c r="FF26" s="370"/>
      <c r="FG26" s="370"/>
      <c r="FH26" s="370"/>
      <c r="FI26" s="370"/>
      <c r="FJ26" s="370"/>
      <c r="FK26" s="370"/>
      <c r="FL26" s="370"/>
      <c r="FM26" s="370"/>
      <c r="FN26" s="370"/>
      <c r="FO26" s="370"/>
      <c r="FP26" s="370"/>
      <c r="FQ26" s="370"/>
      <c r="FR26" s="370"/>
      <c r="FS26" s="370"/>
      <c r="FT26" s="370"/>
      <c r="FU26" s="370"/>
      <c r="FV26" s="370"/>
      <c r="FW26" s="370"/>
      <c r="FX26" s="370"/>
      <c r="FY26" s="370"/>
      <c r="FZ26" s="370"/>
      <c r="GA26" s="370"/>
      <c r="GB26" s="370"/>
      <c r="GC26" s="370"/>
      <c r="GD26" s="370"/>
      <c r="GE26" s="370"/>
      <c r="GF26" s="370"/>
      <c r="GG26" s="370"/>
      <c r="GH26" s="370"/>
      <c r="GI26" s="370"/>
      <c r="GJ26" s="370"/>
      <c r="GK26" s="370"/>
      <c r="GL26" s="370"/>
      <c r="GM26" s="370"/>
      <c r="GN26" s="370"/>
      <c r="GO26" s="370"/>
      <c r="GP26" s="370"/>
      <c r="GQ26" s="370"/>
      <c r="GR26" s="370"/>
      <c r="GS26" s="370"/>
      <c r="GT26" s="370"/>
      <c r="GU26" s="370"/>
      <c r="GV26" s="370"/>
      <c r="GW26" s="370"/>
      <c r="GX26" s="370"/>
      <c r="GY26" s="370"/>
      <c r="GZ26" s="370"/>
      <c r="HA26" s="370"/>
      <c r="HB26" s="370"/>
      <c r="HC26" s="370"/>
      <c r="HD26" s="370"/>
      <c r="HE26" s="370"/>
      <c r="HF26" s="370"/>
      <c r="HG26" s="370"/>
      <c r="HH26" s="370"/>
    </row>
    <row r="27" spans="1:216" s="393" customFormat="1" ht="18" customHeight="1">
      <c r="A27" s="382"/>
      <c r="B27" s="382"/>
      <c r="C27" s="382"/>
      <c r="D27" s="374"/>
      <c r="E27" s="394"/>
      <c r="F27" s="370"/>
      <c r="G27" s="370"/>
      <c r="H27" s="366"/>
      <c r="I27" s="382"/>
      <c r="J27" s="384"/>
      <c r="K27" s="352"/>
      <c r="L27" s="352"/>
      <c r="M27" s="358"/>
      <c r="N27" s="358"/>
      <c r="O27" s="358"/>
      <c r="P27" s="358"/>
      <c r="Q27" s="358"/>
      <c r="R27" s="384"/>
      <c r="S27" s="384"/>
      <c r="T27" s="384"/>
      <c r="U27" s="384"/>
      <c r="V27" s="384"/>
      <c r="W27" s="384"/>
      <c r="X27" s="384"/>
      <c r="Y27" s="384"/>
      <c r="Z27" s="384"/>
      <c r="AA27" s="384"/>
      <c r="AB27" s="384"/>
      <c r="AC27" s="384"/>
      <c r="AD27" s="384"/>
      <c r="AE27" s="384"/>
      <c r="AF27" s="384"/>
      <c r="AG27" s="384"/>
      <c r="AH27" s="384"/>
      <c r="AI27" s="384"/>
      <c r="AJ27" s="384"/>
      <c r="AK27" s="384"/>
      <c r="AL27" s="384"/>
      <c r="AM27" s="384"/>
      <c r="AN27" s="384"/>
      <c r="AO27" s="391"/>
      <c r="AP27" s="384"/>
      <c r="AQ27" s="384"/>
      <c r="AR27" s="384"/>
      <c r="AS27" s="384"/>
      <c r="AT27" s="384"/>
      <c r="AU27" s="384"/>
      <c r="AV27" s="384"/>
      <c r="AW27" s="384"/>
      <c r="AX27" s="384"/>
      <c r="AY27" s="384"/>
      <c r="AZ27" s="384"/>
      <c r="BA27" s="384"/>
      <c r="BB27" s="384"/>
      <c r="BC27" s="384"/>
      <c r="BD27" s="384"/>
      <c r="BE27" s="387"/>
      <c r="BF27" s="387"/>
      <c r="BG27" s="387"/>
      <c r="BH27" s="387"/>
      <c r="BI27" s="387"/>
      <c r="BJ27" s="387"/>
      <c r="BK27" s="387"/>
      <c r="BL27" s="387"/>
      <c r="BM27" s="387"/>
      <c r="BN27" s="387"/>
      <c r="BO27" s="387"/>
      <c r="BP27" s="387"/>
      <c r="BQ27" s="387"/>
      <c r="BR27" s="387"/>
      <c r="BS27" s="387"/>
      <c r="BT27" s="387"/>
      <c r="BU27" s="387"/>
      <c r="BV27" s="387"/>
      <c r="BW27" s="387"/>
      <c r="BX27" s="387"/>
      <c r="BY27" s="387"/>
      <c r="BZ27" s="387"/>
      <c r="CA27" s="387"/>
      <c r="CB27" s="387"/>
      <c r="CC27" s="387"/>
      <c r="CD27" s="387"/>
      <c r="CE27" s="387"/>
      <c r="CF27" s="387"/>
      <c r="CG27" s="387"/>
      <c r="CH27" s="387"/>
      <c r="CI27" s="387"/>
      <c r="CJ27" s="387"/>
      <c r="CK27" s="370"/>
      <c r="CL27" s="370"/>
      <c r="CM27" s="370"/>
      <c r="CN27" s="370"/>
      <c r="CO27" s="370"/>
      <c r="CP27" s="370"/>
      <c r="CQ27" s="370"/>
      <c r="CR27" s="390"/>
      <c r="CS27" s="390"/>
      <c r="CT27" s="370"/>
      <c r="CU27" s="370"/>
      <c r="CV27" s="370"/>
      <c r="CW27" s="370"/>
      <c r="CX27" s="370"/>
      <c r="CY27" s="370"/>
      <c r="CZ27" s="370"/>
      <c r="DA27" s="370"/>
      <c r="DB27" s="370"/>
      <c r="DC27" s="370"/>
      <c r="DD27" s="370"/>
      <c r="DE27" s="370"/>
      <c r="DF27" s="370"/>
      <c r="DG27" s="370"/>
      <c r="DH27" s="370"/>
      <c r="DI27" s="370"/>
      <c r="DJ27" s="370"/>
      <c r="DK27" s="370"/>
      <c r="DL27" s="370"/>
      <c r="DM27" s="370"/>
      <c r="DN27" s="370"/>
      <c r="DO27" s="370"/>
      <c r="DP27" s="370"/>
      <c r="DQ27" s="370"/>
      <c r="DR27" s="370"/>
      <c r="DS27" s="383"/>
      <c r="DT27" s="383"/>
      <c r="DU27" s="384"/>
      <c r="DV27" s="384"/>
      <c r="DW27" s="370"/>
      <c r="DX27" s="384"/>
      <c r="DY27" s="384"/>
      <c r="DZ27" s="370"/>
      <c r="EA27" s="370"/>
      <c r="EB27" s="390"/>
      <c r="EC27" s="390"/>
      <c r="ED27" s="370"/>
      <c r="EE27" s="370"/>
      <c r="EF27" s="370"/>
      <c r="EG27" s="370"/>
      <c r="EH27" s="370"/>
      <c r="EI27" s="370"/>
      <c r="EJ27" s="370"/>
      <c r="EK27" s="370"/>
      <c r="EL27" s="370"/>
      <c r="EM27" s="370"/>
      <c r="EN27" s="370"/>
      <c r="EO27" s="370"/>
      <c r="EP27" s="370"/>
      <c r="EQ27" s="370"/>
      <c r="ER27" s="370"/>
      <c r="ES27" s="370"/>
      <c r="ET27" s="370"/>
      <c r="EU27" s="370"/>
      <c r="EV27" s="370"/>
      <c r="EW27" s="370"/>
      <c r="EX27" s="370"/>
      <c r="EY27" s="370"/>
      <c r="EZ27" s="370"/>
      <c r="FA27" s="370"/>
      <c r="FB27" s="370"/>
      <c r="FC27" s="370"/>
      <c r="FD27" s="370"/>
      <c r="FE27" s="370"/>
      <c r="FF27" s="370"/>
      <c r="FG27" s="370"/>
      <c r="FH27" s="370"/>
      <c r="FI27" s="370"/>
      <c r="FJ27" s="370"/>
      <c r="FK27" s="370"/>
      <c r="FL27" s="370"/>
      <c r="FM27" s="370"/>
      <c r="FN27" s="370"/>
      <c r="FO27" s="370"/>
      <c r="FP27" s="370"/>
      <c r="FQ27" s="370"/>
      <c r="FR27" s="370"/>
      <c r="FS27" s="370"/>
      <c r="FT27" s="370"/>
      <c r="FU27" s="370"/>
      <c r="FV27" s="370"/>
      <c r="FW27" s="370"/>
      <c r="FX27" s="370"/>
      <c r="FY27" s="370"/>
      <c r="FZ27" s="370"/>
      <c r="GA27" s="370"/>
      <c r="GB27" s="370"/>
      <c r="GC27" s="370"/>
      <c r="GD27" s="370"/>
      <c r="GE27" s="370"/>
      <c r="GF27" s="370"/>
      <c r="GG27" s="370"/>
      <c r="GH27" s="370"/>
      <c r="GI27" s="370"/>
      <c r="GJ27" s="370"/>
      <c r="GK27" s="370"/>
      <c r="GL27" s="370"/>
      <c r="GM27" s="370"/>
      <c r="GN27" s="370"/>
      <c r="GO27" s="370"/>
      <c r="GP27" s="370"/>
      <c r="GQ27" s="370"/>
      <c r="GR27" s="370"/>
      <c r="GS27" s="370"/>
      <c r="GT27" s="370"/>
      <c r="GU27" s="370"/>
      <c r="GV27" s="370"/>
      <c r="GW27" s="370"/>
      <c r="GX27" s="370"/>
      <c r="GY27" s="370"/>
      <c r="GZ27" s="370"/>
      <c r="HA27" s="370"/>
      <c r="HB27" s="370"/>
      <c r="HC27" s="370"/>
      <c r="HD27" s="370"/>
      <c r="HE27" s="370"/>
      <c r="HF27" s="370"/>
      <c r="HG27" s="370"/>
      <c r="HH27" s="370"/>
    </row>
    <row r="28" spans="1:216" ht="18" customHeight="1">
      <c r="A28" s="395"/>
      <c r="B28" s="314" t="s">
        <v>10652</v>
      </c>
      <c r="C28" s="396"/>
      <c r="D28" s="317" t="s">
        <v>8023</v>
      </c>
      <c r="E28" s="317"/>
      <c r="F28" s="383"/>
      <c r="G28" s="383"/>
      <c r="H28" s="370"/>
      <c r="I28" s="317"/>
      <c r="J28" s="384">
        <v>1</v>
      </c>
      <c r="K28" s="384"/>
      <c r="L28" s="384"/>
      <c r="M28" s="397">
        <v>1</v>
      </c>
      <c r="N28" s="384"/>
      <c r="O28" s="384"/>
      <c r="P28" s="384"/>
      <c r="Q28" s="384"/>
      <c r="R28" s="397">
        <v>1</v>
      </c>
      <c r="S28" s="397">
        <v>1</v>
      </c>
      <c r="T28" s="384"/>
      <c r="U28" s="384"/>
      <c r="V28" s="384"/>
      <c r="W28" s="384"/>
      <c r="X28" s="397">
        <v>1</v>
      </c>
      <c r="Y28" s="384"/>
      <c r="Z28" s="384"/>
      <c r="AA28" s="384"/>
      <c r="AB28" s="384"/>
      <c r="AC28" s="384"/>
      <c r="AD28" s="384"/>
      <c r="AE28" s="384"/>
      <c r="AF28" s="384"/>
      <c r="AG28" s="384"/>
      <c r="AH28" s="384"/>
      <c r="AI28" s="384"/>
      <c r="AJ28" s="383"/>
      <c r="AK28" s="383"/>
      <c r="AL28" s="384"/>
      <c r="AM28" s="384"/>
      <c r="AN28" s="384"/>
      <c r="AO28" s="391"/>
      <c r="AP28" s="315"/>
      <c r="AQ28" s="315"/>
      <c r="AR28" s="315"/>
      <c r="AS28" s="315"/>
      <c r="AT28" s="315"/>
      <c r="AU28" s="315"/>
      <c r="AV28" s="315"/>
      <c r="AW28" s="315"/>
      <c r="AX28" s="315"/>
      <c r="AY28" s="315"/>
      <c r="AZ28" s="315"/>
      <c r="BA28" s="315"/>
      <c r="BB28" s="315"/>
      <c r="BC28" s="315"/>
      <c r="BD28" s="315"/>
      <c r="BE28" s="387"/>
      <c r="BF28" s="387"/>
      <c r="BG28" s="387"/>
      <c r="BH28" s="387"/>
      <c r="BI28" s="387"/>
      <c r="BJ28" s="387"/>
      <c r="BK28" s="387"/>
      <c r="BL28" s="387"/>
      <c r="BM28" s="387"/>
      <c r="BN28" s="387"/>
      <c r="BO28" s="387"/>
      <c r="BP28" s="387"/>
      <c r="BQ28" s="387"/>
      <c r="BR28" s="387"/>
      <c r="BS28" s="387"/>
      <c r="BT28" s="387"/>
      <c r="BU28" s="387"/>
      <c r="BV28" s="387"/>
      <c r="BW28" s="387"/>
      <c r="BX28" s="387"/>
      <c r="BY28" s="387"/>
      <c r="BZ28" s="387"/>
      <c r="CA28" s="387"/>
      <c r="CB28" s="387"/>
      <c r="CC28" s="387"/>
      <c r="CD28" s="387"/>
      <c r="CE28" s="387"/>
      <c r="CF28" s="387"/>
      <c r="CG28" s="387"/>
      <c r="CH28" s="387"/>
      <c r="CI28" s="387"/>
      <c r="CJ28" s="387"/>
      <c r="CK28" s="383"/>
      <c r="CL28" s="383"/>
      <c r="CM28" s="383"/>
      <c r="CN28" s="383"/>
      <c r="CO28" s="383"/>
      <c r="CP28" s="383"/>
      <c r="CQ28" s="383"/>
      <c r="CR28" s="388"/>
      <c r="CS28" s="388"/>
      <c r="CT28" s="383"/>
      <c r="CU28" s="383"/>
      <c r="CV28" s="383"/>
      <c r="CW28" s="383"/>
      <c r="CX28" s="383"/>
      <c r="CY28" s="383"/>
      <c r="CZ28" s="383"/>
      <c r="DA28" s="383"/>
      <c r="DB28" s="383"/>
      <c r="DC28" s="383"/>
      <c r="DD28" s="383"/>
      <c r="DE28" s="383"/>
      <c r="DF28" s="383"/>
      <c r="DG28" s="383"/>
      <c r="DH28" s="383"/>
      <c r="DI28" s="383"/>
      <c r="DJ28" s="383"/>
      <c r="DK28" s="383"/>
      <c r="DL28" s="383"/>
      <c r="DM28" s="383"/>
      <c r="DN28" s="383"/>
      <c r="DO28" s="383"/>
      <c r="DP28" s="383"/>
      <c r="DQ28" s="383"/>
      <c r="DR28" s="383"/>
      <c r="DS28" s="370"/>
      <c r="DT28" s="370"/>
      <c r="DU28" s="384"/>
      <c r="DV28" s="384"/>
      <c r="DW28" s="383"/>
      <c r="DX28" s="315"/>
      <c r="DY28" s="315"/>
      <c r="DZ28" s="383"/>
      <c r="EA28" s="383"/>
      <c r="EB28" s="390"/>
      <c r="EC28" s="390"/>
      <c r="ED28" s="383"/>
      <c r="EE28" s="383"/>
      <c r="EF28" s="383"/>
      <c r="EG28" s="383"/>
      <c r="EH28" s="383"/>
      <c r="EI28" s="383"/>
      <c r="EJ28" s="383"/>
      <c r="EK28" s="383"/>
      <c r="EL28" s="383"/>
      <c r="EM28" s="383"/>
      <c r="EN28" s="370"/>
      <c r="EO28" s="370"/>
      <c r="EP28" s="370"/>
      <c r="EQ28" s="370"/>
      <c r="ER28" s="370"/>
      <c r="ES28" s="370"/>
      <c r="ET28" s="383"/>
      <c r="EU28" s="383"/>
      <c r="EV28" s="383"/>
      <c r="EW28" s="383"/>
      <c r="EX28" s="383"/>
      <c r="EY28" s="383"/>
      <c r="EZ28" s="383"/>
      <c r="FA28" s="383"/>
      <c r="FB28" s="383"/>
      <c r="FC28" s="383"/>
      <c r="FD28" s="383"/>
      <c r="FE28" s="383"/>
      <c r="FF28" s="383"/>
      <c r="FG28" s="383"/>
      <c r="FH28" s="383"/>
      <c r="FI28" s="383"/>
      <c r="FJ28" s="383"/>
      <c r="FK28" s="383"/>
      <c r="FL28" s="383"/>
      <c r="FM28" s="383"/>
      <c r="FN28" s="383"/>
      <c r="FO28" s="383"/>
      <c r="FP28" s="383"/>
      <c r="FQ28" s="383"/>
      <c r="FR28" s="383"/>
      <c r="FS28" s="383"/>
      <c r="FT28" s="383"/>
      <c r="FU28" s="383"/>
      <c r="FV28" s="383"/>
      <c r="FW28" s="383"/>
      <c r="FX28" s="383"/>
      <c r="FY28" s="383"/>
      <c r="FZ28" s="383"/>
      <c r="GA28" s="383"/>
      <c r="GB28" s="383"/>
      <c r="GC28" s="383"/>
      <c r="GD28" s="383"/>
      <c r="GE28" s="383"/>
      <c r="GF28" s="383"/>
      <c r="GG28" s="383"/>
      <c r="GH28" s="383"/>
      <c r="GI28" s="383"/>
      <c r="GJ28" s="383"/>
      <c r="GK28" s="383"/>
      <c r="GL28" s="383"/>
      <c r="GM28" s="383"/>
      <c r="GN28" s="383"/>
      <c r="GO28" s="383"/>
      <c r="GP28" s="383"/>
      <c r="GQ28" s="383"/>
      <c r="GR28" s="383"/>
      <c r="GS28" s="383"/>
      <c r="GT28" s="383"/>
      <c r="GU28" s="383"/>
      <c r="GV28" s="383"/>
      <c r="GW28" s="383"/>
      <c r="GX28" s="383"/>
      <c r="GY28" s="383"/>
      <c r="GZ28" s="383"/>
      <c r="HA28" s="383"/>
      <c r="HB28" s="383"/>
      <c r="HC28" s="383"/>
      <c r="HD28" s="383"/>
      <c r="HE28" s="383"/>
      <c r="HF28" s="383"/>
      <c r="HG28" s="383"/>
      <c r="HH28" s="383"/>
    </row>
    <row r="29" spans="1:216" ht="18" customHeight="1">
      <c r="A29" s="395"/>
      <c r="B29" s="314" t="s">
        <v>8032</v>
      </c>
      <c r="C29" s="396"/>
      <c r="D29" s="317" t="s">
        <v>8033</v>
      </c>
      <c r="E29" s="317"/>
      <c r="F29" s="383"/>
      <c r="G29" s="383"/>
      <c r="H29" s="370"/>
      <c r="I29" s="317"/>
      <c r="J29" s="384">
        <v>1</v>
      </c>
      <c r="K29" s="384"/>
      <c r="L29" s="384"/>
      <c r="M29" s="384"/>
      <c r="N29" s="397">
        <v>1</v>
      </c>
      <c r="O29" s="384"/>
      <c r="P29" s="384"/>
      <c r="Q29" s="384"/>
      <c r="R29" s="397">
        <v>1</v>
      </c>
      <c r="S29" s="397">
        <v>1</v>
      </c>
      <c r="T29" s="384"/>
      <c r="U29" s="384"/>
      <c r="V29" s="384"/>
      <c r="W29" s="384"/>
      <c r="X29" s="397">
        <v>1</v>
      </c>
      <c r="Y29" s="384"/>
      <c r="Z29" s="384"/>
      <c r="AA29" s="384"/>
      <c r="AB29" s="384"/>
      <c r="AC29" s="384"/>
      <c r="AD29" s="384"/>
      <c r="AE29" s="384"/>
      <c r="AF29" s="384"/>
      <c r="AG29" s="384"/>
      <c r="AH29" s="384"/>
      <c r="AI29" s="384"/>
      <c r="AJ29" s="383"/>
      <c r="AK29" s="383"/>
      <c r="AL29" s="384"/>
      <c r="AM29" s="384"/>
      <c r="AN29" s="384"/>
      <c r="AO29" s="391"/>
      <c r="AP29" s="315"/>
      <c r="AQ29" s="315"/>
      <c r="AR29" s="315"/>
      <c r="AS29" s="315"/>
      <c r="AT29" s="315"/>
      <c r="AU29" s="315"/>
      <c r="AV29" s="315"/>
      <c r="AW29" s="315"/>
      <c r="AX29" s="315"/>
      <c r="AY29" s="315"/>
      <c r="AZ29" s="315"/>
      <c r="BA29" s="315"/>
      <c r="BB29" s="315"/>
      <c r="BC29" s="315"/>
      <c r="BD29" s="315"/>
      <c r="BE29" s="387"/>
      <c r="BF29" s="387"/>
      <c r="BG29" s="387"/>
      <c r="BH29" s="387"/>
      <c r="BI29" s="387"/>
      <c r="BJ29" s="387"/>
      <c r="BK29" s="387"/>
      <c r="BL29" s="387"/>
      <c r="BM29" s="387"/>
      <c r="BN29" s="387"/>
      <c r="BO29" s="387"/>
      <c r="BP29" s="387"/>
      <c r="BQ29" s="387"/>
      <c r="BR29" s="387"/>
      <c r="BS29" s="387"/>
      <c r="BT29" s="387"/>
      <c r="BU29" s="387"/>
      <c r="BV29" s="387"/>
      <c r="BW29" s="387"/>
      <c r="BX29" s="387"/>
      <c r="BY29" s="387"/>
      <c r="BZ29" s="387"/>
      <c r="CA29" s="387"/>
      <c r="CB29" s="387"/>
      <c r="CC29" s="387"/>
      <c r="CD29" s="387"/>
      <c r="CE29" s="387"/>
      <c r="CF29" s="387"/>
      <c r="CG29" s="387"/>
      <c r="CH29" s="387"/>
      <c r="CI29" s="387"/>
      <c r="CJ29" s="387"/>
      <c r="CK29" s="383"/>
      <c r="CL29" s="383"/>
      <c r="CM29" s="383"/>
      <c r="CN29" s="383"/>
      <c r="CO29" s="383"/>
      <c r="CP29" s="383"/>
      <c r="CQ29" s="383"/>
      <c r="CR29" s="388"/>
      <c r="CS29" s="388"/>
      <c r="CT29" s="383"/>
      <c r="CU29" s="383"/>
      <c r="CV29" s="383"/>
      <c r="CW29" s="383"/>
      <c r="CX29" s="383"/>
      <c r="CY29" s="383"/>
      <c r="CZ29" s="383"/>
      <c r="DA29" s="383"/>
      <c r="DB29" s="383"/>
      <c r="DC29" s="383"/>
      <c r="DD29" s="383"/>
      <c r="DE29" s="383"/>
      <c r="DF29" s="383"/>
      <c r="DG29" s="383"/>
      <c r="DH29" s="383"/>
      <c r="DI29" s="383"/>
      <c r="DJ29" s="383"/>
      <c r="DK29" s="383"/>
      <c r="DL29" s="383"/>
      <c r="DM29" s="383"/>
      <c r="DN29" s="383"/>
      <c r="DO29" s="383"/>
      <c r="DP29" s="383"/>
      <c r="DQ29" s="383"/>
      <c r="DR29" s="383"/>
      <c r="DS29" s="370"/>
      <c r="DT29" s="370"/>
      <c r="DU29" s="384"/>
      <c r="DV29" s="384"/>
      <c r="DW29" s="383"/>
      <c r="DX29" s="315"/>
      <c r="DY29" s="315"/>
      <c r="DZ29" s="383"/>
      <c r="EA29" s="383"/>
      <c r="EB29" s="390"/>
      <c r="EC29" s="390"/>
      <c r="ED29" s="383"/>
      <c r="EE29" s="383"/>
      <c r="EF29" s="383"/>
      <c r="EG29" s="383"/>
      <c r="EH29" s="383"/>
      <c r="EI29" s="383"/>
      <c r="EJ29" s="383"/>
      <c r="EK29" s="383"/>
      <c r="EL29" s="383"/>
      <c r="EM29" s="383"/>
      <c r="EN29" s="370"/>
      <c r="EO29" s="370"/>
      <c r="EP29" s="370"/>
      <c r="EQ29" s="370"/>
      <c r="ER29" s="370"/>
      <c r="ES29" s="370"/>
      <c r="ET29" s="383"/>
      <c r="EU29" s="383"/>
      <c r="EV29" s="383"/>
      <c r="EW29" s="383"/>
      <c r="EX29" s="383"/>
      <c r="EY29" s="383"/>
      <c r="EZ29" s="383"/>
      <c r="FA29" s="383"/>
      <c r="FB29" s="383"/>
      <c r="FC29" s="383"/>
      <c r="FD29" s="383"/>
      <c r="FE29" s="383"/>
      <c r="FF29" s="383"/>
      <c r="FG29" s="383"/>
      <c r="FH29" s="383"/>
      <c r="FI29" s="383"/>
      <c r="FJ29" s="383"/>
      <c r="FK29" s="383"/>
      <c r="FL29" s="383"/>
      <c r="FM29" s="383"/>
      <c r="FN29" s="383"/>
      <c r="FO29" s="383"/>
      <c r="FP29" s="383"/>
      <c r="FQ29" s="383"/>
      <c r="FR29" s="383"/>
      <c r="FS29" s="383"/>
      <c r="FT29" s="383"/>
      <c r="FU29" s="383"/>
      <c r="FV29" s="383"/>
      <c r="FW29" s="383"/>
      <c r="FX29" s="383"/>
      <c r="FY29" s="383"/>
      <c r="FZ29" s="383"/>
      <c r="GA29" s="383"/>
      <c r="GB29" s="383"/>
      <c r="GC29" s="383"/>
      <c r="GD29" s="383"/>
      <c r="GE29" s="383"/>
      <c r="GF29" s="383"/>
      <c r="GG29" s="383"/>
      <c r="GH29" s="383"/>
      <c r="GI29" s="383"/>
      <c r="GJ29" s="383"/>
      <c r="GK29" s="383"/>
      <c r="GL29" s="383"/>
      <c r="GM29" s="383"/>
      <c r="GN29" s="383"/>
      <c r="GO29" s="383"/>
      <c r="GP29" s="383"/>
      <c r="GQ29" s="383"/>
      <c r="GR29" s="383"/>
      <c r="GS29" s="383"/>
      <c r="GT29" s="383"/>
      <c r="GU29" s="383"/>
      <c r="GV29" s="383"/>
      <c r="GW29" s="383"/>
      <c r="GX29" s="383"/>
      <c r="GY29" s="383"/>
      <c r="GZ29" s="383"/>
      <c r="HA29" s="383"/>
      <c r="HB29" s="383"/>
      <c r="HC29" s="383"/>
      <c r="HD29" s="383"/>
      <c r="HE29" s="383"/>
      <c r="HF29" s="383"/>
      <c r="HG29" s="383"/>
      <c r="HH29" s="383"/>
    </row>
    <row r="30" spans="1:216" ht="18" customHeight="1">
      <c r="A30" s="395"/>
      <c r="B30" s="314" t="s">
        <v>8034</v>
      </c>
      <c r="C30" s="396"/>
      <c r="D30" s="317" t="s">
        <v>8035</v>
      </c>
      <c r="E30" s="317"/>
      <c r="F30" s="383"/>
      <c r="G30" s="383"/>
      <c r="H30" s="370"/>
      <c r="I30" s="317"/>
      <c r="J30" s="384">
        <v>1</v>
      </c>
      <c r="K30" s="384"/>
      <c r="L30" s="384"/>
      <c r="M30" s="384"/>
      <c r="N30" s="384"/>
      <c r="O30" s="397">
        <v>1</v>
      </c>
      <c r="P30" s="384"/>
      <c r="Q30" s="384"/>
      <c r="R30" s="397">
        <v>1</v>
      </c>
      <c r="S30" s="397">
        <v>1</v>
      </c>
      <c r="T30" s="384"/>
      <c r="U30" s="384"/>
      <c r="V30" s="384"/>
      <c r="W30" s="384"/>
      <c r="X30" s="397">
        <v>1</v>
      </c>
      <c r="Y30" s="384"/>
      <c r="Z30" s="384"/>
      <c r="AA30" s="384"/>
      <c r="AB30" s="384"/>
      <c r="AC30" s="384"/>
      <c r="AD30" s="384"/>
      <c r="AE30" s="384"/>
      <c r="AF30" s="384"/>
      <c r="AG30" s="384"/>
      <c r="AH30" s="384"/>
      <c r="AI30" s="384"/>
      <c r="AJ30" s="383"/>
      <c r="AK30" s="383"/>
      <c r="AL30" s="384"/>
      <c r="AM30" s="384"/>
      <c r="AN30" s="384"/>
      <c r="AO30" s="391"/>
      <c r="AP30" s="315"/>
      <c r="AQ30" s="315"/>
      <c r="AR30" s="315"/>
      <c r="AS30" s="315"/>
      <c r="AT30" s="315"/>
      <c r="AU30" s="315"/>
      <c r="AV30" s="315"/>
      <c r="AW30" s="315"/>
      <c r="AX30" s="315"/>
      <c r="AY30" s="315"/>
      <c r="AZ30" s="315"/>
      <c r="BA30" s="315"/>
      <c r="BB30" s="315"/>
      <c r="BC30" s="315"/>
      <c r="BD30" s="315"/>
      <c r="BE30" s="387"/>
      <c r="BF30" s="387"/>
      <c r="BG30" s="387"/>
      <c r="BH30" s="387"/>
      <c r="BI30" s="387"/>
      <c r="BJ30" s="387"/>
      <c r="BK30" s="387"/>
      <c r="BL30" s="387"/>
      <c r="BM30" s="387"/>
      <c r="BN30" s="387"/>
      <c r="BO30" s="387"/>
      <c r="BP30" s="387"/>
      <c r="BQ30" s="387"/>
      <c r="BR30" s="387"/>
      <c r="BS30" s="387"/>
      <c r="BT30" s="387"/>
      <c r="BU30" s="387"/>
      <c r="BV30" s="387"/>
      <c r="BW30" s="387"/>
      <c r="BX30" s="387"/>
      <c r="BY30" s="387"/>
      <c r="BZ30" s="387"/>
      <c r="CA30" s="387"/>
      <c r="CB30" s="387"/>
      <c r="CC30" s="387"/>
      <c r="CD30" s="387"/>
      <c r="CE30" s="387"/>
      <c r="CF30" s="387"/>
      <c r="CG30" s="387"/>
      <c r="CH30" s="387"/>
      <c r="CI30" s="387"/>
      <c r="CJ30" s="387"/>
      <c r="CK30" s="383"/>
      <c r="CL30" s="383"/>
      <c r="CM30" s="383"/>
      <c r="CN30" s="383"/>
      <c r="CO30" s="383"/>
      <c r="CP30" s="383"/>
      <c r="CQ30" s="383"/>
      <c r="CR30" s="388"/>
      <c r="CS30" s="388"/>
      <c r="CT30" s="383"/>
      <c r="CU30" s="383"/>
      <c r="CV30" s="383"/>
      <c r="CW30" s="383"/>
      <c r="CX30" s="383"/>
      <c r="CY30" s="383"/>
      <c r="CZ30" s="383"/>
      <c r="DA30" s="383"/>
      <c r="DB30" s="383"/>
      <c r="DC30" s="383"/>
      <c r="DD30" s="383"/>
      <c r="DE30" s="383"/>
      <c r="DF30" s="383"/>
      <c r="DG30" s="383"/>
      <c r="DH30" s="383"/>
      <c r="DI30" s="383"/>
      <c r="DJ30" s="383"/>
      <c r="DK30" s="383"/>
      <c r="DL30" s="383"/>
      <c r="DM30" s="383"/>
      <c r="DN30" s="383"/>
      <c r="DO30" s="383"/>
      <c r="DP30" s="383"/>
      <c r="DQ30" s="383"/>
      <c r="DR30" s="383"/>
      <c r="DS30" s="370"/>
      <c r="DT30" s="370"/>
      <c r="DU30" s="384"/>
      <c r="DV30" s="384"/>
      <c r="DW30" s="383"/>
      <c r="DX30" s="315"/>
      <c r="DY30" s="315"/>
      <c r="DZ30" s="383"/>
      <c r="EA30" s="383"/>
      <c r="EB30" s="390"/>
      <c r="EC30" s="390"/>
      <c r="ED30" s="383"/>
      <c r="EE30" s="383"/>
      <c r="EF30" s="383"/>
      <c r="EG30" s="383"/>
      <c r="EH30" s="383"/>
      <c r="EI30" s="383"/>
      <c r="EJ30" s="383"/>
      <c r="EK30" s="383"/>
      <c r="EL30" s="383"/>
      <c r="EM30" s="383"/>
      <c r="EN30" s="370"/>
      <c r="EO30" s="370"/>
      <c r="EP30" s="370"/>
      <c r="EQ30" s="370"/>
      <c r="ER30" s="370"/>
      <c r="ES30" s="370"/>
      <c r="ET30" s="383"/>
      <c r="EU30" s="383"/>
      <c r="EV30" s="383"/>
      <c r="EW30" s="383"/>
      <c r="EX30" s="383"/>
      <c r="EY30" s="383"/>
      <c r="EZ30" s="383"/>
      <c r="FA30" s="383"/>
      <c r="FB30" s="383"/>
      <c r="FC30" s="383"/>
      <c r="FD30" s="383"/>
      <c r="FE30" s="383"/>
      <c r="FF30" s="383"/>
      <c r="FG30" s="383"/>
      <c r="FH30" s="383"/>
      <c r="FI30" s="383"/>
      <c r="FJ30" s="383"/>
      <c r="FK30" s="383"/>
      <c r="FL30" s="383"/>
      <c r="FM30" s="383"/>
      <c r="FN30" s="383"/>
      <c r="FO30" s="383"/>
      <c r="FP30" s="383"/>
      <c r="FQ30" s="383"/>
      <c r="FR30" s="383"/>
      <c r="FS30" s="383"/>
      <c r="FT30" s="383"/>
      <c r="FU30" s="383"/>
      <c r="FV30" s="383"/>
      <c r="FW30" s="383"/>
      <c r="FX30" s="383"/>
      <c r="FY30" s="383"/>
      <c r="FZ30" s="383"/>
      <c r="GA30" s="383"/>
      <c r="GB30" s="383"/>
      <c r="GC30" s="383"/>
      <c r="GD30" s="383"/>
      <c r="GE30" s="383"/>
      <c r="GF30" s="383"/>
      <c r="GG30" s="383"/>
      <c r="GH30" s="383"/>
      <c r="GI30" s="383"/>
      <c r="GJ30" s="383"/>
      <c r="GK30" s="383"/>
      <c r="GL30" s="383"/>
      <c r="GM30" s="383"/>
      <c r="GN30" s="383"/>
      <c r="GO30" s="383"/>
      <c r="GP30" s="383"/>
      <c r="GQ30" s="383"/>
      <c r="GR30" s="383"/>
      <c r="GS30" s="383"/>
      <c r="GT30" s="383"/>
      <c r="GU30" s="383"/>
      <c r="GV30" s="383"/>
      <c r="GW30" s="383"/>
      <c r="GX30" s="383"/>
      <c r="GY30" s="383"/>
      <c r="GZ30" s="383"/>
      <c r="HA30" s="383"/>
      <c r="HB30" s="383"/>
      <c r="HC30" s="383"/>
      <c r="HD30" s="383"/>
      <c r="HE30" s="383"/>
      <c r="HF30" s="383"/>
      <c r="HG30" s="383"/>
      <c r="HH30" s="383"/>
    </row>
    <row r="31" spans="1:216" s="393" customFormat="1" ht="18" customHeight="1">
      <c r="A31" s="395"/>
      <c r="B31" s="314" t="s">
        <v>10687</v>
      </c>
      <c r="C31" s="382"/>
      <c r="D31" s="374"/>
      <c r="E31" s="394"/>
      <c r="F31" s="370"/>
      <c r="G31" s="370"/>
      <c r="H31" s="366"/>
      <c r="I31" s="382"/>
      <c r="J31" s="384">
        <v>1</v>
      </c>
      <c r="K31" s="352"/>
      <c r="L31" s="352"/>
      <c r="M31" s="397">
        <v>1</v>
      </c>
      <c r="N31" s="397">
        <v>1</v>
      </c>
      <c r="O31" s="397">
        <v>1</v>
      </c>
      <c r="P31" s="358"/>
      <c r="Q31" s="358"/>
      <c r="R31" s="397">
        <v>1</v>
      </c>
      <c r="S31" s="397">
        <v>1</v>
      </c>
      <c r="T31" s="384"/>
      <c r="U31" s="384"/>
      <c r="V31" s="384"/>
      <c r="W31" s="384"/>
      <c r="X31" s="397">
        <v>1</v>
      </c>
      <c r="Y31" s="384"/>
      <c r="Z31" s="384"/>
      <c r="AA31" s="384"/>
      <c r="AB31" s="384"/>
      <c r="AC31" s="384"/>
      <c r="AD31" s="384"/>
      <c r="AE31" s="384"/>
      <c r="AF31" s="384"/>
      <c r="AG31" s="384"/>
      <c r="AH31" s="384"/>
      <c r="AI31" s="384"/>
      <c r="AJ31" s="384"/>
      <c r="AK31" s="384"/>
      <c r="AL31" s="384"/>
      <c r="AM31" s="384"/>
      <c r="AN31" s="384"/>
      <c r="AO31" s="391"/>
      <c r="AP31" s="384"/>
      <c r="AQ31" s="384"/>
      <c r="AR31" s="384"/>
      <c r="AS31" s="384"/>
      <c r="AT31" s="384"/>
      <c r="AU31" s="384"/>
      <c r="AV31" s="384"/>
      <c r="AW31" s="384"/>
      <c r="AX31" s="384"/>
      <c r="AY31" s="384"/>
      <c r="AZ31" s="384"/>
      <c r="BA31" s="384"/>
      <c r="BB31" s="384"/>
      <c r="BC31" s="384"/>
      <c r="BD31" s="384"/>
      <c r="BE31" s="387"/>
      <c r="BF31" s="387"/>
      <c r="BG31" s="387"/>
      <c r="BH31" s="387"/>
      <c r="BI31" s="387"/>
      <c r="BJ31" s="387"/>
      <c r="BK31" s="387"/>
      <c r="BL31" s="387"/>
      <c r="BM31" s="387"/>
      <c r="BN31" s="387"/>
      <c r="BO31" s="387"/>
      <c r="BP31" s="387"/>
      <c r="BQ31" s="387"/>
      <c r="BR31" s="387"/>
      <c r="BS31" s="387"/>
      <c r="BT31" s="387"/>
      <c r="BU31" s="387"/>
      <c r="BV31" s="387"/>
      <c r="BW31" s="387"/>
      <c r="BX31" s="387"/>
      <c r="BY31" s="387"/>
      <c r="BZ31" s="387"/>
      <c r="CA31" s="387"/>
      <c r="CB31" s="387"/>
      <c r="CC31" s="387"/>
      <c r="CD31" s="387"/>
      <c r="CE31" s="387"/>
      <c r="CF31" s="387"/>
      <c r="CG31" s="387"/>
      <c r="CH31" s="387"/>
      <c r="CI31" s="387"/>
      <c r="CJ31" s="387"/>
      <c r="CK31" s="370"/>
      <c r="CL31" s="370"/>
      <c r="CM31" s="370"/>
      <c r="CN31" s="370"/>
      <c r="CO31" s="370"/>
      <c r="CP31" s="370"/>
      <c r="CQ31" s="370"/>
      <c r="CR31" s="390"/>
      <c r="CS31" s="390"/>
      <c r="CT31" s="370"/>
      <c r="CU31" s="370"/>
      <c r="CV31" s="370"/>
      <c r="CW31" s="370"/>
      <c r="CX31" s="370"/>
      <c r="CY31" s="370"/>
      <c r="CZ31" s="370"/>
      <c r="DA31" s="370"/>
      <c r="DB31" s="370"/>
      <c r="DC31" s="370"/>
      <c r="DD31" s="370"/>
      <c r="DE31" s="370"/>
      <c r="DF31" s="370"/>
      <c r="DG31" s="370"/>
      <c r="DH31" s="370"/>
      <c r="DI31" s="370"/>
      <c r="DJ31" s="370"/>
      <c r="DK31" s="370"/>
      <c r="DL31" s="370"/>
      <c r="DM31" s="370"/>
      <c r="DN31" s="370"/>
      <c r="DO31" s="370"/>
      <c r="DP31" s="370"/>
      <c r="DQ31" s="370"/>
      <c r="DR31" s="370"/>
      <c r="DS31" s="383"/>
      <c r="DT31" s="383"/>
      <c r="DU31" s="384"/>
      <c r="DV31" s="384"/>
      <c r="DW31" s="370"/>
      <c r="DX31" s="384"/>
      <c r="DY31" s="384"/>
      <c r="DZ31" s="370"/>
      <c r="EA31" s="370"/>
      <c r="EB31" s="390"/>
      <c r="EC31" s="390"/>
      <c r="ED31" s="370"/>
      <c r="EE31" s="370"/>
      <c r="EF31" s="370"/>
      <c r="EG31" s="370"/>
      <c r="EH31" s="370"/>
      <c r="EI31" s="370"/>
      <c r="EJ31" s="370"/>
      <c r="EK31" s="370"/>
      <c r="EL31" s="370"/>
      <c r="EM31" s="370"/>
      <c r="EN31" s="370"/>
      <c r="EO31" s="370"/>
      <c r="EP31" s="370"/>
      <c r="EQ31" s="370"/>
      <c r="ER31" s="370"/>
      <c r="ES31" s="370"/>
      <c r="ET31" s="370"/>
      <c r="EU31" s="370"/>
      <c r="EV31" s="370"/>
      <c r="EW31" s="370"/>
      <c r="EX31" s="370"/>
      <c r="EY31" s="370"/>
      <c r="EZ31" s="370"/>
      <c r="FA31" s="370"/>
      <c r="FB31" s="370"/>
      <c r="FC31" s="370"/>
      <c r="FD31" s="370"/>
      <c r="FE31" s="370"/>
      <c r="FF31" s="370"/>
      <c r="FG31" s="370"/>
      <c r="FH31" s="370"/>
      <c r="FI31" s="370"/>
      <c r="FJ31" s="370"/>
      <c r="FK31" s="370"/>
      <c r="FL31" s="370"/>
      <c r="FM31" s="370"/>
      <c r="FN31" s="370"/>
      <c r="FO31" s="370"/>
      <c r="FP31" s="370"/>
      <c r="FQ31" s="370"/>
      <c r="FR31" s="370"/>
      <c r="FS31" s="370"/>
      <c r="FT31" s="370"/>
      <c r="FU31" s="370"/>
      <c r="FV31" s="370"/>
      <c r="FW31" s="370"/>
      <c r="FX31" s="370"/>
      <c r="FY31" s="370"/>
      <c r="FZ31" s="370"/>
      <c r="GA31" s="370"/>
      <c r="GB31" s="370"/>
      <c r="GC31" s="370"/>
      <c r="GD31" s="370"/>
      <c r="GE31" s="370"/>
      <c r="GF31" s="370"/>
      <c r="GG31" s="370"/>
      <c r="GH31" s="370"/>
      <c r="GI31" s="370"/>
      <c r="GJ31" s="370"/>
      <c r="GK31" s="370"/>
      <c r="GL31" s="370"/>
      <c r="GM31" s="370"/>
      <c r="GN31" s="370"/>
      <c r="GO31" s="370"/>
      <c r="GP31" s="370"/>
      <c r="GQ31" s="370"/>
      <c r="GR31" s="370"/>
      <c r="GS31" s="370"/>
      <c r="GT31" s="370"/>
      <c r="GU31" s="370"/>
      <c r="GV31" s="370"/>
      <c r="GW31" s="370"/>
      <c r="GX31" s="370"/>
      <c r="GY31" s="370"/>
      <c r="GZ31" s="370"/>
      <c r="HA31" s="370"/>
      <c r="HB31" s="370"/>
      <c r="HC31" s="370"/>
      <c r="HD31" s="370"/>
      <c r="HE31" s="370"/>
      <c r="HF31" s="370"/>
      <c r="HG31" s="370"/>
      <c r="HH31" s="370"/>
    </row>
    <row r="32" spans="1:216" s="393" customFormat="1" ht="18" customHeight="1">
      <c r="A32" s="395"/>
      <c r="B32" s="314" t="s">
        <v>321</v>
      </c>
      <c r="C32" s="382"/>
      <c r="D32" s="374"/>
      <c r="E32" s="394"/>
      <c r="F32" s="370"/>
      <c r="G32" s="370"/>
      <c r="H32" s="366"/>
      <c r="I32" s="382"/>
      <c r="J32" s="384">
        <v>1</v>
      </c>
      <c r="K32" s="352"/>
      <c r="L32" s="352"/>
      <c r="M32" s="397">
        <v>1</v>
      </c>
      <c r="N32" s="397">
        <v>1</v>
      </c>
      <c r="O32" s="397">
        <v>1</v>
      </c>
      <c r="P32" s="358"/>
      <c r="Q32" s="358"/>
      <c r="R32" s="397">
        <v>1</v>
      </c>
      <c r="S32" s="397">
        <v>1</v>
      </c>
      <c r="T32" s="384"/>
      <c r="U32" s="384"/>
      <c r="V32" s="384"/>
      <c r="W32" s="384"/>
      <c r="X32" s="397">
        <v>1</v>
      </c>
      <c r="Y32" s="384"/>
      <c r="Z32" s="384"/>
      <c r="AA32" s="384"/>
      <c r="AB32" s="384"/>
      <c r="AC32" s="384"/>
      <c r="AD32" s="384"/>
      <c r="AE32" s="384"/>
      <c r="AF32" s="384"/>
      <c r="AG32" s="384"/>
      <c r="AH32" s="384"/>
      <c r="AI32" s="384"/>
      <c r="AJ32" s="384"/>
      <c r="AK32" s="384"/>
      <c r="AL32" s="384"/>
      <c r="AM32" s="384"/>
      <c r="AN32" s="384"/>
      <c r="AO32" s="391"/>
      <c r="AP32" s="384"/>
      <c r="AQ32" s="384"/>
      <c r="AR32" s="384"/>
      <c r="AS32" s="384"/>
      <c r="AT32" s="384"/>
      <c r="AU32" s="384"/>
      <c r="AV32" s="384"/>
      <c r="AW32" s="384"/>
      <c r="AX32" s="384"/>
      <c r="AY32" s="384"/>
      <c r="AZ32" s="384"/>
      <c r="BA32" s="384"/>
      <c r="BB32" s="384"/>
      <c r="BC32" s="384"/>
      <c r="BD32" s="384"/>
      <c r="BE32" s="387"/>
      <c r="BF32" s="387"/>
      <c r="BG32" s="387"/>
      <c r="BH32" s="387"/>
      <c r="BI32" s="387"/>
      <c r="BJ32" s="387"/>
      <c r="BK32" s="387"/>
      <c r="BL32" s="387"/>
      <c r="BM32" s="387"/>
      <c r="BN32" s="387"/>
      <c r="BO32" s="387"/>
      <c r="BP32" s="387"/>
      <c r="BQ32" s="387"/>
      <c r="BR32" s="387"/>
      <c r="BS32" s="387"/>
      <c r="BT32" s="387"/>
      <c r="BU32" s="387"/>
      <c r="BV32" s="387"/>
      <c r="BW32" s="387"/>
      <c r="BX32" s="387"/>
      <c r="BY32" s="387"/>
      <c r="BZ32" s="387"/>
      <c r="CA32" s="387"/>
      <c r="CB32" s="387"/>
      <c r="CC32" s="387"/>
      <c r="CD32" s="387"/>
      <c r="CE32" s="387"/>
      <c r="CF32" s="387"/>
      <c r="CG32" s="387"/>
      <c r="CH32" s="387"/>
      <c r="CI32" s="387"/>
      <c r="CJ32" s="387"/>
      <c r="CK32" s="370"/>
      <c r="CL32" s="370"/>
      <c r="CM32" s="370"/>
      <c r="CN32" s="370"/>
      <c r="CO32" s="370"/>
      <c r="CP32" s="370"/>
      <c r="CQ32" s="370"/>
      <c r="CR32" s="390"/>
      <c r="CS32" s="390"/>
      <c r="CT32" s="370"/>
      <c r="CU32" s="370"/>
      <c r="CV32" s="370"/>
      <c r="CW32" s="370"/>
      <c r="CX32" s="370"/>
      <c r="CY32" s="370"/>
      <c r="CZ32" s="370"/>
      <c r="DA32" s="370"/>
      <c r="DB32" s="370"/>
      <c r="DC32" s="370"/>
      <c r="DD32" s="370"/>
      <c r="DE32" s="370"/>
      <c r="DF32" s="370"/>
      <c r="DG32" s="370"/>
      <c r="DH32" s="370"/>
      <c r="DI32" s="370"/>
      <c r="DJ32" s="370"/>
      <c r="DK32" s="370"/>
      <c r="DL32" s="370"/>
      <c r="DM32" s="370"/>
      <c r="DN32" s="370"/>
      <c r="DO32" s="370"/>
      <c r="DP32" s="370"/>
      <c r="DQ32" s="370"/>
      <c r="DR32" s="370"/>
      <c r="DS32" s="383"/>
      <c r="DT32" s="383"/>
      <c r="DU32" s="384"/>
      <c r="DV32" s="384"/>
      <c r="DW32" s="370"/>
      <c r="DX32" s="384"/>
      <c r="DY32" s="384"/>
      <c r="DZ32" s="370"/>
      <c r="EA32" s="370"/>
      <c r="EB32" s="390"/>
      <c r="EC32" s="390"/>
      <c r="ED32" s="370"/>
      <c r="EE32" s="370"/>
      <c r="EF32" s="370"/>
      <c r="EG32" s="370"/>
      <c r="EH32" s="370"/>
      <c r="EI32" s="370"/>
      <c r="EJ32" s="370"/>
      <c r="EK32" s="370"/>
      <c r="EL32" s="370"/>
      <c r="EM32" s="370"/>
      <c r="EN32" s="370"/>
      <c r="EO32" s="370"/>
      <c r="EP32" s="370"/>
      <c r="EQ32" s="370"/>
      <c r="ER32" s="370"/>
      <c r="ES32" s="370"/>
      <c r="ET32" s="370"/>
      <c r="EU32" s="370"/>
      <c r="EV32" s="370"/>
      <c r="EW32" s="370"/>
      <c r="EX32" s="370"/>
      <c r="EY32" s="370"/>
      <c r="EZ32" s="370"/>
      <c r="FA32" s="370"/>
      <c r="FB32" s="370"/>
      <c r="FC32" s="370"/>
      <c r="FD32" s="370"/>
      <c r="FE32" s="370"/>
      <c r="FF32" s="450">
        <v>1</v>
      </c>
      <c r="FG32" s="370"/>
      <c r="FH32" s="370"/>
      <c r="FI32" s="370"/>
      <c r="FJ32" s="370"/>
      <c r="FK32" s="370"/>
      <c r="FL32" s="370"/>
      <c r="FM32" s="370"/>
      <c r="FN32" s="370"/>
      <c r="FO32" s="370"/>
      <c r="FP32" s="370"/>
      <c r="FQ32" s="370"/>
      <c r="FR32" s="370"/>
      <c r="FS32" s="370"/>
      <c r="FT32" s="370"/>
      <c r="FU32" s="370"/>
      <c r="FV32" s="370"/>
      <c r="FW32" s="370"/>
      <c r="FX32" s="370"/>
      <c r="FY32" s="370"/>
      <c r="FZ32" s="370"/>
      <c r="GA32" s="370"/>
      <c r="GB32" s="370"/>
      <c r="GC32" s="370"/>
      <c r="GD32" s="370"/>
      <c r="GE32" s="370"/>
      <c r="GF32" s="370"/>
      <c r="GG32" s="370"/>
      <c r="GH32" s="370"/>
      <c r="GI32" s="370"/>
      <c r="GJ32" s="370"/>
      <c r="GK32" s="370"/>
      <c r="GL32" s="370"/>
      <c r="GM32" s="370"/>
      <c r="GN32" s="370"/>
      <c r="GO32" s="370"/>
      <c r="GP32" s="370"/>
      <c r="GQ32" s="370"/>
      <c r="GR32" s="370"/>
      <c r="GS32" s="370"/>
      <c r="GT32" s="370"/>
      <c r="GU32" s="370"/>
      <c r="GV32" s="370"/>
      <c r="GW32" s="370"/>
      <c r="GX32" s="370"/>
      <c r="GY32" s="370"/>
      <c r="GZ32" s="370"/>
      <c r="HA32" s="370"/>
      <c r="HB32" s="370"/>
      <c r="HC32" s="370"/>
      <c r="HD32" s="370"/>
      <c r="HE32" s="370"/>
      <c r="HF32" s="370"/>
      <c r="HG32" s="370"/>
      <c r="HH32" s="370"/>
    </row>
    <row r="33" spans="1:216" ht="18" customHeight="1">
      <c r="A33" s="519"/>
      <c r="B33" s="521" t="s">
        <v>8030</v>
      </c>
      <c r="C33" s="396"/>
      <c r="D33" s="317" t="s">
        <v>8031</v>
      </c>
      <c r="E33" s="317"/>
      <c r="F33" s="383">
        <v>1</v>
      </c>
      <c r="G33" s="383"/>
      <c r="H33" s="370"/>
      <c r="I33" s="317"/>
      <c r="J33" s="384">
        <v>1</v>
      </c>
      <c r="K33" s="384"/>
      <c r="L33" s="384"/>
      <c r="M33" s="397">
        <v>1</v>
      </c>
      <c r="N33" s="384"/>
      <c r="O33" s="384"/>
      <c r="P33" s="384"/>
      <c r="Q33" s="384"/>
      <c r="R33" s="397">
        <v>1</v>
      </c>
      <c r="S33" s="397">
        <v>1</v>
      </c>
      <c r="T33" s="384"/>
      <c r="U33" s="384"/>
      <c r="V33" s="384"/>
      <c r="W33" s="397">
        <v>1</v>
      </c>
      <c r="X33" s="384"/>
      <c r="Y33" s="384"/>
      <c r="Z33" s="384"/>
      <c r="AA33" s="384"/>
      <c r="AB33" s="384"/>
      <c r="AC33" s="384"/>
      <c r="AD33" s="384"/>
      <c r="AE33" s="384"/>
      <c r="AF33" s="384"/>
      <c r="AG33" s="384"/>
      <c r="AH33" s="384"/>
      <c r="AI33" s="384"/>
      <c r="AJ33" s="384"/>
      <c r="AK33" s="384"/>
      <c r="AL33" s="384"/>
      <c r="AM33" s="384"/>
      <c r="AN33" s="384"/>
      <c r="AO33" s="391"/>
      <c r="AP33" s="315"/>
      <c r="AQ33" s="315"/>
      <c r="AR33" s="315"/>
      <c r="AS33" s="315"/>
      <c r="AT33" s="315"/>
      <c r="AU33" s="315"/>
      <c r="AV33" s="315"/>
      <c r="AW33" s="315"/>
      <c r="AX33" s="315"/>
      <c r="AY33" s="315"/>
      <c r="AZ33" s="315"/>
      <c r="BA33" s="315"/>
      <c r="BB33" s="315"/>
      <c r="BC33" s="315"/>
      <c r="BD33" s="315"/>
      <c r="BE33" s="387"/>
      <c r="BF33" s="387"/>
      <c r="BG33" s="387"/>
      <c r="BH33" s="387"/>
      <c r="BI33" s="387"/>
      <c r="BJ33" s="387"/>
      <c r="BK33" s="387"/>
      <c r="BL33" s="387"/>
      <c r="BM33" s="387"/>
      <c r="BN33" s="387"/>
      <c r="BO33" s="387"/>
      <c r="BP33" s="387"/>
      <c r="BQ33" s="387"/>
      <c r="BR33" s="387"/>
      <c r="BS33" s="387"/>
      <c r="BT33" s="387"/>
      <c r="BU33" s="387"/>
      <c r="BV33" s="387"/>
      <c r="BW33" s="387"/>
      <c r="BX33" s="387"/>
      <c r="BY33" s="387"/>
      <c r="BZ33" s="387"/>
      <c r="CA33" s="387"/>
      <c r="CB33" s="387"/>
      <c r="CC33" s="387"/>
      <c r="CD33" s="387"/>
      <c r="CE33" s="387"/>
      <c r="CF33" s="387"/>
      <c r="CG33" s="387"/>
      <c r="CH33" s="387"/>
      <c r="CI33" s="387"/>
      <c r="CJ33" s="387"/>
      <c r="CK33" s="383"/>
      <c r="CL33" s="383"/>
      <c r="CM33" s="383"/>
      <c r="CN33" s="383"/>
      <c r="CO33" s="383"/>
      <c r="CP33" s="383"/>
      <c r="CQ33" s="383"/>
      <c r="CR33" s="390"/>
      <c r="CS33" s="390"/>
      <c r="CT33" s="383"/>
      <c r="CU33" s="383"/>
      <c r="CV33" s="383"/>
      <c r="CW33" s="383"/>
      <c r="CX33" s="383"/>
      <c r="CY33" s="383"/>
      <c r="CZ33" s="383"/>
      <c r="DA33" s="383"/>
      <c r="DB33" s="383"/>
      <c r="DC33" s="383"/>
      <c r="DD33" s="383"/>
      <c r="DE33" s="383"/>
      <c r="DF33" s="383"/>
      <c r="DG33" s="383"/>
      <c r="DH33" s="383"/>
      <c r="DI33" s="383"/>
      <c r="DJ33" s="383"/>
      <c r="DK33" s="383"/>
      <c r="DL33" s="383"/>
      <c r="DM33" s="383"/>
      <c r="DN33" s="383"/>
      <c r="DO33" s="383"/>
      <c r="DP33" s="383"/>
      <c r="DQ33" s="383"/>
      <c r="DR33" s="383"/>
      <c r="DS33" s="370"/>
      <c r="DT33" s="370"/>
      <c r="DU33" s="384"/>
      <c r="DV33" s="384"/>
      <c r="DW33" s="383"/>
      <c r="DX33" s="315"/>
      <c r="DY33" s="315"/>
      <c r="DZ33" s="383"/>
      <c r="EA33" s="383"/>
      <c r="EB33" s="390"/>
      <c r="EC33" s="390"/>
      <c r="ED33" s="383"/>
      <c r="EE33" s="383"/>
      <c r="EF33" s="383"/>
      <c r="EG33" s="383"/>
      <c r="EH33" s="383"/>
      <c r="EI33" s="383"/>
      <c r="EJ33" s="383"/>
      <c r="EK33" s="383"/>
      <c r="EL33" s="383"/>
      <c r="EM33" s="383"/>
      <c r="EN33" s="370"/>
      <c r="EO33" s="370"/>
      <c r="EP33" s="370"/>
      <c r="EQ33" s="370"/>
      <c r="ER33" s="370"/>
      <c r="ES33" s="370"/>
      <c r="ET33" s="383"/>
      <c r="EU33" s="383"/>
      <c r="EV33" s="383"/>
      <c r="EW33" s="383"/>
      <c r="EX33" s="383"/>
      <c r="EY33" s="383"/>
      <c r="EZ33" s="383"/>
      <c r="FA33" s="383"/>
      <c r="FB33" s="383"/>
      <c r="FC33" s="383"/>
      <c r="FD33" s="383"/>
      <c r="FE33" s="383"/>
      <c r="FF33" s="383"/>
      <c r="FG33" s="383"/>
      <c r="FH33" s="383"/>
      <c r="FI33" s="383"/>
      <c r="FJ33" s="383"/>
      <c r="FK33" s="383"/>
      <c r="FL33" s="383"/>
      <c r="FM33" s="383"/>
      <c r="FN33" s="383"/>
      <c r="FO33" s="383"/>
      <c r="FP33" s="383"/>
      <c r="FQ33" s="383"/>
      <c r="FR33" s="383"/>
      <c r="FS33" s="383"/>
      <c r="FT33" s="383"/>
      <c r="FU33" s="383"/>
      <c r="FV33" s="383"/>
      <c r="FW33" s="383"/>
      <c r="FX33" s="383"/>
      <c r="FY33" s="383"/>
      <c r="FZ33" s="383"/>
      <c r="GA33" s="383"/>
      <c r="GB33" s="383"/>
      <c r="GC33" s="383"/>
      <c r="GD33" s="383"/>
      <c r="GE33" s="383"/>
      <c r="GF33" s="383"/>
      <c r="GG33" s="383"/>
      <c r="GH33" s="383"/>
      <c r="GI33" s="383"/>
      <c r="GJ33" s="383"/>
      <c r="GK33" s="383"/>
      <c r="GL33" s="383"/>
      <c r="GM33" s="383"/>
      <c r="GN33" s="383"/>
      <c r="GO33" s="383"/>
      <c r="GP33" s="383"/>
      <c r="GQ33" s="383"/>
      <c r="GR33" s="383"/>
      <c r="GS33" s="383"/>
      <c r="GT33" s="383"/>
      <c r="GU33" s="383"/>
      <c r="GV33" s="383"/>
      <c r="GW33" s="383"/>
      <c r="GX33" s="383"/>
      <c r="GY33" s="383"/>
      <c r="GZ33" s="383"/>
      <c r="HA33" s="383"/>
      <c r="HB33" s="383"/>
      <c r="HC33" s="383"/>
      <c r="HD33" s="383"/>
      <c r="HE33" s="383"/>
      <c r="HF33" s="383"/>
      <c r="HG33" s="383"/>
      <c r="HH33" s="383"/>
    </row>
    <row r="34" spans="1:216" ht="18" customHeight="1">
      <c r="A34" s="519"/>
      <c r="B34" s="521" t="s">
        <v>11157</v>
      </c>
      <c r="C34" s="396"/>
      <c r="D34" s="317" t="s">
        <v>8025</v>
      </c>
      <c r="E34" s="317"/>
      <c r="F34" s="383">
        <v>1</v>
      </c>
      <c r="G34" s="383"/>
      <c r="H34" s="370"/>
      <c r="I34" s="317"/>
      <c r="J34" s="384">
        <v>1</v>
      </c>
      <c r="K34" s="384"/>
      <c r="L34" s="384"/>
      <c r="M34" s="397">
        <v>1</v>
      </c>
      <c r="N34" s="384"/>
      <c r="O34" s="384"/>
      <c r="P34" s="384"/>
      <c r="Q34" s="384"/>
      <c r="R34" s="397">
        <v>1</v>
      </c>
      <c r="S34" s="397">
        <v>1</v>
      </c>
      <c r="T34" s="384"/>
      <c r="U34" s="384"/>
      <c r="V34" s="384"/>
      <c r="W34" s="397">
        <v>1</v>
      </c>
      <c r="X34" s="384"/>
      <c r="Y34" s="384"/>
      <c r="Z34" s="384"/>
      <c r="AA34" s="384"/>
      <c r="AB34" s="384"/>
      <c r="AC34" s="384"/>
      <c r="AD34" s="384"/>
      <c r="AE34" s="384"/>
      <c r="AF34" s="384"/>
      <c r="AG34" s="384"/>
      <c r="AH34" s="384"/>
      <c r="AI34" s="384"/>
      <c r="AJ34" s="384"/>
      <c r="AK34" s="384"/>
      <c r="AL34" s="384"/>
      <c r="AM34" s="384"/>
      <c r="AN34" s="384"/>
      <c r="AO34" s="391"/>
      <c r="AP34" s="315"/>
      <c r="AQ34" s="315"/>
      <c r="AR34" s="315"/>
      <c r="AS34" s="315"/>
      <c r="AT34" s="315"/>
      <c r="AU34" s="315"/>
      <c r="AV34" s="315"/>
      <c r="AW34" s="315"/>
      <c r="AX34" s="315"/>
      <c r="AY34" s="315"/>
      <c r="AZ34" s="315"/>
      <c r="BA34" s="315"/>
      <c r="BB34" s="315"/>
      <c r="BC34" s="315"/>
      <c r="BD34" s="315"/>
      <c r="BE34" s="387"/>
      <c r="BF34" s="387"/>
      <c r="BG34" s="387"/>
      <c r="BH34" s="387"/>
      <c r="BI34" s="387"/>
      <c r="BJ34" s="387"/>
      <c r="BK34" s="387"/>
      <c r="BL34" s="387"/>
      <c r="BM34" s="387"/>
      <c r="BN34" s="387"/>
      <c r="BO34" s="387"/>
      <c r="BP34" s="387"/>
      <c r="BQ34" s="387"/>
      <c r="BR34" s="387"/>
      <c r="BS34" s="387"/>
      <c r="BT34" s="387"/>
      <c r="BU34" s="387"/>
      <c r="BV34" s="387"/>
      <c r="BW34" s="387"/>
      <c r="BX34" s="387"/>
      <c r="BY34" s="387"/>
      <c r="BZ34" s="387"/>
      <c r="CA34" s="387"/>
      <c r="CB34" s="387"/>
      <c r="CC34" s="387"/>
      <c r="CD34" s="387"/>
      <c r="CE34" s="387"/>
      <c r="CF34" s="387"/>
      <c r="CG34" s="387"/>
      <c r="CH34" s="387"/>
      <c r="CI34" s="387"/>
      <c r="CJ34" s="387"/>
      <c r="CK34" s="383"/>
      <c r="CL34" s="383"/>
      <c r="CM34" s="383"/>
      <c r="CN34" s="383"/>
      <c r="CO34" s="383"/>
      <c r="CP34" s="383"/>
      <c r="CQ34" s="383"/>
      <c r="CR34" s="390"/>
      <c r="CS34" s="390"/>
      <c r="CT34" s="383"/>
      <c r="CU34" s="383"/>
      <c r="CV34" s="383"/>
      <c r="CW34" s="383"/>
      <c r="CX34" s="383"/>
      <c r="CY34" s="383"/>
      <c r="CZ34" s="383"/>
      <c r="DA34" s="383"/>
      <c r="DB34" s="383"/>
      <c r="DC34" s="383"/>
      <c r="DD34" s="383"/>
      <c r="DE34" s="383"/>
      <c r="DF34" s="383"/>
      <c r="DG34" s="383"/>
      <c r="DH34" s="383"/>
      <c r="DI34" s="383"/>
      <c r="DJ34" s="383"/>
      <c r="DK34" s="383"/>
      <c r="DL34" s="383"/>
      <c r="DM34" s="383"/>
      <c r="DN34" s="383"/>
      <c r="DO34" s="383"/>
      <c r="DP34" s="383"/>
      <c r="DQ34" s="383"/>
      <c r="DR34" s="383"/>
      <c r="DS34" s="370"/>
      <c r="DT34" s="370"/>
      <c r="DU34" s="384"/>
      <c r="DV34" s="384"/>
      <c r="DW34" s="383"/>
      <c r="DX34" s="315"/>
      <c r="DY34" s="315"/>
      <c r="DZ34" s="383"/>
      <c r="EA34" s="383"/>
      <c r="EB34" s="390"/>
      <c r="EC34" s="390"/>
      <c r="ED34" s="383"/>
      <c r="EE34" s="383"/>
      <c r="EF34" s="383"/>
      <c r="EG34" s="383"/>
      <c r="EH34" s="383"/>
      <c r="EI34" s="383"/>
      <c r="EJ34" s="383"/>
      <c r="EK34" s="383"/>
      <c r="EL34" s="383"/>
      <c r="EM34" s="383"/>
      <c r="EN34" s="370"/>
      <c r="EO34" s="370"/>
      <c r="EP34" s="370"/>
      <c r="EQ34" s="370"/>
      <c r="ER34" s="370"/>
      <c r="ES34" s="370"/>
      <c r="ET34" s="383"/>
      <c r="EU34" s="383"/>
      <c r="EV34" s="383"/>
      <c r="EW34" s="383"/>
      <c r="EX34" s="383"/>
      <c r="EY34" s="383"/>
      <c r="EZ34" s="383"/>
      <c r="FA34" s="383"/>
      <c r="FB34" s="383"/>
      <c r="FC34" s="383"/>
      <c r="FD34" s="383"/>
      <c r="FE34" s="383"/>
      <c r="FF34" s="383"/>
      <c r="FG34" s="450">
        <v>1</v>
      </c>
      <c r="FH34" s="450">
        <v>1</v>
      </c>
      <c r="FI34" s="450">
        <v>1</v>
      </c>
      <c r="FJ34" s="450">
        <v>1</v>
      </c>
      <c r="FK34" s="383"/>
      <c r="FL34" s="383"/>
      <c r="FM34" s="383"/>
      <c r="FN34" s="383"/>
      <c r="FO34" s="383"/>
      <c r="FP34" s="383"/>
      <c r="FQ34" s="383"/>
      <c r="FR34" s="383"/>
      <c r="FS34" s="383"/>
      <c r="FT34" s="383"/>
      <c r="FU34" s="383"/>
      <c r="FV34" s="383"/>
      <c r="FW34" s="383"/>
      <c r="FX34" s="383"/>
      <c r="FY34" s="383"/>
      <c r="FZ34" s="383"/>
      <c r="GA34" s="383"/>
      <c r="GB34" s="383"/>
      <c r="GC34" s="383"/>
      <c r="GD34" s="383"/>
      <c r="GE34" s="383"/>
      <c r="GF34" s="383"/>
      <c r="GG34" s="383"/>
      <c r="GH34" s="383"/>
      <c r="GI34" s="383"/>
      <c r="GJ34" s="383"/>
      <c r="GK34" s="383"/>
      <c r="GL34" s="383"/>
      <c r="GM34" s="383"/>
      <c r="GN34" s="383"/>
      <c r="GO34" s="383"/>
      <c r="GP34" s="383"/>
      <c r="GQ34" s="383"/>
      <c r="GR34" s="383"/>
      <c r="GS34" s="383"/>
      <c r="GT34" s="383"/>
      <c r="GU34" s="383"/>
      <c r="GV34" s="383"/>
      <c r="GW34" s="383"/>
      <c r="GX34" s="383"/>
      <c r="GY34" s="383"/>
      <c r="GZ34" s="383"/>
      <c r="HA34" s="383"/>
      <c r="HB34" s="383"/>
      <c r="HC34" s="383"/>
      <c r="HD34" s="383"/>
      <c r="HE34" s="383"/>
      <c r="HF34" s="383"/>
      <c r="HG34" s="383"/>
      <c r="HH34" s="383"/>
    </row>
    <row r="35" spans="1:216" ht="18" customHeight="1">
      <c r="A35" s="514"/>
      <c r="B35" s="521" t="s">
        <v>11344</v>
      </c>
      <c r="C35" s="396"/>
      <c r="D35" s="317" t="s">
        <v>8025</v>
      </c>
      <c r="E35" s="317"/>
      <c r="F35" s="383">
        <v>1</v>
      </c>
      <c r="G35" s="383"/>
      <c r="H35" s="370"/>
      <c r="I35" s="317"/>
      <c r="J35" s="384">
        <v>1</v>
      </c>
      <c r="K35" s="384"/>
      <c r="L35" s="384"/>
      <c r="M35" s="397">
        <v>1</v>
      </c>
      <c r="N35" s="384"/>
      <c r="O35" s="384"/>
      <c r="P35" s="384"/>
      <c r="Q35" s="384"/>
      <c r="R35" s="397">
        <v>1</v>
      </c>
      <c r="S35" s="397">
        <v>1</v>
      </c>
      <c r="T35" s="384"/>
      <c r="U35" s="384"/>
      <c r="V35" s="384"/>
      <c r="W35" s="397">
        <v>1</v>
      </c>
      <c r="X35" s="384"/>
      <c r="Y35" s="384"/>
      <c r="Z35" s="384"/>
      <c r="AA35" s="384"/>
      <c r="AB35" s="384"/>
      <c r="AC35" s="384"/>
      <c r="AD35" s="384"/>
      <c r="AE35" s="384"/>
      <c r="AF35" s="384"/>
      <c r="AG35" s="384"/>
      <c r="AH35" s="384"/>
      <c r="AI35" s="384"/>
      <c r="AJ35" s="384"/>
      <c r="AK35" s="384"/>
      <c r="AL35" s="384"/>
      <c r="AM35" s="384"/>
      <c r="AN35" s="384"/>
      <c r="AO35" s="391"/>
      <c r="AP35" s="315"/>
      <c r="AQ35" s="315"/>
      <c r="AR35" s="315"/>
      <c r="AS35" s="315"/>
      <c r="AT35" s="315"/>
      <c r="AU35" s="315"/>
      <c r="AV35" s="315"/>
      <c r="AW35" s="315"/>
      <c r="AX35" s="315"/>
      <c r="AY35" s="315"/>
      <c r="AZ35" s="315"/>
      <c r="BA35" s="315"/>
      <c r="BB35" s="315"/>
      <c r="BC35" s="315"/>
      <c r="BD35" s="315"/>
      <c r="BE35" s="387"/>
      <c r="BF35" s="387"/>
      <c r="BG35" s="387"/>
      <c r="BH35" s="387"/>
      <c r="BI35" s="387"/>
      <c r="BJ35" s="387"/>
      <c r="BK35" s="387"/>
      <c r="BL35" s="387"/>
      <c r="BM35" s="387"/>
      <c r="BN35" s="387"/>
      <c r="BO35" s="387"/>
      <c r="BP35" s="387"/>
      <c r="BQ35" s="387"/>
      <c r="BR35" s="387"/>
      <c r="BS35" s="387"/>
      <c r="BT35" s="387"/>
      <c r="BU35" s="387"/>
      <c r="BV35" s="387"/>
      <c r="BW35" s="387"/>
      <c r="BX35" s="387"/>
      <c r="BY35" s="387"/>
      <c r="BZ35" s="387"/>
      <c r="CA35" s="387"/>
      <c r="CB35" s="387"/>
      <c r="CC35" s="387"/>
      <c r="CD35" s="387"/>
      <c r="CE35" s="387"/>
      <c r="CF35" s="387"/>
      <c r="CG35" s="387"/>
      <c r="CH35" s="387"/>
      <c r="CI35" s="387"/>
      <c r="CJ35" s="387"/>
      <c r="CK35" s="383"/>
      <c r="CL35" s="383"/>
      <c r="CM35" s="383"/>
      <c r="CN35" s="383"/>
      <c r="CO35" s="383"/>
      <c r="CP35" s="383"/>
      <c r="CQ35" s="383"/>
      <c r="CR35" s="390"/>
      <c r="CS35" s="390"/>
      <c r="CT35" s="383"/>
      <c r="CU35" s="383"/>
      <c r="CV35" s="383"/>
      <c r="CW35" s="383"/>
      <c r="CX35" s="383"/>
      <c r="CY35" s="383"/>
      <c r="CZ35" s="383"/>
      <c r="DA35" s="383"/>
      <c r="DB35" s="383"/>
      <c r="DC35" s="383"/>
      <c r="DD35" s="383"/>
      <c r="DE35" s="383"/>
      <c r="DF35" s="383"/>
      <c r="DG35" s="383"/>
      <c r="DH35" s="383"/>
      <c r="DI35" s="383"/>
      <c r="DJ35" s="383"/>
      <c r="DK35" s="383"/>
      <c r="DL35" s="383"/>
      <c r="DM35" s="383"/>
      <c r="DN35" s="383"/>
      <c r="DO35" s="383"/>
      <c r="DP35" s="383"/>
      <c r="DQ35" s="383"/>
      <c r="DR35" s="383"/>
      <c r="DS35" s="370"/>
      <c r="DT35" s="370"/>
      <c r="DU35" s="384"/>
      <c r="DV35" s="384"/>
      <c r="DW35" s="383"/>
      <c r="DX35" s="315"/>
      <c r="DY35" s="315"/>
      <c r="DZ35" s="383"/>
      <c r="EA35" s="383"/>
      <c r="EB35" s="390"/>
      <c r="EC35" s="390"/>
      <c r="ED35" s="383"/>
      <c r="EE35" s="383"/>
      <c r="EF35" s="383"/>
      <c r="EG35" s="383"/>
      <c r="EH35" s="383"/>
      <c r="EI35" s="383"/>
      <c r="EJ35" s="383"/>
      <c r="EK35" s="383"/>
      <c r="EL35" s="383"/>
      <c r="EM35" s="383"/>
      <c r="EN35" s="370"/>
      <c r="EO35" s="370"/>
      <c r="EP35" s="370"/>
      <c r="EQ35" s="370"/>
      <c r="ER35" s="370"/>
      <c r="ES35" s="370"/>
      <c r="ET35" s="383"/>
      <c r="EU35" s="383"/>
      <c r="EV35" s="383"/>
      <c r="EW35" s="383"/>
      <c r="EX35" s="383"/>
      <c r="EY35" s="383"/>
      <c r="EZ35" s="383"/>
      <c r="FA35" s="383"/>
      <c r="FB35" s="383"/>
      <c r="FC35" s="383"/>
      <c r="FD35" s="383"/>
      <c r="FE35" s="383"/>
      <c r="FF35" s="383"/>
      <c r="FG35" s="450">
        <v>1</v>
      </c>
      <c r="FH35" s="450">
        <v>1</v>
      </c>
      <c r="FI35" s="450">
        <v>1</v>
      </c>
      <c r="FJ35" s="450">
        <v>1</v>
      </c>
      <c r="FK35" s="383"/>
      <c r="FL35" s="383"/>
      <c r="FM35" s="383"/>
      <c r="FN35" s="383"/>
      <c r="FO35" s="383"/>
      <c r="FP35" s="383"/>
      <c r="FQ35" s="383"/>
      <c r="FR35" s="383"/>
      <c r="FS35" s="383"/>
      <c r="FT35" s="383"/>
      <c r="FU35" s="383"/>
      <c r="FV35" s="383"/>
      <c r="FW35" s="383"/>
      <c r="FX35" s="383"/>
      <c r="FY35" s="383"/>
      <c r="FZ35" s="383"/>
      <c r="GA35" s="383"/>
      <c r="GB35" s="383"/>
      <c r="GC35" s="383"/>
      <c r="GD35" s="383"/>
      <c r="GE35" s="383"/>
      <c r="GF35" s="383"/>
      <c r="GG35" s="383"/>
      <c r="GH35" s="383"/>
      <c r="GI35" s="383"/>
      <c r="GJ35" s="383"/>
      <c r="GK35" s="383"/>
      <c r="GL35" s="383"/>
      <c r="GM35" s="383"/>
      <c r="GN35" s="383"/>
      <c r="GO35" s="383"/>
      <c r="GP35" s="383"/>
      <c r="GQ35" s="383"/>
      <c r="GR35" s="383"/>
      <c r="GS35" s="383"/>
      <c r="GT35" s="383"/>
      <c r="GU35" s="383"/>
      <c r="GV35" s="383"/>
      <c r="GW35" s="383"/>
      <c r="GX35" s="383"/>
      <c r="GY35" s="383"/>
      <c r="GZ35" s="383"/>
      <c r="HA35" s="383"/>
      <c r="HB35" s="383"/>
      <c r="HC35" s="383"/>
      <c r="HD35" s="383"/>
      <c r="HE35" s="383"/>
      <c r="HF35" s="383"/>
      <c r="HG35" s="383"/>
      <c r="HH35" s="383"/>
    </row>
    <row r="36" spans="1:216" ht="18" customHeight="1">
      <c r="A36" s="514"/>
      <c r="B36" s="314" t="s">
        <v>11345</v>
      </c>
      <c r="C36" s="396"/>
      <c r="D36" s="317" t="s">
        <v>8025</v>
      </c>
      <c r="E36" s="317"/>
      <c r="F36" s="383"/>
      <c r="G36" s="383"/>
      <c r="H36" s="370"/>
      <c r="I36" s="530" t="s">
        <v>11316</v>
      </c>
      <c r="J36" s="384">
        <v>1</v>
      </c>
      <c r="K36" s="384"/>
      <c r="L36" s="384"/>
      <c r="M36" s="397">
        <v>1</v>
      </c>
      <c r="N36" s="384"/>
      <c r="O36" s="384"/>
      <c r="P36" s="384"/>
      <c r="Q36" s="384"/>
      <c r="R36" s="397">
        <v>1</v>
      </c>
      <c r="S36" s="397">
        <v>1</v>
      </c>
      <c r="T36" s="384"/>
      <c r="U36" s="384"/>
      <c r="V36" s="384"/>
      <c r="W36" s="397">
        <v>1</v>
      </c>
      <c r="X36" s="384"/>
      <c r="Y36" s="384"/>
      <c r="Z36" s="384"/>
      <c r="AA36" s="384"/>
      <c r="AB36" s="384"/>
      <c r="AC36" s="384"/>
      <c r="AD36" s="384"/>
      <c r="AE36" s="384"/>
      <c r="AF36" s="384"/>
      <c r="AG36" s="384"/>
      <c r="AH36" s="384"/>
      <c r="AI36" s="384"/>
      <c r="AJ36" s="384"/>
      <c r="AK36" s="384"/>
      <c r="AL36" s="384"/>
      <c r="AM36" s="384"/>
      <c r="AN36" s="384"/>
      <c r="AO36" s="391"/>
      <c r="AP36" s="315"/>
      <c r="AQ36" s="315"/>
      <c r="AR36" s="315"/>
      <c r="AS36" s="315"/>
      <c r="AT36" s="315"/>
      <c r="AU36" s="315"/>
      <c r="AV36" s="315"/>
      <c r="AW36" s="315"/>
      <c r="AX36" s="315"/>
      <c r="AY36" s="315"/>
      <c r="AZ36" s="315"/>
      <c r="BA36" s="315"/>
      <c r="BB36" s="315"/>
      <c r="BC36" s="315"/>
      <c r="BD36" s="315"/>
      <c r="BE36" s="387"/>
      <c r="BF36" s="387"/>
      <c r="BG36" s="387"/>
      <c r="BH36" s="387"/>
      <c r="BI36" s="387"/>
      <c r="BJ36" s="387"/>
      <c r="BK36" s="387"/>
      <c r="BL36" s="387"/>
      <c r="BM36" s="387"/>
      <c r="BN36" s="387"/>
      <c r="BO36" s="387"/>
      <c r="BP36" s="387"/>
      <c r="BQ36" s="387"/>
      <c r="BR36" s="387"/>
      <c r="BS36" s="387"/>
      <c r="BT36" s="387"/>
      <c r="BU36" s="387"/>
      <c r="BV36" s="387"/>
      <c r="BW36" s="387"/>
      <c r="BX36" s="387"/>
      <c r="BY36" s="387"/>
      <c r="BZ36" s="387"/>
      <c r="CA36" s="387"/>
      <c r="CB36" s="387"/>
      <c r="CC36" s="387"/>
      <c r="CD36" s="387"/>
      <c r="CE36" s="387"/>
      <c r="CF36" s="387"/>
      <c r="CG36" s="387"/>
      <c r="CH36" s="387"/>
      <c r="CI36" s="387"/>
      <c r="CJ36" s="387"/>
      <c r="CK36" s="383"/>
      <c r="CL36" s="383"/>
      <c r="CM36" s="383"/>
      <c r="CN36" s="383"/>
      <c r="CO36" s="383"/>
      <c r="CP36" s="383"/>
      <c r="CQ36" s="383"/>
      <c r="CR36" s="390"/>
      <c r="CS36" s="390"/>
      <c r="CT36" s="383"/>
      <c r="CU36" s="383"/>
      <c r="CV36" s="383"/>
      <c r="CW36" s="383"/>
      <c r="CX36" s="383"/>
      <c r="CY36" s="383"/>
      <c r="CZ36" s="383"/>
      <c r="DA36" s="383"/>
      <c r="DB36" s="383"/>
      <c r="DC36" s="383"/>
      <c r="DD36" s="383"/>
      <c r="DE36" s="383"/>
      <c r="DF36" s="383"/>
      <c r="DG36" s="383"/>
      <c r="DH36" s="383"/>
      <c r="DI36" s="383"/>
      <c r="DJ36" s="383"/>
      <c r="DK36" s="383"/>
      <c r="DL36" s="383"/>
      <c r="DM36" s="383"/>
      <c r="DN36" s="383"/>
      <c r="DO36" s="383"/>
      <c r="DP36" s="383"/>
      <c r="DQ36" s="383"/>
      <c r="DR36" s="383"/>
      <c r="DS36" s="370"/>
      <c r="DT36" s="370"/>
      <c r="DU36" s="384"/>
      <c r="DV36" s="384"/>
      <c r="DW36" s="383"/>
      <c r="DX36" s="315"/>
      <c r="DY36" s="315"/>
      <c r="DZ36" s="383"/>
      <c r="EA36" s="383"/>
      <c r="EB36" s="390"/>
      <c r="EC36" s="390"/>
      <c r="ED36" s="383"/>
      <c r="EE36" s="383"/>
      <c r="EF36" s="383"/>
      <c r="EG36" s="383"/>
      <c r="EH36" s="383"/>
      <c r="EI36" s="383"/>
      <c r="EJ36" s="383"/>
      <c r="EK36" s="383"/>
      <c r="EL36" s="383"/>
      <c r="EM36" s="383"/>
      <c r="EN36" s="370"/>
      <c r="EO36" s="370"/>
      <c r="EP36" s="370"/>
      <c r="EQ36" s="370"/>
      <c r="ER36" s="370"/>
      <c r="ES36" s="370"/>
      <c r="ET36" s="383"/>
      <c r="EU36" s="383"/>
      <c r="EV36" s="383"/>
      <c r="EW36" s="383"/>
      <c r="EX36" s="383"/>
      <c r="EY36" s="383"/>
      <c r="EZ36" s="383"/>
      <c r="FA36" s="383"/>
      <c r="FB36" s="383"/>
      <c r="FC36" s="383"/>
      <c r="FD36" s="383"/>
      <c r="FE36" s="383"/>
      <c r="FF36" s="383"/>
      <c r="FG36" s="450">
        <v>1</v>
      </c>
      <c r="FH36" s="450">
        <v>1</v>
      </c>
      <c r="FI36" s="450">
        <v>1</v>
      </c>
      <c r="FJ36" s="450">
        <v>1</v>
      </c>
      <c r="FK36" s="383"/>
      <c r="FL36" s="383"/>
      <c r="FM36" s="383"/>
      <c r="FN36" s="383"/>
      <c r="FO36" s="383"/>
      <c r="FP36" s="383"/>
      <c r="FQ36" s="383"/>
      <c r="FR36" s="383"/>
      <c r="FS36" s="383"/>
      <c r="FT36" s="383"/>
      <c r="FU36" s="383"/>
      <c r="FV36" s="383"/>
      <c r="FW36" s="383"/>
      <c r="FX36" s="383"/>
      <c r="FY36" s="383"/>
      <c r="FZ36" s="383"/>
      <c r="GA36" s="383"/>
      <c r="GB36" s="383"/>
      <c r="GC36" s="383"/>
      <c r="GD36" s="383"/>
      <c r="GE36" s="383"/>
      <c r="GF36" s="383"/>
      <c r="GG36" s="383"/>
      <c r="GH36" s="383"/>
      <c r="GI36" s="383"/>
      <c r="GJ36" s="383"/>
      <c r="GK36" s="383"/>
      <c r="GL36" s="383"/>
      <c r="GM36" s="383"/>
      <c r="GN36" s="383"/>
      <c r="GO36" s="383"/>
      <c r="GP36" s="383"/>
      <c r="GQ36" s="383"/>
      <c r="GR36" s="383"/>
      <c r="GS36" s="383"/>
      <c r="GT36" s="383"/>
      <c r="GU36" s="383"/>
      <c r="GV36" s="383"/>
      <c r="GW36" s="383"/>
      <c r="GX36" s="383"/>
      <c r="GY36" s="383"/>
      <c r="GZ36" s="383"/>
      <c r="HA36" s="383"/>
      <c r="HB36" s="383"/>
      <c r="HC36" s="383"/>
      <c r="HD36" s="383"/>
      <c r="HE36" s="383"/>
      <c r="HF36" s="383"/>
      <c r="HG36" s="383"/>
      <c r="HH36" s="383"/>
    </row>
    <row r="37" spans="1:216" ht="18" customHeight="1">
      <c r="A37" s="514"/>
      <c r="B37" s="314" t="s">
        <v>11347</v>
      </c>
      <c r="C37" s="396"/>
      <c r="D37" s="317" t="s">
        <v>8025</v>
      </c>
      <c r="E37" s="317"/>
      <c r="F37" s="383"/>
      <c r="G37" s="383"/>
      <c r="H37" s="370"/>
      <c r="I37" s="317"/>
      <c r="J37" s="384">
        <v>1</v>
      </c>
      <c r="K37" s="384"/>
      <c r="L37" s="384"/>
      <c r="M37" s="397">
        <v>1</v>
      </c>
      <c r="N37" s="384"/>
      <c r="O37" s="384"/>
      <c r="P37" s="384"/>
      <c r="Q37" s="384"/>
      <c r="R37" s="397">
        <v>1</v>
      </c>
      <c r="S37" s="397">
        <v>1</v>
      </c>
      <c r="T37" s="384"/>
      <c r="U37" s="384"/>
      <c r="V37" s="384"/>
      <c r="W37" s="397">
        <v>1</v>
      </c>
      <c r="X37" s="384"/>
      <c r="Y37" s="384"/>
      <c r="Z37" s="384"/>
      <c r="AA37" s="384"/>
      <c r="AB37" s="384"/>
      <c r="AC37" s="384"/>
      <c r="AD37" s="384"/>
      <c r="AE37" s="384"/>
      <c r="AF37" s="384"/>
      <c r="AG37" s="384"/>
      <c r="AH37" s="384"/>
      <c r="AI37" s="384"/>
      <c r="AJ37" s="384"/>
      <c r="AK37" s="384"/>
      <c r="AL37" s="384"/>
      <c r="AM37" s="384"/>
      <c r="AN37" s="384"/>
      <c r="AO37" s="391"/>
      <c r="AP37" s="315"/>
      <c r="AQ37" s="315"/>
      <c r="AR37" s="315"/>
      <c r="AS37" s="315"/>
      <c r="AT37" s="315"/>
      <c r="AU37" s="315"/>
      <c r="AV37" s="315"/>
      <c r="AW37" s="315"/>
      <c r="AX37" s="315"/>
      <c r="AY37" s="315"/>
      <c r="AZ37" s="315"/>
      <c r="BA37" s="315"/>
      <c r="BB37" s="315"/>
      <c r="BC37" s="315"/>
      <c r="BD37" s="315"/>
      <c r="BE37" s="387"/>
      <c r="BF37" s="387"/>
      <c r="BG37" s="387"/>
      <c r="BH37" s="387"/>
      <c r="BI37" s="387"/>
      <c r="BJ37" s="387"/>
      <c r="BK37" s="387"/>
      <c r="BL37" s="387"/>
      <c r="BM37" s="387"/>
      <c r="BN37" s="387"/>
      <c r="BO37" s="387"/>
      <c r="BP37" s="387"/>
      <c r="BQ37" s="387"/>
      <c r="BR37" s="387"/>
      <c r="BS37" s="387"/>
      <c r="BT37" s="387"/>
      <c r="BU37" s="387"/>
      <c r="BV37" s="387"/>
      <c r="BW37" s="387"/>
      <c r="BX37" s="387"/>
      <c r="BY37" s="387"/>
      <c r="BZ37" s="387"/>
      <c r="CA37" s="387"/>
      <c r="CB37" s="387"/>
      <c r="CC37" s="387"/>
      <c r="CD37" s="387"/>
      <c r="CE37" s="387"/>
      <c r="CF37" s="387"/>
      <c r="CG37" s="387"/>
      <c r="CH37" s="387"/>
      <c r="CI37" s="387"/>
      <c r="CJ37" s="387"/>
      <c r="CK37" s="383"/>
      <c r="CL37" s="383"/>
      <c r="CM37" s="383"/>
      <c r="CN37" s="383"/>
      <c r="CO37" s="383"/>
      <c r="CP37" s="383"/>
      <c r="CQ37" s="383"/>
      <c r="CR37" s="390"/>
      <c r="CS37" s="390"/>
      <c r="CT37" s="383"/>
      <c r="CU37" s="383"/>
      <c r="CV37" s="383"/>
      <c r="CW37" s="383"/>
      <c r="CX37" s="383"/>
      <c r="CY37" s="383"/>
      <c r="CZ37" s="383"/>
      <c r="DA37" s="383"/>
      <c r="DB37" s="383"/>
      <c r="DC37" s="383"/>
      <c r="DD37" s="383"/>
      <c r="DE37" s="383"/>
      <c r="DF37" s="383"/>
      <c r="DG37" s="383"/>
      <c r="DH37" s="383"/>
      <c r="DI37" s="383"/>
      <c r="DJ37" s="383"/>
      <c r="DK37" s="383"/>
      <c r="DL37" s="383"/>
      <c r="DM37" s="383"/>
      <c r="DN37" s="383"/>
      <c r="DO37" s="383"/>
      <c r="DP37" s="383"/>
      <c r="DQ37" s="383"/>
      <c r="DR37" s="383"/>
      <c r="DS37" s="370"/>
      <c r="DT37" s="370"/>
      <c r="DU37" s="384"/>
      <c r="DV37" s="384"/>
      <c r="DW37" s="383"/>
      <c r="DX37" s="315"/>
      <c r="DY37" s="315"/>
      <c r="DZ37" s="383"/>
      <c r="EA37" s="383"/>
      <c r="EB37" s="390"/>
      <c r="EC37" s="390"/>
      <c r="ED37" s="383"/>
      <c r="EE37" s="383"/>
      <c r="EF37" s="383"/>
      <c r="EG37" s="383"/>
      <c r="EH37" s="383"/>
      <c r="EI37" s="383"/>
      <c r="EJ37" s="383"/>
      <c r="EK37" s="383"/>
      <c r="EL37" s="383"/>
      <c r="EM37" s="383"/>
      <c r="EN37" s="370"/>
      <c r="EO37" s="370"/>
      <c r="EP37" s="370"/>
      <c r="EQ37" s="370"/>
      <c r="ER37" s="370"/>
      <c r="ES37" s="370"/>
      <c r="ET37" s="383"/>
      <c r="EU37" s="383"/>
      <c r="EV37" s="383"/>
      <c r="EW37" s="383"/>
      <c r="EX37" s="383"/>
      <c r="EY37" s="383"/>
      <c r="EZ37" s="383"/>
      <c r="FA37" s="383"/>
      <c r="FB37" s="383"/>
      <c r="FC37" s="383"/>
      <c r="FD37" s="383"/>
      <c r="FE37" s="383"/>
      <c r="FF37" s="383"/>
      <c r="FG37" s="450">
        <v>1</v>
      </c>
      <c r="FH37" s="450">
        <v>1</v>
      </c>
      <c r="FI37" s="450">
        <v>1</v>
      </c>
      <c r="FJ37" s="450">
        <v>1</v>
      </c>
      <c r="FK37" s="383"/>
      <c r="FL37" s="383"/>
      <c r="FM37" s="383"/>
      <c r="FN37" s="383"/>
      <c r="FO37" s="383"/>
      <c r="FP37" s="383"/>
      <c r="FQ37" s="383"/>
      <c r="FR37" s="383"/>
      <c r="FS37" s="383"/>
      <c r="FT37" s="383"/>
      <c r="FU37" s="383"/>
      <c r="FV37" s="383"/>
      <c r="FW37" s="383"/>
      <c r="FX37" s="383"/>
      <c r="FY37" s="383"/>
      <c r="FZ37" s="383"/>
      <c r="GA37" s="383"/>
      <c r="GB37" s="383"/>
      <c r="GC37" s="383"/>
      <c r="GD37" s="383"/>
      <c r="GE37" s="383"/>
      <c r="GF37" s="383"/>
      <c r="GG37" s="383"/>
      <c r="GH37" s="383"/>
      <c r="GI37" s="383"/>
      <c r="GJ37" s="383"/>
      <c r="GK37" s="383"/>
      <c r="GL37" s="383"/>
      <c r="GM37" s="383"/>
      <c r="GN37" s="383"/>
      <c r="GO37" s="383"/>
      <c r="GP37" s="383"/>
      <c r="GQ37" s="383"/>
      <c r="GR37" s="383"/>
      <c r="GS37" s="383"/>
      <c r="GT37" s="383"/>
      <c r="GU37" s="383"/>
      <c r="GV37" s="383"/>
      <c r="GW37" s="383"/>
      <c r="GX37" s="383"/>
      <c r="GY37" s="383"/>
      <c r="GZ37" s="383"/>
      <c r="HA37" s="383"/>
      <c r="HB37" s="383"/>
      <c r="HC37" s="383"/>
      <c r="HD37" s="383"/>
      <c r="HE37" s="383"/>
      <c r="HF37" s="383"/>
      <c r="HG37" s="383"/>
      <c r="HH37" s="383"/>
    </row>
    <row r="38" spans="1:216" ht="18" customHeight="1">
      <c r="A38" s="514"/>
      <c r="B38" s="314" t="s">
        <v>11348</v>
      </c>
      <c r="C38" s="396"/>
      <c r="D38" s="317" t="s">
        <v>8025</v>
      </c>
      <c r="E38" s="317"/>
      <c r="F38" s="383"/>
      <c r="G38" s="383"/>
      <c r="H38" s="370"/>
      <c r="I38" s="317"/>
      <c r="J38" s="384">
        <v>1</v>
      </c>
      <c r="K38" s="384"/>
      <c r="L38" s="384"/>
      <c r="M38" s="397">
        <v>1</v>
      </c>
      <c r="N38" s="384"/>
      <c r="O38" s="384"/>
      <c r="P38" s="384"/>
      <c r="Q38" s="384"/>
      <c r="R38" s="397">
        <v>1</v>
      </c>
      <c r="S38" s="397">
        <v>1</v>
      </c>
      <c r="T38" s="384"/>
      <c r="U38" s="384"/>
      <c r="V38" s="384"/>
      <c r="W38" s="397">
        <v>1</v>
      </c>
      <c r="X38" s="384"/>
      <c r="Y38" s="384"/>
      <c r="Z38" s="384"/>
      <c r="AA38" s="384"/>
      <c r="AB38" s="384"/>
      <c r="AC38" s="384"/>
      <c r="AD38" s="384"/>
      <c r="AE38" s="384"/>
      <c r="AF38" s="384"/>
      <c r="AG38" s="384"/>
      <c r="AH38" s="384"/>
      <c r="AI38" s="384"/>
      <c r="AJ38" s="384"/>
      <c r="AK38" s="384"/>
      <c r="AL38" s="384"/>
      <c r="AM38" s="384"/>
      <c r="AN38" s="384"/>
      <c r="AO38" s="391"/>
      <c r="AP38" s="315"/>
      <c r="AQ38" s="315"/>
      <c r="AR38" s="315"/>
      <c r="AS38" s="315"/>
      <c r="AT38" s="315"/>
      <c r="AU38" s="315"/>
      <c r="AV38" s="315"/>
      <c r="AW38" s="315"/>
      <c r="AX38" s="315"/>
      <c r="AY38" s="315"/>
      <c r="AZ38" s="315"/>
      <c r="BA38" s="315"/>
      <c r="BB38" s="315"/>
      <c r="BC38" s="315"/>
      <c r="BD38" s="315"/>
      <c r="BE38" s="387"/>
      <c r="BF38" s="387"/>
      <c r="BG38" s="387"/>
      <c r="BH38" s="387"/>
      <c r="BI38" s="387"/>
      <c r="BJ38" s="387"/>
      <c r="BK38" s="387"/>
      <c r="BL38" s="387"/>
      <c r="BM38" s="387"/>
      <c r="BN38" s="387"/>
      <c r="BO38" s="387"/>
      <c r="BP38" s="387"/>
      <c r="BQ38" s="387"/>
      <c r="BR38" s="387"/>
      <c r="BS38" s="387"/>
      <c r="BT38" s="387"/>
      <c r="BU38" s="387"/>
      <c r="BV38" s="387"/>
      <c r="BW38" s="387"/>
      <c r="BX38" s="387"/>
      <c r="BY38" s="387"/>
      <c r="BZ38" s="387"/>
      <c r="CA38" s="387"/>
      <c r="CB38" s="387"/>
      <c r="CC38" s="387"/>
      <c r="CD38" s="387"/>
      <c r="CE38" s="387"/>
      <c r="CF38" s="387"/>
      <c r="CG38" s="387"/>
      <c r="CH38" s="387"/>
      <c r="CI38" s="387"/>
      <c r="CJ38" s="387"/>
      <c r="CK38" s="383"/>
      <c r="CL38" s="383"/>
      <c r="CM38" s="383"/>
      <c r="CN38" s="383"/>
      <c r="CO38" s="383"/>
      <c r="CP38" s="383"/>
      <c r="CQ38" s="383"/>
      <c r="CR38" s="390"/>
      <c r="CS38" s="390"/>
      <c r="CT38" s="383"/>
      <c r="CU38" s="383"/>
      <c r="CV38" s="383"/>
      <c r="CW38" s="383"/>
      <c r="CX38" s="383"/>
      <c r="CY38" s="383"/>
      <c r="CZ38" s="383"/>
      <c r="DA38" s="383"/>
      <c r="DB38" s="383"/>
      <c r="DC38" s="383"/>
      <c r="DD38" s="383"/>
      <c r="DE38" s="383"/>
      <c r="DF38" s="383"/>
      <c r="DG38" s="383"/>
      <c r="DH38" s="383"/>
      <c r="DI38" s="383"/>
      <c r="DJ38" s="383"/>
      <c r="DK38" s="383"/>
      <c r="DL38" s="383"/>
      <c r="DM38" s="383"/>
      <c r="DN38" s="383"/>
      <c r="DO38" s="383"/>
      <c r="DP38" s="383"/>
      <c r="DQ38" s="383"/>
      <c r="DR38" s="383"/>
      <c r="DS38" s="370"/>
      <c r="DT38" s="370"/>
      <c r="DU38" s="384"/>
      <c r="DV38" s="384"/>
      <c r="DW38" s="383"/>
      <c r="DX38" s="315"/>
      <c r="DY38" s="315"/>
      <c r="DZ38" s="383"/>
      <c r="EA38" s="383"/>
      <c r="EB38" s="390"/>
      <c r="EC38" s="390"/>
      <c r="ED38" s="383"/>
      <c r="EE38" s="383"/>
      <c r="EF38" s="383"/>
      <c r="EG38" s="383"/>
      <c r="EH38" s="383"/>
      <c r="EI38" s="383"/>
      <c r="EJ38" s="383"/>
      <c r="EK38" s="383"/>
      <c r="EL38" s="383"/>
      <c r="EM38" s="383"/>
      <c r="EN38" s="370"/>
      <c r="EO38" s="370"/>
      <c r="EP38" s="370"/>
      <c r="EQ38" s="370"/>
      <c r="ER38" s="370"/>
      <c r="ES38" s="370"/>
      <c r="ET38" s="383"/>
      <c r="EU38" s="383"/>
      <c r="EV38" s="383"/>
      <c r="EW38" s="383"/>
      <c r="EX38" s="383"/>
      <c r="EY38" s="383"/>
      <c r="EZ38" s="383"/>
      <c r="FA38" s="383"/>
      <c r="FB38" s="383"/>
      <c r="FC38" s="383"/>
      <c r="FD38" s="383"/>
      <c r="FE38" s="383"/>
      <c r="FF38" s="383"/>
      <c r="FG38" s="450">
        <v>1</v>
      </c>
      <c r="FH38" s="450">
        <v>1</v>
      </c>
      <c r="FI38" s="450">
        <v>1</v>
      </c>
      <c r="FJ38" s="450">
        <v>1</v>
      </c>
      <c r="FK38" s="383"/>
      <c r="FL38" s="383"/>
      <c r="FM38" s="383"/>
      <c r="FN38" s="383"/>
      <c r="FO38" s="383"/>
      <c r="FP38" s="383"/>
      <c r="FQ38" s="383"/>
      <c r="FR38" s="383"/>
      <c r="FS38" s="383"/>
      <c r="FT38" s="383"/>
      <c r="FU38" s="383"/>
      <c r="FV38" s="383"/>
      <c r="FW38" s="383"/>
      <c r="FX38" s="383"/>
      <c r="FY38" s="383"/>
      <c r="FZ38" s="383"/>
      <c r="GA38" s="383"/>
      <c r="GB38" s="383"/>
      <c r="GC38" s="383"/>
      <c r="GD38" s="383"/>
      <c r="GE38" s="383"/>
      <c r="GF38" s="383"/>
      <c r="GG38" s="383"/>
      <c r="GH38" s="383"/>
      <c r="GI38" s="383"/>
      <c r="GJ38" s="383"/>
      <c r="GK38" s="383"/>
      <c r="GL38" s="383"/>
      <c r="GM38" s="383"/>
      <c r="GN38" s="383"/>
      <c r="GO38" s="383"/>
      <c r="GP38" s="383"/>
      <c r="GQ38" s="383"/>
      <c r="GR38" s="383"/>
      <c r="GS38" s="383"/>
      <c r="GT38" s="383"/>
      <c r="GU38" s="383"/>
      <c r="GV38" s="383"/>
      <c r="GW38" s="383"/>
      <c r="GX38" s="383"/>
      <c r="GY38" s="383"/>
      <c r="GZ38" s="383"/>
      <c r="HA38" s="383"/>
      <c r="HB38" s="383"/>
      <c r="HC38" s="383"/>
      <c r="HD38" s="383"/>
      <c r="HE38" s="383"/>
      <c r="HF38" s="383"/>
      <c r="HG38" s="383"/>
      <c r="HH38" s="383"/>
    </row>
    <row r="39" spans="1:216" ht="18" customHeight="1">
      <c r="A39" s="519"/>
      <c r="B39" s="521" t="s">
        <v>8026</v>
      </c>
      <c r="C39" s="396"/>
      <c r="D39" s="317" t="s">
        <v>8027</v>
      </c>
      <c r="E39" s="317"/>
      <c r="F39" s="383">
        <v>1</v>
      </c>
      <c r="G39" s="383"/>
      <c r="H39" s="370"/>
      <c r="I39" s="317"/>
      <c r="J39" s="384">
        <v>1</v>
      </c>
      <c r="K39" s="384"/>
      <c r="L39" s="384"/>
      <c r="M39" s="397">
        <v>1</v>
      </c>
      <c r="N39" s="384"/>
      <c r="O39" s="384"/>
      <c r="P39" s="384"/>
      <c r="Q39" s="384"/>
      <c r="R39" s="397">
        <v>1</v>
      </c>
      <c r="S39" s="397">
        <v>1</v>
      </c>
      <c r="T39" s="384"/>
      <c r="U39" s="384"/>
      <c r="V39" s="384"/>
      <c r="W39" s="397">
        <v>1</v>
      </c>
      <c r="X39" s="384"/>
      <c r="Y39" s="384"/>
      <c r="Z39" s="384"/>
      <c r="AA39" s="384"/>
      <c r="AB39" s="384"/>
      <c r="AC39" s="384"/>
      <c r="AD39" s="384"/>
      <c r="AE39" s="384"/>
      <c r="AF39" s="384"/>
      <c r="AG39" s="384"/>
      <c r="AH39" s="384"/>
      <c r="AI39" s="384"/>
      <c r="AJ39" s="384"/>
      <c r="AK39" s="384"/>
      <c r="AL39" s="384"/>
      <c r="AM39" s="384"/>
      <c r="AN39" s="384"/>
      <c r="AO39" s="391"/>
      <c r="AP39" s="315"/>
      <c r="AQ39" s="315"/>
      <c r="AR39" s="315"/>
      <c r="AS39" s="315"/>
      <c r="AT39" s="315"/>
      <c r="AU39" s="315"/>
      <c r="AV39" s="315"/>
      <c r="AW39" s="315"/>
      <c r="AX39" s="315"/>
      <c r="AY39" s="315"/>
      <c r="AZ39" s="315"/>
      <c r="BA39" s="315"/>
      <c r="BB39" s="315"/>
      <c r="BC39" s="315"/>
      <c r="BD39" s="315"/>
      <c r="BE39" s="387"/>
      <c r="BF39" s="387"/>
      <c r="BG39" s="387"/>
      <c r="BH39" s="387"/>
      <c r="BI39" s="387"/>
      <c r="BJ39" s="387"/>
      <c r="BK39" s="387"/>
      <c r="BL39" s="387"/>
      <c r="BM39" s="387"/>
      <c r="BN39" s="387"/>
      <c r="BO39" s="387"/>
      <c r="BP39" s="387"/>
      <c r="BQ39" s="387"/>
      <c r="BR39" s="387"/>
      <c r="BS39" s="387"/>
      <c r="BT39" s="387"/>
      <c r="BU39" s="387"/>
      <c r="BV39" s="387"/>
      <c r="BW39" s="387"/>
      <c r="BX39" s="387"/>
      <c r="BY39" s="387"/>
      <c r="BZ39" s="387"/>
      <c r="CA39" s="387"/>
      <c r="CB39" s="387"/>
      <c r="CC39" s="387"/>
      <c r="CD39" s="387"/>
      <c r="CE39" s="387"/>
      <c r="CF39" s="387"/>
      <c r="CG39" s="387"/>
      <c r="CH39" s="387"/>
      <c r="CI39" s="387"/>
      <c r="CJ39" s="387"/>
      <c r="CK39" s="383"/>
      <c r="CL39" s="383"/>
      <c r="CM39" s="383"/>
      <c r="CN39" s="383"/>
      <c r="CO39" s="383"/>
      <c r="CP39" s="383"/>
      <c r="CQ39" s="383"/>
      <c r="CR39" s="390"/>
      <c r="CS39" s="390"/>
      <c r="CT39" s="383"/>
      <c r="CU39" s="383"/>
      <c r="CV39" s="383"/>
      <c r="CW39" s="383"/>
      <c r="CX39" s="383"/>
      <c r="CY39" s="383"/>
      <c r="CZ39" s="383"/>
      <c r="DA39" s="383"/>
      <c r="DB39" s="383"/>
      <c r="DC39" s="383"/>
      <c r="DD39" s="383"/>
      <c r="DE39" s="383"/>
      <c r="DF39" s="383"/>
      <c r="DG39" s="383"/>
      <c r="DH39" s="383"/>
      <c r="DI39" s="383"/>
      <c r="DJ39" s="383"/>
      <c r="DK39" s="383"/>
      <c r="DL39" s="383"/>
      <c r="DM39" s="383"/>
      <c r="DN39" s="383"/>
      <c r="DO39" s="383"/>
      <c r="DP39" s="383"/>
      <c r="DQ39" s="383"/>
      <c r="DR39" s="383"/>
      <c r="DS39" s="370"/>
      <c r="DT39" s="370"/>
      <c r="DU39" s="384"/>
      <c r="DV39" s="384"/>
      <c r="DW39" s="383"/>
      <c r="DX39" s="315"/>
      <c r="DY39" s="315"/>
      <c r="DZ39" s="383"/>
      <c r="EA39" s="383"/>
      <c r="EB39" s="390"/>
      <c r="EC39" s="390"/>
      <c r="ED39" s="383"/>
      <c r="EE39" s="383"/>
      <c r="EF39" s="383"/>
      <c r="EG39" s="383"/>
      <c r="EH39" s="383"/>
      <c r="EI39" s="383"/>
      <c r="EJ39" s="383"/>
      <c r="EK39" s="383"/>
      <c r="EL39" s="383"/>
      <c r="EM39" s="383"/>
      <c r="EN39" s="370"/>
      <c r="EO39" s="370"/>
      <c r="EP39" s="370"/>
      <c r="EQ39" s="370"/>
      <c r="ER39" s="370"/>
      <c r="ES39" s="370"/>
      <c r="ET39" s="383"/>
      <c r="EU39" s="383"/>
      <c r="EV39" s="383"/>
      <c r="EW39" s="383"/>
      <c r="EX39" s="383"/>
      <c r="EY39" s="383"/>
      <c r="EZ39" s="383"/>
      <c r="FA39" s="383"/>
      <c r="FB39" s="383"/>
      <c r="FC39" s="383"/>
      <c r="FD39" s="383"/>
      <c r="FE39" s="383"/>
      <c r="FF39" s="383"/>
      <c r="FG39" s="450">
        <v>1</v>
      </c>
      <c r="FH39" s="450">
        <v>1</v>
      </c>
      <c r="FI39" s="450">
        <v>1</v>
      </c>
      <c r="FJ39" s="450">
        <v>1</v>
      </c>
      <c r="FK39" s="383"/>
      <c r="FL39" s="383"/>
      <c r="FM39" s="383"/>
      <c r="FN39" s="383"/>
      <c r="FO39" s="383"/>
      <c r="FP39" s="383"/>
      <c r="FQ39" s="383"/>
      <c r="FR39" s="383"/>
      <c r="FS39" s="383"/>
      <c r="FT39" s="383"/>
      <c r="FU39" s="383"/>
      <c r="FV39" s="383"/>
      <c r="FW39" s="383"/>
      <c r="FX39" s="383"/>
      <c r="FY39" s="383"/>
      <c r="FZ39" s="383"/>
      <c r="GA39" s="383"/>
      <c r="GB39" s="383"/>
      <c r="GC39" s="383"/>
      <c r="GD39" s="383"/>
      <c r="GE39" s="383"/>
      <c r="GF39" s="383"/>
      <c r="GG39" s="383"/>
      <c r="GH39" s="383"/>
      <c r="GI39" s="383"/>
      <c r="GJ39" s="383"/>
      <c r="GK39" s="383"/>
      <c r="GL39" s="383"/>
      <c r="GM39" s="383"/>
      <c r="GN39" s="383"/>
      <c r="GO39" s="383"/>
      <c r="GP39" s="383"/>
      <c r="GQ39" s="383"/>
      <c r="GR39" s="383"/>
      <c r="GS39" s="383"/>
      <c r="GT39" s="383"/>
      <c r="GU39" s="383"/>
      <c r="GV39" s="383"/>
      <c r="GW39" s="383"/>
      <c r="GX39" s="383"/>
      <c r="GY39" s="383"/>
      <c r="GZ39" s="383"/>
      <c r="HA39" s="383"/>
      <c r="HB39" s="383"/>
      <c r="HC39" s="383"/>
      <c r="HD39" s="383"/>
      <c r="HE39" s="383"/>
      <c r="HF39" s="383"/>
      <c r="HG39" s="383"/>
      <c r="HH39" s="383"/>
    </row>
    <row r="40" spans="1:216" ht="18" customHeight="1">
      <c r="A40" s="395"/>
      <c r="B40" s="314" t="s">
        <v>8028</v>
      </c>
      <c r="C40" s="396"/>
      <c r="D40" s="317" t="s">
        <v>8029</v>
      </c>
      <c r="E40" s="317"/>
      <c r="F40" s="383"/>
      <c r="G40" s="383"/>
      <c r="H40" s="370"/>
      <c r="I40" s="317"/>
      <c r="J40" s="384">
        <v>1</v>
      </c>
      <c r="K40" s="384"/>
      <c r="L40" s="384"/>
      <c r="M40" s="397">
        <v>1</v>
      </c>
      <c r="N40" s="384"/>
      <c r="O40" s="384"/>
      <c r="P40" s="384"/>
      <c r="Q40" s="384"/>
      <c r="R40" s="397">
        <v>1</v>
      </c>
      <c r="S40" s="397">
        <v>1</v>
      </c>
      <c r="T40" s="384"/>
      <c r="U40" s="384"/>
      <c r="V40" s="384"/>
      <c r="W40" s="397">
        <v>1</v>
      </c>
      <c r="X40" s="384"/>
      <c r="Y40" s="384"/>
      <c r="Z40" s="384"/>
      <c r="AA40" s="384"/>
      <c r="AB40" s="384"/>
      <c r="AC40" s="384"/>
      <c r="AD40" s="384"/>
      <c r="AE40" s="384"/>
      <c r="AF40" s="384"/>
      <c r="AG40" s="384"/>
      <c r="AH40" s="384"/>
      <c r="AI40" s="384"/>
      <c r="AJ40" s="384"/>
      <c r="AK40" s="384"/>
      <c r="AL40" s="384"/>
      <c r="AM40" s="384"/>
      <c r="AN40" s="384"/>
      <c r="AO40" s="391"/>
      <c r="AP40" s="315"/>
      <c r="AQ40" s="315"/>
      <c r="AR40" s="315"/>
      <c r="AS40" s="315"/>
      <c r="AT40" s="315"/>
      <c r="AU40" s="315"/>
      <c r="AV40" s="315"/>
      <c r="AW40" s="315"/>
      <c r="AX40" s="315"/>
      <c r="AY40" s="315"/>
      <c r="AZ40" s="315"/>
      <c r="BA40" s="315"/>
      <c r="BB40" s="315"/>
      <c r="BC40" s="315"/>
      <c r="BD40" s="315"/>
      <c r="BE40" s="387"/>
      <c r="BF40" s="387"/>
      <c r="BG40" s="387"/>
      <c r="BH40" s="387"/>
      <c r="BI40" s="387"/>
      <c r="BJ40" s="387"/>
      <c r="BK40" s="387"/>
      <c r="BL40" s="387"/>
      <c r="BM40" s="387"/>
      <c r="BN40" s="387"/>
      <c r="BO40" s="387"/>
      <c r="BP40" s="387"/>
      <c r="BQ40" s="387"/>
      <c r="BR40" s="387"/>
      <c r="BS40" s="387"/>
      <c r="BT40" s="387"/>
      <c r="BU40" s="387"/>
      <c r="BV40" s="387"/>
      <c r="BW40" s="387"/>
      <c r="BX40" s="387"/>
      <c r="BY40" s="387"/>
      <c r="BZ40" s="387"/>
      <c r="CA40" s="387"/>
      <c r="CB40" s="387"/>
      <c r="CC40" s="387"/>
      <c r="CD40" s="387"/>
      <c r="CE40" s="387"/>
      <c r="CF40" s="387"/>
      <c r="CG40" s="387"/>
      <c r="CH40" s="387"/>
      <c r="CI40" s="387"/>
      <c r="CJ40" s="387"/>
      <c r="CK40" s="383"/>
      <c r="CL40" s="383"/>
      <c r="CM40" s="383"/>
      <c r="CN40" s="383"/>
      <c r="CO40" s="383"/>
      <c r="CP40" s="383"/>
      <c r="CQ40" s="383"/>
      <c r="CR40" s="390"/>
      <c r="CS40" s="390"/>
      <c r="CT40" s="383"/>
      <c r="CU40" s="383"/>
      <c r="CV40" s="383"/>
      <c r="CW40" s="383"/>
      <c r="CX40" s="383"/>
      <c r="CY40" s="383"/>
      <c r="CZ40" s="383"/>
      <c r="DA40" s="383"/>
      <c r="DB40" s="383"/>
      <c r="DC40" s="383"/>
      <c r="DD40" s="383"/>
      <c r="DE40" s="383"/>
      <c r="DF40" s="383"/>
      <c r="DG40" s="383"/>
      <c r="DH40" s="383"/>
      <c r="DI40" s="383"/>
      <c r="DJ40" s="383"/>
      <c r="DK40" s="383"/>
      <c r="DL40" s="383"/>
      <c r="DM40" s="383"/>
      <c r="DN40" s="383"/>
      <c r="DO40" s="383"/>
      <c r="DP40" s="383"/>
      <c r="DQ40" s="383"/>
      <c r="DR40" s="383"/>
      <c r="DS40" s="370"/>
      <c r="DT40" s="370"/>
      <c r="DU40" s="384"/>
      <c r="DV40" s="384"/>
      <c r="DW40" s="383"/>
      <c r="DX40" s="315"/>
      <c r="DY40" s="315"/>
      <c r="DZ40" s="383"/>
      <c r="EA40" s="383"/>
      <c r="EB40" s="390"/>
      <c r="EC40" s="390"/>
      <c r="ED40" s="383"/>
      <c r="EE40" s="383"/>
      <c r="EF40" s="383"/>
      <c r="EG40" s="383"/>
      <c r="EH40" s="383"/>
      <c r="EI40" s="383"/>
      <c r="EJ40" s="383"/>
      <c r="EK40" s="383"/>
      <c r="EL40" s="383"/>
      <c r="EM40" s="383"/>
      <c r="EN40" s="370"/>
      <c r="EO40" s="370"/>
      <c r="EP40" s="370"/>
      <c r="EQ40" s="370"/>
      <c r="ER40" s="370"/>
      <c r="ES40" s="370"/>
      <c r="ET40" s="383"/>
      <c r="EU40" s="383"/>
      <c r="EV40" s="383"/>
      <c r="EW40" s="383"/>
      <c r="EX40" s="383"/>
      <c r="EY40" s="383"/>
      <c r="EZ40" s="383"/>
      <c r="FA40" s="383"/>
      <c r="FB40" s="383"/>
      <c r="FC40" s="383"/>
      <c r="FD40" s="383"/>
      <c r="FE40" s="383"/>
      <c r="FF40" s="450">
        <v>1</v>
      </c>
      <c r="FG40" s="383"/>
      <c r="FH40" s="383"/>
      <c r="FI40" s="383"/>
      <c r="FJ40" s="383"/>
      <c r="FK40" s="383"/>
      <c r="FL40" s="383"/>
      <c r="FM40" s="383"/>
      <c r="FN40" s="383"/>
      <c r="FO40" s="383"/>
      <c r="FP40" s="383"/>
      <c r="FQ40" s="383"/>
      <c r="FR40" s="383"/>
      <c r="FS40" s="383"/>
      <c r="FT40" s="383"/>
      <c r="FU40" s="383"/>
      <c r="FV40" s="383"/>
      <c r="FW40" s="383"/>
      <c r="FX40" s="383"/>
      <c r="FY40" s="383"/>
      <c r="FZ40" s="383"/>
      <c r="GA40" s="383"/>
      <c r="GB40" s="383"/>
      <c r="GC40" s="383"/>
      <c r="GD40" s="383"/>
      <c r="GE40" s="383"/>
      <c r="GF40" s="383"/>
      <c r="GG40" s="383"/>
      <c r="GH40" s="383"/>
      <c r="GI40" s="383"/>
      <c r="GJ40" s="383"/>
      <c r="GK40" s="383"/>
      <c r="GL40" s="383"/>
      <c r="GM40" s="383"/>
      <c r="GN40" s="383"/>
      <c r="GO40" s="383"/>
      <c r="GP40" s="383"/>
      <c r="GQ40" s="383"/>
      <c r="GR40" s="383"/>
      <c r="GS40" s="383"/>
      <c r="GT40" s="383"/>
      <c r="GU40" s="383"/>
      <c r="GV40" s="383"/>
      <c r="GW40" s="383"/>
      <c r="GX40" s="383"/>
      <c r="GY40" s="383"/>
      <c r="GZ40" s="383"/>
      <c r="HA40" s="383"/>
      <c r="HB40" s="383"/>
      <c r="HC40" s="383"/>
      <c r="HD40" s="383"/>
      <c r="HE40" s="383"/>
      <c r="HF40" s="383"/>
      <c r="HG40" s="383"/>
      <c r="HH40" s="383"/>
    </row>
    <row r="41" spans="1:216" s="393" customFormat="1" ht="18" customHeight="1">
      <c r="A41" s="395"/>
      <c r="B41" s="314" t="s">
        <v>10116</v>
      </c>
      <c r="C41" s="382"/>
      <c r="D41" s="374"/>
      <c r="E41" s="394"/>
      <c r="F41" s="370"/>
      <c r="G41" s="370"/>
      <c r="H41" s="366"/>
      <c r="I41" s="382"/>
      <c r="J41" s="384">
        <v>1</v>
      </c>
      <c r="K41" s="352"/>
      <c r="L41" s="352"/>
      <c r="M41" s="397">
        <v>1</v>
      </c>
      <c r="N41" s="358"/>
      <c r="O41" s="358"/>
      <c r="P41" s="358"/>
      <c r="Q41" s="358"/>
      <c r="R41" s="397">
        <v>1</v>
      </c>
      <c r="S41" s="397">
        <v>1</v>
      </c>
      <c r="T41" s="384"/>
      <c r="U41" s="384"/>
      <c r="V41" s="384"/>
      <c r="W41" s="397">
        <v>1</v>
      </c>
      <c r="X41" s="397">
        <v>1</v>
      </c>
      <c r="Y41" s="384"/>
      <c r="Z41" s="384"/>
      <c r="AA41" s="384"/>
      <c r="AB41" s="384"/>
      <c r="AC41" s="384"/>
      <c r="AD41" s="384"/>
      <c r="AE41" s="384"/>
      <c r="AF41" s="384"/>
      <c r="AG41" s="384"/>
      <c r="AH41" s="384"/>
      <c r="AI41" s="384"/>
      <c r="AJ41" s="384"/>
      <c r="AK41" s="384"/>
      <c r="AL41" s="384"/>
      <c r="AM41" s="384"/>
      <c r="AN41" s="384"/>
      <c r="AO41" s="391"/>
      <c r="AP41" s="384"/>
      <c r="AQ41" s="384"/>
      <c r="AR41" s="384"/>
      <c r="AS41" s="384"/>
      <c r="AT41" s="384"/>
      <c r="AU41" s="384"/>
      <c r="AV41" s="384"/>
      <c r="AW41" s="384"/>
      <c r="AX41" s="384"/>
      <c r="AY41" s="384"/>
      <c r="AZ41" s="384"/>
      <c r="BA41" s="384"/>
      <c r="BB41" s="384"/>
      <c r="BC41" s="384"/>
      <c r="BD41" s="384"/>
      <c r="BE41" s="387"/>
      <c r="BF41" s="387"/>
      <c r="BG41" s="387"/>
      <c r="BH41" s="387"/>
      <c r="BI41" s="387"/>
      <c r="BJ41" s="387"/>
      <c r="BK41" s="387"/>
      <c r="BL41" s="387"/>
      <c r="BM41" s="387"/>
      <c r="BN41" s="387"/>
      <c r="BO41" s="387"/>
      <c r="BP41" s="387"/>
      <c r="BQ41" s="387"/>
      <c r="BR41" s="387"/>
      <c r="BS41" s="387"/>
      <c r="BT41" s="387"/>
      <c r="BU41" s="387"/>
      <c r="BV41" s="387"/>
      <c r="BW41" s="387"/>
      <c r="BX41" s="387"/>
      <c r="BY41" s="387"/>
      <c r="BZ41" s="387"/>
      <c r="CA41" s="387"/>
      <c r="CB41" s="387"/>
      <c r="CC41" s="387"/>
      <c r="CD41" s="387"/>
      <c r="CE41" s="387"/>
      <c r="CF41" s="387"/>
      <c r="CG41" s="387"/>
      <c r="CH41" s="387"/>
      <c r="CI41" s="387"/>
      <c r="CJ41" s="387"/>
      <c r="CK41" s="370"/>
      <c r="CL41" s="370"/>
      <c r="CM41" s="370"/>
      <c r="CN41" s="370"/>
      <c r="CO41" s="370"/>
      <c r="CP41" s="370"/>
      <c r="CQ41" s="370"/>
      <c r="CR41" s="390"/>
      <c r="CS41" s="390"/>
      <c r="CT41" s="370"/>
      <c r="CU41" s="370"/>
      <c r="CV41" s="370"/>
      <c r="CW41" s="370"/>
      <c r="CX41" s="370"/>
      <c r="CY41" s="370"/>
      <c r="CZ41" s="370"/>
      <c r="DA41" s="370"/>
      <c r="DB41" s="370"/>
      <c r="DC41" s="370"/>
      <c r="DD41" s="370"/>
      <c r="DE41" s="370"/>
      <c r="DF41" s="370"/>
      <c r="DG41" s="370"/>
      <c r="DH41" s="450">
        <v>1</v>
      </c>
      <c r="DI41" s="370"/>
      <c r="DJ41" s="370"/>
      <c r="DK41" s="370"/>
      <c r="DL41" s="383"/>
      <c r="DM41" s="383"/>
      <c r="DN41" s="383"/>
      <c r="DO41" s="370"/>
      <c r="DP41" s="370"/>
      <c r="DQ41" s="370"/>
      <c r="DR41" s="370"/>
      <c r="DS41" s="383"/>
      <c r="DT41" s="383"/>
      <c r="DU41" s="384"/>
      <c r="DV41" s="384"/>
      <c r="DW41" s="370"/>
      <c r="DX41" s="384"/>
      <c r="DY41" s="384"/>
      <c r="DZ41" s="370"/>
      <c r="EA41" s="370"/>
      <c r="EB41" s="390"/>
      <c r="EC41" s="390"/>
      <c r="ED41" s="370"/>
      <c r="EE41" s="370"/>
      <c r="EF41" s="370"/>
      <c r="EG41" s="370"/>
      <c r="EH41" s="370"/>
      <c r="EI41" s="370"/>
      <c r="EJ41" s="370"/>
      <c r="EK41" s="370"/>
      <c r="EL41" s="370"/>
      <c r="EM41" s="370"/>
      <c r="EN41" s="370"/>
      <c r="EO41" s="370"/>
      <c r="EP41" s="370"/>
      <c r="EQ41" s="370"/>
      <c r="ER41" s="370"/>
      <c r="ES41" s="370"/>
      <c r="ET41" s="370"/>
      <c r="EU41" s="370"/>
      <c r="EV41" s="370"/>
      <c r="EW41" s="370"/>
      <c r="EX41" s="370"/>
      <c r="EY41" s="370"/>
      <c r="EZ41" s="370"/>
      <c r="FA41" s="370"/>
      <c r="FB41" s="370"/>
      <c r="FC41" s="370"/>
      <c r="FD41" s="370"/>
      <c r="FE41" s="370"/>
      <c r="FF41" s="370"/>
      <c r="FG41" s="450">
        <v>1</v>
      </c>
      <c r="FH41" s="450">
        <v>1</v>
      </c>
      <c r="FI41" s="450">
        <v>1</v>
      </c>
      <c r="FJ41" s="450">
        <v>1</v>
      </c>
      <c r="FK41" s="370"/>
      <c r="FL41" s="370"/>
      <c r="FM41" s="370"/>
      <c r="FN41" s="370"/>
      <c r="FO41" s="370"/>
      <c r="FP41" s="370"/>
      <c r="FQ41" s="370"/>
      <c r="FR41" s="370"/>
      <c r="FS41" s="370"/>
      <c r="FT41" s="370"/>
      <c r="FU41" s="370"/>
      <c r="FV41" s="370"/>
      <c r="FW41" s="370"/>
      <c r="FX41" s="370"/>
      <c r="FY41" s="370"/>
      <c r="FZ41" s="370"/>
      <c r="GA41" s="370"/>
      <c r="GB41" s="370"/>
      <c r="GC41" s="370"/>
      <c r="GD41" s="370"/>
      <c r="GE41" s="370"/>
      <c r="GF41" s="370"/>
      <c r="GG41" s="370"/>
      <c r="GH41" s="370"/>
      <c r="GI41" s="370"/>
      <c r="GJ41" s="370"/>
      <c r="GK41" s="370"/>
      <c r="GL41" s="370"/>
      <c r="GM41" s="370"/>
      <c r="GN41" s="370"/>
      <c r="GO41" s="370"/>
      <c r="GP41" s="370"/>
      <c r="GQ41" s="370"/>
      <c r="GR41" s="370"/>
      <c r="GS41" s="370"/>
      <c r="GT41" s="370"/>
      <c r="GU41" s="370"/>
      <c r="GV41" s="370"/>
      <c r="GW41" s="370"/>
      <c r="GX41" s="370"/>
      <c r="GY41" s="370"/>
      <c r="GZ41" s="370"/>
      <c r="HA41" s="370"/>
      <c r="HB41" s="370"/>
      <c r="HC41" s="370"/>
      <c r="HD41" s="370"/>
      <c r="HE41" s="370"/>
      <c r="HF41" s="370"/>
      <c r="HG41" s="370"/>
      <c r="HH41" s="370"/>
    </row>
    <row r="42" spans="1:216" s="393" customFormat="1" ht="18" customHeight="1">
      <c r="A42" s="395"/>
      <c r="B42" s="314" t="s">
        <v>354</v>
      </c>
      <c r="C42" s="382"/>
      <c r="D42" s="374"/>
      <c r="E42" s="394"/>
      <c r="F42" s="370"/>
      <c r="G42" s="370"/>
      <c r="H42" s="366"/>
      <c r="I42" s="382" t="s">
        <v>363</v>
      </c>
      <c r="J42" s="384">
        <v>1</v>
      </c>
      <c r="K42" s="352"/>
      <c r="L42" s="352"/>
      <c r="M42" s="397">
        <v>1</v>
      </c>
      <c r="N42" s="358"/>
      <c r="O42" s="358"/>
      <c r="P42" s="358"/>
      <c r="Q42" s="358"/>
      <c r="R42" s="397">
        <v>1</v>
      </c>
      <c r="S42" s="397">
        <v>1</v>
      </c>
      <c r="T42" s="384"/>
      <c r="U42" s="384"/>
      <c r="V42" s="384"/>
      <c r="W42" s="397">
        <v>1</v>
      </c>
      <c r="X42" s="397">
        <v>1</v>
      </c>
      <c r="Y42" s="384"/>
      <c r="Z42" s="384"/>
      <c r="AA42" s="384"/>
      <c r="AB42" s="384"/>
      <c r="AC42" s="384"/>
      <c r="AD42" s="384"/>
      <c r="AE42" s="384"/>
      <c r="AF42" s="384"/>
      <c r="AG42" s="384"/>
      <c r="AH42" s="384"/>
      <c r="AI42" s="384"/>
      <c r="AJ42" s="384"/>
      <c r="AK42" s="384"/>
      <c r="AL42" s="384"/>
      <c r="AM42" s="384"/>
      <c r="AN42" s="384"/>
      <c r="AO42" s="391"/>
      <c r="AP42" s="384"/>
      <c r="AQ42" s="384"/>
      <c r="AR42" s="384"/>
      <c r="AS42" s="384"/>
      <c r="AT42" s="384"/>
      <c r="AU42" s="384"/>
      <c r="AV42" s="384"/>
      <c r="AW42" s="384"/>
      <c r="AX42" s="384"/>
      <c r="AY42" s="384"/>
      <c r="AZ42" s="384"/>
      <c r="BA42" s="384"/>
      <c r="BB42" s="384"/>
      <c r="BC42" s="384"/>
      <c r="BD42" s="384"/>
      <c r="BE42" s="387"/>
      <c r="BF42" s="387"/>
      <c r="BG42" s="387"/>
      <c r="BH42" s="387"/>
      <c r="BI42" s="387"/>
      <c r="BJ42" s="387"/>
      <c r="BK42" s="387"/>
      <c r="BL42" s="387"/>
      <c r="BM42" s="387"/>
      <c r="BN42" s="387"/>
      <c r="BO42" s="387"/>
      <c r="BP42" s="387"/>
      <c r="BQ42" s="387"/>
      <c r="BR42" s="387"/>
      <c r="BS42" s="387"/>
      <c r="BT42" s="387"/>
      <c r="BU42" s="387"/>
      <c r="BV42" s="387"/>
      <c r="BW42" s="387"/>
      <c r="BX42" s="387"/>
      <c r="BY42" s="387"/>
      <c r="BZ42" s="387"/>
      <c r="CA42" s="387"/>
      <c r="CB42" s="387"/>
      <c r="CC42" s="387"/>
      <c r="CD42" s="387"/>
      <c r="CE42" s="387"/>
      <c r="CF42" s="387"/>
      <c r="CG42" s="387"/>
      <c r="CH42" s="387"/>
      <c r="CI42" s="387"/>
      <c r="CJ42" s="387"/>
      <c r="CK42" s="370"/>
      <c r="CL42" s="370"/>
      <c r="CM42" s="370"/>
      <c r="CN42" s="370"/>
      <c r="CO42" s="370"/>
      <c r="CP42" s="370"/>
      <c r="CQ42" s="370"/>
      <c r="CR42" s="390"/>
      <c r="CS42" s="390"/>
      <c r="CT42" s="370"/>
      <c r="CU42" s="370"/>
      <c r="CV42" s="370"/>
      <c r="CW42" s="370"/>
      <c r="CX42" s="370"/>
      <c r="CY42" s="370"/>
      <c r="CZ42" s="370"/>
      <c r="DA42" s="370"/>
      <c r="DB42" s="370"/>
      <c r="DC42" s="370"/>
      <c r="DD42" s="370"/>
      <c r="DE42" s="370"/>
      <c r="DF42" s="370"/>
      <c r="DG42" s="370"/>
      <c r="DH42" s="450">
        <v>1</v>
      </c>
      <c r="DI42" s="370"/>
      <c r="DJ42" s="370"/>
      <c r="DK42" s="370"/>
      <c r="DL42" s="383"/>
      <c r="DM42" s="383"/>
      <c r="DN42" s="383"/>
      <c r="DO42" s="370"/>
      <c r="DP42" s="370"/>
      <c r="DQ42" s="370"/>
      <c r="DR42" s="370"/>
      <c r="DS42" s="383"/>
      <c r="DT42" s="383"/>
      <c r="DU42" s="384"/>
      <c r="DV42" s="384"/>
      <c r="DW42" s="370"/>
      <c r="DX42" s="384"/>
      <c r="DY42" s="384"/>
      <c r="DZ42" s="370"/>
      <c r="EA42" s="370"/>
      <c r="EB42" s="390"/>
      <c r="EC42" s="390"/>
      <c r="ED42" s="370"/>
      <c r="EE42" s="370"/>
      <c r="EF42" s="370"/>
      <c r="EG42" s="370"/>
      <c r="EH42" s="370"/>
      <c r="EI42" s="370"/>
      <c r="EJ42" s="370"/>
      <c r="EK42" s="370"/>
      <c r="EL42" s="370"/>
      <c r="EM42" s="370"/>
      <c r="EN42" s="370"/>
      <c r="EO42" s="370"/>
      <c r="EP42" s="370"/>
      <c r="EQ42" s="370"/>
      <c r="ER42" s="370"/>
      <c r="ES42" s="370"/>
      <c r="ET42" s="370"/>
      <c r="EU42" s="370"/>
      <c r="EV42" s="370"/>
      <c r="EW42" s="370"/>
      <c r="EX42" s="370"/>
      <c r="EY42" s="370"/>
      <c r="EZ42" s="370"/>
      <c r="FA42" s="370"/>
      <c r="FB42" s="370"/>
      <c r="FC42" s="370"/>
      <c r="FD42" s="370"/>
      <c r="FE42" s="370"/>
      <c r="FF42" s="450">
        <v>1</v>
      </c>
      <c r="FG42" s="370"/>
      <c r="FH42" s="370"/>
      <c r="FI42" s="654"/>
      <c r="FJ42" s="370"/>
      <c r="FK42" s="370"/>
      <c r="FL42" s="370"/>
      <c r="FM42" s="370"/>
      <c r="FN42" s="370"/>
      <c r="FO42" s="370"/>
      <c r="FP42" s="370"/>
      <c r="FQ42" s="370"/>
      <c r="FR42" s="370"/>
      <c r="FS42" s="370"/>
      <c r="FT42" s="370"/>
      <c r="FU42" s="370"/>
      <c r="FV42" s="370"/>
      <c r="FW42" s="370"/>
      <c r="FX42" s="370"/>
      <c r="FY42" s="370"/>
      <c r="FZ42" s="370"/>
      <c r="GA42" s="370"/>
      <c r="GB42" s="370"/>
      <c r="GC42" s="370"/>
      <c r="GD42" s="370"/>
      <c r="GE42" s="370"/>
      <c r="GF42" s="370"/>
      <c r="GG42" s="370"/>
      <c r="GH42" s="370"/>
      <c r="GI42" s="370"/>
      <c r="GJ42" s="370"/>
      <c r="GK42" s="370"/>
      <c r="GL42" s="370"/>
      <c r="GM42" s="370"/>
      <c r="GN42" s="370"/>
      <c r="GO42" s="370"/>
      <c r="GP42" s="370"/>
      <c r="GQ42" s="370"/>
      <c r="GR42" s="370"/>
      <c r="GS42" s="370"/>
      <c r="GT42" s="370"/>
      <c r="GU42" s="370"/>
      <c r="GV42" s="370"/>
      <c r="GW42" s="370"/>
      <c r="GX42" s="370"/>
      <c r="GY42" s="370"/>
      <c r="GZ42" s="370"/>
      <c r="HA42" s="370"/>
      <c r="HB42" s="370"/>
      <c r="HC42" s="370"/>
      <c r="HD42" s="370"/>
      <c r="HE42" s="370"/>
      <c r="HF42" s="370"/>
      <c r="HG42" s="370"/>
      <c r="HH42" s="370"/>
    </row>
    <row r="43" spans="1:216" s="393" customFormat="1" ht="18" customHeight="1">
      <c r="A43" s="514"/>
      <c r="B43" s="314" t="s">
        <v>11391</v>
      </c>
      <c r="C43" s="382"/>
      <c r="D43" s="374"/>
      <c r="E43" s="394"/>
      <c r="F43" s="383"/>
      <c r="G43" s="370"/>
      <c r="H43" s="366"/>
      <c r="I43" s="382"/>
      <c r="J43" s="384">
        <v>1</v>
      </c>
      <c r="K43" s="352"/>
      <c r="L43" s="352"/>
      <c r="M43" s="397">
        <v>1</v>
      </c>
      <c r="N43" s="358"/>
      <c r="O43" s="358"/>
      <c r="P43" s="358"/>
      <c r="Q43" s="358"/>
      <c r="R43" s="397">
        <v>1</v>
      </c>
      <c r="S43" s="397">
        <v>1</v>
      </c>
      <c r="T43" s="384"/>
      <c r="U43" s="384"/>
      <c r="V43" s="384"/>
      <c r="W43" s="397">
        <v>1</v>
      </c>
      <c r="X43" s="397">
        <v>1</v>
      </c>
      <c r="Y43" s="384"/>
      <c r="Z43" s="384"/>
      <c r="AA43" s="384"/>
      <c r="AB43" s="384"/>
      <c r="AC43" s="384"/>
      <c r="AD43" s="384"/>
      <c r="AE43" s="384"/>
      <c r="AF43" s="384"/>
      <c r="AG43" s="384"/>
      <c r="AH43" s="384"/>
      <c r="AI43" s="384"/>
      <c r="AJ43" s="384"/>
      <c r="AK43" s="384"/>
      <c r="AL43" s="384"/>
      <c r="AM43" s="384"/>
      <c r="AN43" s="384"/>
      <c r="AO43" s="391"/>
      <c r="AP43" s="384"/>
      <c r="AQ43" s="384"/>
      <c r="AR43" s="384"/>
      <c r="AS43" s="384"/>
      <c r="AT43" s="384"/>
      <c r="AU43" s="384"/>
      <c r="AV43" s="384"/>
      <c r="AW43" s="384"/>
      <c r="AX43" s="384"/>
      <c r="AY43" s="384"/>
      <c r="AZ43" s="384"/>
      <c r="BA43" s="384"/>
      <c r="BB43" s="384"/>
      <c r="BC43" s="384"/>
      <c r="BD43" s="384"/>
      <c r="BE43" s="387"/>
      <c r="BF43" s="387"/>
      <c r="BG43" s="387"/>
      <c r="BH43" s="387"/>
      <c r="BI43" s="387"/>
      <c r="BJ43" s="387"/>
      <c r="BK43" s="387"/>
      <c r="BL43" s="387"/>
      <c r="BM43" s="387"/>
      <c r="BN43" s="387"/>
      <c r="BO43" s="387"/>
      <c r="BP43" s="387"/>
      <c r="BQ43" s="387"/>
      <c r="BR43" s="387"/>
      <c r="BS43" s="387"/>
      <c r="BT43" s="387"/>
      <c r="BU43" s="387"/>
      <c r="BV43" s="387"/>
      <c r="BW43" s="387"/>
      <c r="BX43" s="387"/>
      <c r="BY43" s="387"/>
      <c r="BZ43" s="387"/>
      <c r="CA43" s="387"/>
      <c r="CB43" s="387"/>
      <c r="CC43" s="387"/>
      <c r="CD43" s="387"/>
      <c r="CE43" s="387"/>
      <c r="CF43" s="387"/>
      <c r="CG43" s="387"/>
      <c r="CH43" s="387"/>
      <c r="CI43" s="387"/>
      <c r="CJ43" s="387"/>
      <c r="CK43" s="370"/>
      <c r="CL43" s="370"/>
      <c r="CM43" s="370"/>
      <c r="CN43" s="370"/>
      <c r="CO43" s="370"/>
      <c r="CP43" s="370"/>
      <c r="CQ43" s="370"/>
      <c r="CR43" s="390"/>
      <c r="CS43" s="390"/>
      <c r="CT43" s="370"/>
      <c r="CU43" s="370"/>
      <c r="CV43" s="370"/>
      <c r="CW43" s="370"/>
      <c r="CX43" s="370"/>
      <c r="CY43" s="370"/>
      <c r="CZ43" s="370"/>
      <c r="DA43" s="370"/>
      <c r="DB43" s="370"/>
      <c r="DC43" s="370"/>
      <c r="DD43" s="370"/>
      <c r="DE43" s="370"/>
      <c r="DF43" s="370"/>
      <c r="DG43" s="370"/>
      <c r="DH43" s="370"/>
      <c r="DI43" s="450">
        <v>1</v>
      </c>
      <c r="DK43" s="370"/>
      <c r="DL43" s="383"/>
      <c r="DM43" s="383"/>
      <c r="DN43" s="383"/>
      <c r="DO43" s="370"/>
      <c r="DP43" s="370"/>
      <c r="DQ43" s="370"/>
      <c r="DR43" s="370"/>
      <c r="DS43" s="383"/>
      <c r="DT43" s="383"/>
      <c r="DU43" s="384"/>
      <c r="DV43" s="384"/>
      <c r="DW43" s="370"/>
      <c r="DX43" s="384"/>
      <c r="DY43" s="384"/>
      <c r="DZ43" s="370"/>
      <c r="EA43" s="370"/>
      <c r="EB43" s="390"/>
      <c r="EC43" s="390"/>
      <c r="ED43" s="370"/>
      <c r="EE43" s="370"/>
      <c r="EF43" s="370"/>
      <c r="EG43" s="370"/>
      <c r="EH43" s="370"/>
      <c r="EI43" s="370"/>
      <c r="EJ43" s="370"/>
      <c r="EK43" s="370"/>
      <c r="EL43" s="370"/>
      <c r="EM43" s="370"/>
      <c r="EN43" s="370"/>
      <c r="EO43" s="370"/>
      <c r="EP43" s="370"/>
      <c r="EQ43" s="370"/>
      <c r="ER43" s="370"/>
      <c r="ES43" s="370"/>
      <c r="ET43" s="370"/>
      <c r="EU43" s="370"/>
      <c r="EV43" s="370"/>
      <c r="EW43" s="370"/>
      <c r="EX43" s="370"/>
      <c r="EY43" s="370"/>
      <c r="EZ43" s="370"/>
      <c r="FA43" s="370"/>
      <c r="FB43" s="370"/>
      <c r="FC43" s="370"/>
      <c r="FD43" s="370"/>
      <c r="FE43" s="370"/>
      <c r="FF43" s="370"/>
      <c r="FG43" s="450">
        <v>1</v>
      </c>
      <c r="FH43" s="450">
        <v>1</v>
      </c>
      <c r="FI43" s="450">
        <v>1</v>
      </c>
      <c r="FJ43" s="450">
        <v>1</v>
      </c>
      <c r="FK43" s="370"/>
      <c r="FL43" s="370"/>
      <c r="FM43" s="370"/>
      <c r="FN43" s="370"/>
      <c r="FO43" s="370"/>
      <c r="FP43" s="370"/>
      <c r="FQ43" s="370"/>
      <c r="FR43" s="370"/>
      <c r="FS43" s="370"/>
      <c r="FT43" s="370"/>
      <c r="FU43" s="370"/>
      <c r="FV43" s="370"/>
      <c r="FW43" s="370"/>
      <c r="FX43" s="370"/>
      <c r="FY43" s="370"/>
      <c r="FZ43" s="370"/>
      <c r="GA43" s="370"/>
      <c r="GB43" s="370"/>
      <c r="GC43" s="370"/>
      <c r="GD43" s="370"/>
      <c r="GE43" s="370"/>
      <c r="GF43" s="370"/>
      <c r="GG43" s="370"/>
      <c r="GH43" s="370"/>
      <c r="GI43" s="370"/>
      <c r="GJ43" s="370"/>
      <c r="GK43" s="370"/>
      <c r="GL43" s="370"/>
      <c r="GM43" s="370"/>
      <c r="GN43" s="370"/>
      <c r="GO43" s="370"/>
      <c r="GP43" s="370"/>
      <c r="GQ43" s="370"/>
      <c r="GR43" s="370"/>
      <c r="GS43" s="370"/>
      <c r="GT43" s="370"/>
      <c r="GU43" s="370"/>
      <c r="GV43" s="370"/>
      <c r="GW43" s="370"/>
      <c r="GX43" s="370"/>
      <c r="GY43" s="370"/>
      <c r="GZ43" s="370"/>
      <c r="HA43" s="370"/>
      <c r="HB43" s="370"/>
      <c r="HC43" s="370"/>
      <c r="HD43" s="370"/>
      <c r="HE43" s="370"/>
      <c r="HF43" s="370"/>
      <c r="HG43" s="370"/>
      <c r="HH43" s="370"/>
    </row>
    <row r="44" spans="1:216" s="393" customFormat="1" ht="18" customHeight="1">
      <c r="A44" s="514"/>
      <c r="B44" s="314" t="s">
        <v>11392</v>
      </c>
      <c r="C44" s="382"/>
      <c r="D44" s="374"/>
      <c r="E44" s="394"/>
      <c r="F44" s="383"/>
      <c r="G44" s="370"/>
      <c r="H44" s="366"/>
      <c r="I44" s="382" t="s">
        <v>363</v>
      </c>
      <c r="J44" s="384">
        <v>1</v>
      </c>
      <c r="K44" s="352"/>
      <c r="L44" s="352"/>
      <c r="M44" s="397">
        <v>1</v>
      </c>
      <c r="N44" s="358"/>
      <c r="O44" s="358"/>
      <c r="P44" s="358"/>
      <c r="Q44" s="358"/>
      <c r="R44" s="397">
        <v>1</v>
      </c>
      <c r="S44" s="397">
        <v>1</v>
      </c>
      <c r="T44" s="384"/>
      <c r="U44" s="384"/>
      <c r="V44" s="384"/>
      <c r="W44" s="397">
        <v>1</v>
      </c>
      <c r="X44" s="397">
        <v>1</v>
      </c>
      <c r="Y44" s="384"/>
      <c r="Z44" s="384"/>
      <c r="AA44" s="384"/>
      <c r="AB44" s="384"/>
      <c r="AC44" s="384"/>
      <c r="AD44" s="384"/>
      <c r="AE44" s="384"/>
      <c r="AF44" s="384"/>
      <c r="AG44" s="384"/>
      <c r="AH44" s="384"/>
      <c r="AI44" s="384"/>
      <c r="AJ44" s="384"/>
      <c r="AK44" s="384"/>
      <c r="AL44" s="384"/>
      <c r="AM44" s="384"/>
      <c r="AN44" s="384"/>
      <c r="AO44" s="391"/>
      <c r="AP44" s="384"/>
      <c r="AQ44" s="384"/>
      <c r="AR44" s="384"/>
      <c r="AS44" s="384"/>
      <c r="AT44" s="384"/>
      <c r="AU44" s="384"/>
      <c r="AV44" s="384"/>
      <c r="AW44" s="384"/>
      <c r="AX44" s="384"/>
      <c r="AY44" s="384"/>
      <c r="AZ44" s="384"/>
      <c r="BA44" s="384"/>
      <c r="BB44" s="384"/>
      <c r="BC44" s="384"/>
      <c r="BD44" s="384"/>
      <c r="BE44" s="387"/>
      <c r="BF44" s="387"/>
      <c r="BG44" s="387"/>
      <c r="BH44" s="387"/>
      <c r="BI44" s="387"/>
      <c r="BJ44" s="387"/>
      <c r="BK44" s="387"/>
      <c r="BL44" s="387"/>
      <c r="BM44" s="387"/>
      <c r="BN44" s="387"/>
      <c r="BO44" s="387"/>
      <c r="BP44" s="387"/>
      <c r="BQ44" s="387"/>
      <c r="BR44" s="387"/>
      <c r="BS44" s="387"/>
      <c r="BT44" s="387"/>
      <c r="BU44" s="387"/>
      <c r="BV44" s="387"/>
      <c r="BW44" s="387"/>
      <c r="BX44" s="387"/>
      <c r="BY44" s="387"/>
      <c r="BZ44" s="387"/>
      <c r="CA44" s="387"/>
      <c r="CB44" s="387"/>
      <c r="CC44" s="387"/>
      <c r="CD44" s="387"/>
      <c r="CE44" s="387"/>
      <c r="CF44" s="387"/>
      <c r="CG44" s="387"/>
      <c r="CH44" s="387"/>
      <c r="CI44" s="387"/>
      <c r="CJ44" s="387"/>
      <c r="CK44" s="370"/>
      <c r="CL44" s="370"/>
      <c r="CM44" s="370"/>
      <c r="CN44" s="370"/>
      <c r="CO44" s="370"/>
      <c r="CP44" s="370"/>
      <c r="CQ44" s="370"/>
      <c r="CR44" s="390"/>
      <c r="CS44" s="390"/>
      <c r="CT44" s="370"/>
      <c r="CU44" s="370"/>
      <c r="CV44" s="370"/>
      <c r="CW44" s="370"/>
      <c r="CX44" s="370"/>
      <c r="CY44" s="370"/>
      <c r="CZ44" s="370"/>
      <c r="DA44" s="370"/>
      <c r="DB44" s="370"/>
      <c r="DC44" s="370"/>
      <c r="DD44" s="370"/>
      <c r="DE44" s="370"/>
      <c r="DF44" s="370"/>
      <c r="DG44" s="370"/>
      <c r="DH44" s="370"/>
      <c r="DI44" s="450">
        <v>1</v>
      </c>
      <c r="DK44" s="370"/>
      <c r="DL44" s="383"/>
      <c r="DM44" s="383"/>
      <c r="DN44" s="383"/>
      <c r="DO44" s="370"/>
      <c r="DP44" s="370"/>
      <c r="DQ44" s="370"/>
      <c r="DR44" s="370"/>
      <c r="DS44" s="383"/>
      <c r="DT44" s="383"/>
      <c r="DU44" s="384"/>
      <c r="DV44" s="384"/>
      <c r="DW44" s="370"/>
      <c r="DX44" s="384"/>
      <c r="DY44" s="384"/>
      <c r="DZ44" s="370"/>
      <c r="EA44" s="370"/>
      <c r="EB44" s="390"/>
      <c r="EC44" s="390"/>
      <c r="ED44" s="370"/>
      <c r="EE44" s="370"/>
      <c r="EF44" s="370"/>
      <c r="EG44" s="370"/>
      <c r="EH44" s="370"/>
      <c r="EI44" s="370"/>
      <c r="EJ44" s="370"/>
      <c r="EK44" s="370"/>
      <c r="EL44" s="370"/>
      <c r="EM44" s="370"/>
      <c r="EN44" s="370"/>
      <c r="EO44" s="370"/>
      <c r="EP44" s="370"/>
      <c r="EQ44" s="370"/>
      <c r="ER44" s="370"/>
      <c r="ES44" s="370"/>
      <c r="ET44" s="370"/>
      <c r="EU44" s="370"/>
      <c r="EV44" s="370"/>
      <c r="EW44" s="370"/>
      <c r="EX44" s="370"/>
      <c r="EY44" s="370"/>
      <c r="EZ44" s="370"/>
      <c r="FA44" s="370"/>
      <c r="FB44" s="370"/>
      <c r="FC44" s="370"/>
      <c r="FD44" s="370"/>
      <c r="FE44" s="370"/>
      <c r="FF44" s="450">
        <v>1</v>
      </c>
      <c r="FG44" s="370"/>
      <c r="FH44" s="370"/>
      <c r="FI44" s="654"/>
      <c r="FJ44" s="370"/>
      <c r="FK44" s="370"/>
      <c r="FL44" s="370"/>
      <c r="FM44" s="370"/>
      <c r="FN44" s="370"/>
      <c r="FO44" s="370"/>
      <c r="FP44" s="370"/>
      <c r="FQ44" s="370"/>
      <c r="FR44" s="370"/>
      <c r="FS44" s="370"/>
      <c r="FT44" s="370"/>
      <c r="FU44" s="370"/>
      <c r="FV44" s="370"/>
      <c r="FW44" s="370"/>
      <c r="FX44" s="370"/>
      <c r="FY44" s="370"/>
      <c r="FZ44" s="370"/>
      <c r="GA44" s="370"/>
      <c r="GB44" s="370"/>
      <c r="GC44" s="370"/>
      <c r="GD44" s="370"/>
      <c r="GE44" s="370"/>
      <c r="GF44" s="370"/>
      <c r="GG44" s="370"/>
      <c r="GH44" s="370"/>
      <c r="GI44" s="370"/>
      <c r="GJ44" s="370"/>
      <c r="GK44" s="370"/>
      <c r="GL44" s="370"/>
      <c r="GM44" s="370"/>
      <c r="GN44" s="370"/>
      <c r="GO44" s="370"/>
      <c r="GP44" s="370"/>
      <c r="GQ44" s="370"/>
      <c r="GR44" s="370"/>
      <c r="GS44" s="370"/>
      <c r="GT44" s="370"/>
      <c r="GU44" s="370"/>
      <c r="GV44" s="370"/>
      <c r="GW44" s="370"/>
      <c r="GX44" s="370"/>
      <c r="GY44" s="370"/>
      <c r="GZ44" s="370"/>
      <c r="HA44" s="370"/>
      <c r="HB44" s="370"/>
      <c r="HC44" s="370"/>
      <c r="HD44" s="370"/>
      <c r="HE44" s="370"/>
      <c r="HF44" s="370"/>
      <c r="HG44" s="370"/>
      <c r="HH44" s="370"/>
    </row>
    <row r="45" spans="1:216" s="393" customFormat="1" ht="18" customHeight="1">
      <c r="A45" s="395"/>
      <c r="B45" s="314" t="s">
        <v>11736</v>
      </c>
      <c r="C45" s="382"/>
      <c r="D45" s="374"/>
      <c r="E45" s="394"/>
      <c r="F45" s="370"/>
      <c r="G45" s="370"/>
      <c r="H45" s="366"/>
      <c r="I45" s="382"/>
      <c r="J45" s="650">
        <v>1</v>
      </c>
      <c r="K45" s="649"/>
      <c r="L45" s="649"/>
      <c r="M45" s="397">
        <v>1</v>
      </c>
      <c r="N45" s="358"/>
      <c r="O45" s="358"/>
      <c r="P45" s="358"/>
      <c r="Q45" s="358"/>
      <c r="R45" s="397">
        <v>1</v>
      </c>
      <c r="S45" s="397">
        <v>1</v>
      </c>
      <c r="T45" s="650"/>
      <c r="U45" s="650"/>
      <c r="V45" s="650"/>
      <c r="W45" s="397">
        <v>1</v>
      </c>
      <c r="X45" s="397">
        <v>1</v>
      </c>
      <c r="Y45" s="650"/>
      <c r="Z45" s="650"/>
      <c r="AA45" s="650"/>
      <c r="AB45" s="650"/>
      <c r="AC45" s="650"/>
      <c r="AD45" s="650"/>
      <c r="AE45" s="650"/>
      <c r="AF45" s="650"/>
      <c r="AG45" s="650"/>
      <c r="AH45" s="650"/>
      <c r="AI45" s="650"/>
      <c r="AJ45" s="650"/>
      <c r="AK45" s="650"/>
      <c r="AL45" s="650"/>
      <c r="AM45" s="650"/>
      <c r="AN45" s="650"/>
      <c r="AO45" s="391"/>
      <c r="AP45" s="650"/>
      <c r="AQ45" s="650"/>
      <c r="AR45" s="650"/>
      <c r="AS45" s="650"/>
      <c r="AT45" s="650"/>
      <c r="AU45" s="650"/>
      <c r="AV45" s="650"/>
      <c r="AW45" s="650"/>
      <c r="AX45" s="650"/>
      <c r="AY45" s="650"/>
      <c r="AZ45" s="650"/>
      <c r="BA45" s="650"/>
      <c r="BB45" s="650"/>
      <c r="BC45" s="650"/>
      <c r="BD45" s="650"/>
      <c r="BE45" s="387"/>
      <c r="BF45" s="387"/>
      <c r="BG45" s="387"/>
      <c r="BH45" s="387"/>
      <c r="BI45" s="387"/>
      <c r="BJ45" s="387"/>
      <c r="BK45" s="387"/>
      <c r="BL45" s="387"/>
      <c r="BM45" s="387"/>
      <c r="BN45" s="387"/>
      <c r="BO45" s="387"/>
      <c r="BP45" s="387"/>
      <c r="BQ45" s="387"/>
      <c r="BR45" s="387"/>
      <c r="BS45" s="387"/>
      <c r="BT45" s="387"/>
      <c r="BU45" s="387"/>
      <c r="BV45" s="387"/>
      <c r="BW45" s="387"/>
      <c r="BX45" s="387"/>
      <c r="BY45" s="387"/>
      <c r="BZ45" s="387"/>
      <c r="CA45" s="387"/>
      <c r="CB45" s="387"/>
      <c r="CC45" s="387"/>
      <c r="CD45" s="387"/>
      <c r="CE45" s="387"/>
      <c r="CF45" s="387"/>
      <c r="CG45" s="387"/>
      <c r="CH45" s="387"/>
      <c r="CI45" s="387"/>
      <c r="CJ45" s="387"/>
      <c r="CK45" s="370"/>
      <c r="CL45" s="370"/>
      <c r="CM45" s="370"/>
      <c r="CN45" s="370"/>
      <c r="CO45" s="370"/>
      <c r="CP45" s="370"/>
      <c r="CQ45" s="370"/>
      <c r="CR45" s="390"/>
      <c r="CS45" s="390"/>
      <c r="CT45" s="370"/>
      <c r="CU45" s="370"/>
      <c r="CV45" s="370"/>
      <c r="CW45" s="370"/>
      <c r="CX45" s="370"/>
      <c r="CY45" s="370"/>
      <c r="CZ45" s="370"/>
      <c r="DA45" s="370"/>
      <c r="DB45" s="370"/>
      <c r="DC45" s="370"/>
      <c r="DD45" s="370"/>
      <c r="DE45" s="370"/>
      <c r="DF45" s="370"/>
      <c r="DG45" s="370"/>
      <c r="DI45" s="370"/>
      <c r="DJ45" s="450">
        <v>1</v>
      </c>
      <c r="DK45" s="450">
        <v>1</v>
      </c>
      <c r="DL45" s="383"/>
      <c r="DM45" s="383"/>
      <c r="DN45" s="383"/>
      <c r="DO45" s="370"/>
      <c r="DP45" s="370"/>
      <c r="DQ45" s="370"/>
      <c r="DR45" s="370"/>
      <c r="DS45" s="383"/>
      <c r="DT45" s="383"/>
      <c r="DU45" s="650"/>
      <c r="DV45" s="650"/>
      <c r="DW45" s="370"/>
      <c r="DX45" s="650"/>
      <c r="DY45" s="650"/>
      <c r="DZ45" s="370"/>
      <c r="EA45" s="370"/>
      <c r="EB45" s="390"/>
      <c r="EC45" s="390"/>
      <c r="ED45" s="370"/>
      <c r="EE45" s="370"/>
      <c r="EF45" s="370"/>
      <c r="EG45" s="370"/>
      <c r="EH45" s="370"/>
      <c r="EI45" s="370"/>
      <c r="EJ45" s="370"/>
      <c r="EK45" s="370"/>
      <c r="EL45" s="370"/>
      <c r="EM45" s="370"/>
      <c r="EN45" s="370"/>
      <c r="EO45" s="370"/>
      <c r="EP45" s="370"/>
      <c r="EQ45" s="370"/>
      <c r="ER45" s="370"/>
      <c r="ES45" s="370"/>
      <c r="ET45" s="370"/>
      <c r="EU45" s="370"/>
      <c r="EV45" s="370"/>
      <c r="EW45" s="370"/>
      <c r="EX45" s="370"/>
      <c r="EY45" s="370"/>
      <c r="EZ45" s="370"/>
      <c r="FA45" s="370"/>
      <c r="FB45" s="370"/>
      <c r="FC45" s="370"/>
      <c r="FD45" s="370"/>
      <c r="FE45" s="370"/>
      <c r="FG45" s="450">
        <v>1</v>
      </c>
      <c r="FH45" s="450">
        <v>1</v>
      </c>
      <c r="FI45" s="450">
        <v>1</v>
      </c>
      <c r="FJ45" s="450">
        <v>1</v>
      </c>
      <c r="FK45" s="370"/>
      <c r="FL45" s="370"/>
      <c r="FM45" s="370"/>
      <c r="FN45" s="370"/>
      <c r="FO45" s="370"/>
      <c r="FP45" s="370"/>
      <c r="FQ45" s="370"/>
      <c r="FR45" s="370"/>
      <c r="FS45" s="370"/>
      <c r="FT45" s="370"/>
      <c r="FU45" s="370"/>
      <c r="FV45" s="370"/>
      <c r="FW45" s="370"/>
      <c r="FX45" s="370"/>
      <c r="FY45" s="370"/>
      <c r="FZ45" s="370"/>
      <c r="GA45" s="370"/>
      <c r="GB45" s="370"/>
      <c r="GC45" s="370"/>
      <c r="GD45" s="370"/>
      <c r="GE45" s="370"/>
      <c r="GF45" s="370"/>
      <c r="GG45" s="370"/>
      <c r="GH45" s="370"/>
      <c r="GI45" s="370"/>
      <c r="GJ45" s="370"/>
      <c r="GK45" s="370"/>
      <c r="GL45" s="370"/>
      <c r="GM45" s="370"/>
      <c r="GN45" s="370"/>
      <c r="GO45" s="370"/>
      <c r="GP45" s="370"/>
      <c r="GQ45" s="370"/>
      <c r="GR45" s="370"/>
      <c r="GS45" s="370"/>
      <c r="GT45" s="370"/>
      <c r="GU45" s="370"/>
      <c r="GV45" s="370"/>
      <c r="GW45" s="370"/>
      <c r="GX45" s="370"/>
      <c r="GY45" s="370"/>
      <c r="GZ45" s="370"/>
      <c r="HA45" s="370"/>
      <c r="HB45" s="370"/>
      <c r="HC45" s="370"/>
      <c r="HD45" s="370"/>
      <c r="HE45" s="370"/>
      <c r="HF45" s="370"/>
      <c r="HG45" s="370"/>
      <c r="HH45" s="370"/>
    </row>
    <row r="46" spans="1:216" s="393" customFormat="1" ht="18" customHeight="1">
      <c r="A46" s="395"/>
      <c r="B46" s="314" t="s">
        <v>11737</v>
      </c>
      <c r="C46" s="382"/>
      <c r="D46" s="374"/>
      <c r="E46" s="394"/>
      <c r="F46" s="370"/>
      <c r="G46" s="370"/>
      <c r="H46" s="366"/>
      <c r="I46" s="382" t="s">
        <v>363</v>
      </c>
      <c r="J46" s="650">
        <v>1</v>
      </c>
      <c r="K46" s="649"/>
      <c r="L46" s="649"/>
      <c r="M46" s="397">
        <v>1</v>
      </c>
      <c r="N46" s="358"/>
      <c r="O46" s="358"/>
      <c r="P46" s="358"/>
      <c r="Q46" s="358"/>
      <c r="R46" s="397">
        <v>1</v>
      </c>
      <c r="S46" s="397">
        <v>1</v>
      </c>
      <c r="T46" s="650"/>
      <c r="U46" s="650"/>
      <c r="V46" s="650"/>
      <c r="W46" s="397">
        <v>1</v>
      </c>
      <c r="X46" s="397">
        <v>1</v>
      </c>
      <c r="Y46" s="650"/>
      <c r="Z46" s="650"/>
      <c r="AA46" s="650"/>
      <c r="AB46" s="650"/>
      <c r="AC46" s="650"/>
      <c r="AD46" s="650"/>
      <c r="AE46" s="650"/>
      <c r="AF46" s="650"/>
      <c r="AG46" s="650"/>
      <c r="AH46" s="650"/>
      <c r="AI46" s="650"/>
      <c r="AJ46" s="650"/>
      <c r="AK46" s="650"/>
      <c r="AL46" s="650"/>
      <c r="AM46" s="650"/>
      <c r="AN46" s="650"/>
      <c r="AO46" s="391"/>
      <c r="AP46" s="650"/>
      <c r="AQ46" s="650"/>
      <c r="AR46" s="650"/>
      <c r="AS46" s="650"/>
      <c r="AT46" s="650"/>
      <c r="AU46" s="650"/>
      <c r="AV46" s="650"/>
      <c r="AW46" s="650"/>
      <c r="AX46" s="650"/>
      <c r="AY46" s="650"/>
      <c r="AZ46" s="650"/>
      <c r="BA46" s="650"/>
      <c r="BB46" s="650"/>
      <c r="BC46" s="650"/>
      <c r="BD46" s="650"/>
      <c r="BE46" s="387"/>
      <c r="BF46" s="387"/>
      <c r="BG46" s="387"/>
      <c r="BH46" s="387"/>
      <c r="BI46" s="387"/>
      <c r="BJ46" s="387"/>
      <c r="BK46" s="387"/>
      <c r="BL46" s="387"/>
      <c r="BM46" s="387"/>
      <c r="BN46" s="387"/>
      <c r="BO46" s="387"/>
      <c r="BP46" s="387"/>
      <c r="BQ46" s="387"/>
      <c r="BR46" s="387"/>
      <c r="BS46" s="387"/>
      <c r="BT46" s="387"/>
      <c r="BU46" s="387"/>
      <c r="BV46" s="387"/>
      <c r="BW46" s="387"/>
      <c r="BX46" s="387"/>
      <c r="BY46" s="387"/>
      <c r="BZ46" s="387"/>
      <c r="CA46" s="387"/>
      <c r="CB46" s="387"/>
      <c r="CC46" s="387"/>
      <c r="CD46" s="387"/>
      <c r="CE46" s="387"/>
      <c r="CF46" s="387"/>
      <c r="CG46" s="387"/>
      <c r="CH46" s="387"/>
      <c r="CI46" s="387"/>
      <c r="CJ46" s="387"/>
      <c r="CK46" s="370"/>
      <c r="CL46" s="370"/>
      <c r="CM46" s="370"/>
      <c r="CN46" s="370"/>
      <c r="CO46" s="370"/>
      <c r="CP46" s="370"/>
      <c r="CQ46" s="370"/>
      <c r="CR46" s="390"/>
      <c r="CS46" s="390"/>
      <c r="CT46" s="370"/>
      <c r="CU46" s="370"/>
      <c r="CV46" s="370"/>
      <c r="CW46" s="370"/>
      <c r="CX46" s="370"/>
      <c r="CY46" s="370"/>
      <c r="CZ46" s="370"/>
      <c r="DA46" s="370"/>
      <c r="DB46" s="370"/>
      <c r="DC46" s="370"/>
      <c r="DD46" s="370"/>
      <c r="DE46" s="370"/>
      <c r="DF46" s="370"/>
      <c r="DG46" s="370"/>
      <c r="DI46" s="370"/>
      <c r="DJ46" s="450">
        <v>1</v>
      </c>
      <c r="DK46" s="450">
        <v>1</v>
      </c>
      <c r="DL46" s="383"/>
      <c r="DM46" s="383"/>
      <c r="DN46" s="383"/>
      <c r="DO46" s="370"/>
      <c r="DP46" s="370"/>
      <c r="DQ46" s="370"/>
      <c r="DR46" s="370"/>
      <c r="DS46" s="383"/>
      <c r="DT46" s="383"/>
      <c r="DU46" s="650"/>
      <c r="DV46" s="650"/>
      <c r="DW46" s="370"/>
      <c r="DX46" s="650"/>
      <c r="DY46" s="650"/>
      <c r="DZ46" s="370"/>
      <c r="EA46" s="370"/>
      <c r="EB46" s="390"/>
      <c r="EC46" s="390"/>
      <c r="ED46" s="370"/>
      <c r="EE46" s="370"/>
      <c r="EF46" s="370"/>
      <c r="EG46" s="370"/>
      <c r="EH46" s="370"/>
      <c r="EI46" s="370"/>
      <c r="EJ46" s="370"/>
      <c r="EK46" s="370"/>
      <c r="EL46" s="370"/>
      <c r="EM46" s="370"/>
      <c r="EN46" s="370"/>
      <c r="EO46" s="370"/>
      <c r="EP46" s="370"/>
      <c r="EQ46" s="370"/>
      <c r="ER46" s="370"/>
      <c r="ES46" s="370"/>
      <c r="ET46" s="370"/>
      <c r="EU46" s="370"/>
      <c r="EV46" s="370"/>
      <c r="EW46" s="370"/>
      <c r="EX46" s="370"/>
      <c r="EY46" s="370"/>
      <c r="EZ46" s="370"/>
      <c r="FA46" s="370"/>
      <c r="FB46" s="370"/>
      <c r="FC46" s="370"/>
      <c r="FD46" s="370"/>
      <c r="FE46" s="370"/>
      <c r="FF46" s="450">
        <v>1</v>
      </c>
      <c r="FG46" s="370"/>
      <c r="FH46" s="370"/>
      <c r="FI46" s="654"/>
      <c r="FJ46" s="370"/>
      <c r="FK46" s="370"/>
      <c r="FL46" s="370"/>
      <c r="FM46" s="370"/>
      <c r="FN46" s="370"/>
      <c r="FO46" s="370"/>
      <c r="FP46" s="370"/>
      <c r="FQ46" s="370"/>
      <c r="FR46" s="370"/>
      <c r="FS46" s="370"/>
      <c r="FT46" s="370"/>
      <c r="FU46" s="370"/>
      <c r="FV46" s="370"/>
      <c r="FW46" s="370"/>
      <c r="FX46" s="370"/>
      <c r="FY46" s="370"/>
      <c r="FZ46" s="370"/>
      <c r="GA46" s="370"/>
      <c r="GB46" s="370"/>
      <c r="GC46" s="370"/>
      <c r="GD46" s="370"/>
      <c r="GE46" s="370"/>
      <c r="GF46" s="370"/>
      <c r="GG46" s="370"/>
      <c r="GH46" s="370"/>
      <c r="GI46" s="370"/>
      <c r="GJ46" s="370"/>
      <c r="GK46" s="370"/>
      <c r="GL46" s="370"/>
      <c r="GM46" s="370"/>
      <c r="GN46" s="370"/>
      <c r="GO46" s="370"/>
      <c r="GP46" s="370"/>
      <c r="GQ46" s="370"/>
      <c r="GR46" s="370"/>
      <c r="GS46" s="370"/>
      <c r="GT46" s="370"/>
      <c r="GU46" s="370"/>
      <c r="GV46" s="370"/>
      <c r="GW46" s="370"/>
      <c r="GX46" s="370"/>
      <c r="GY46" s="370"/>
      <c r="GZ46" s="370"/>
      <c r="HA46" s="370"/>
      <c r="HB46" s="370"/>
      <c r="HC46" s="370"/>
      <c r="HD46" s="370"/>
      <c r="HE46" s="370"/>
      <c r="HF46" s="370"/>
      <c r="HG46" s="370"/>
      <c r="HH46" s="370"/>
    </row>
    <row r="47" spans="1:216" s="393" customFormat="1" ht="18" customHeight="1">
      <c r="A47" s="395"/>
      <c r="B47" s="314" t="s">
        <v>357</v>
      </c>
      <c r="C47" s="382"/>
      <c r="D47" s="374"/>
      <c r="E47" s="394"/>
      <c r="F47" s="383"/>
      <c r="G47" s="370"/>
      <c r="H47" s="366"/>
      <c r="I47" s="382"/>
      <c r="J47" s="384">
        <v>1</v>
      </c>
      <c r="K47" s="352"/>
      <c r="L47" s="352"/>
      <c r="M47" s="358"/>
      <c r="N47" s="397">
        <v>1</v>
      </c>
      <c r="O47" s="358"/>
      <c r="P47" s="358"/>
      <c r="Q47" s="358"/>
      <c r="R47" s="397">
        <v>1</v>
      </c>
      <c r="S47" s="397">
        <v>1</v>
      </c>
      <c r="T47" s="384"/>
      <c r="U47" s="384"/>
      <c r="V47" s="384"/>
      <c r="W47" s="384"/>
      <c r="X47" s="397">
        <v>1</v>
      </c>
      <c r="Y47" s="384"/>
      <c r="Z47" s="384"/>
      <c r="AA47" s="384"/>
      <c r="AB47" s="384"/>
      <c r="AC47" s="384"/>
      <c r="AD47" s="384"/>
      <c r="AE47" s="384"/>
      <c r="AF47" s="384"/>
      <c r="AG47" s="384"/>
      <c r="AH47" s="384"/>
      <c r="AI47" s="384"/>
      <c r="AJ47" s="384"/>
      <c r="AK47" s="384"/>
      <c r="AL47" s="384"/>
      <c r="AM47" s="384"/>
      <c r="AN47" s="384"/>
      <c r="AO47" s="391"/>
      <c r="AP47" s="384"/>
      <c r="AQ47" s="384"/>
      <c r="AR47" s="384"/>
      <c r="AS47" s="384"/>
      <c r="AT47" s="384"/>
      <c r="AU47" s="384"/>
      <c r="AV47" s="384"/>
      <c r="AW47" s="384"/>
      <c r="AX47" s="384"/>
      <c r="AY47" s="384"/>
      <c r="AZ47" s="384"/>
      <c r="BA47" s="384"/>
      <c r="BB47" s="384"/>
      <c r="BC47" s="384"/>
      <c r="BD47" s="384"/>
      <c r="BE47" s="387"/>
      <c r="BF47" s="387"/>
      <c r="BG47" s="387"/>
      <c r="BH47" s="387"/>
      <c r="BI47" s="387"/>
      <c r="BJ47" s="387"/>
      <c r="BK47" s="387"/>
      <c r="BL47" s="387"/>
      <c r="BM47" s="387"/>
      <c r="BN47" s="387"/>
      <c r="BO47" s="387"/>
      <c r="BP47" s="387"/>
      <c r="BQ47" s="387"/>
      <c r="BR47" s="387"/>
      <c r="BS47" s="387"/>
      <c r="BT47" s="387"/>
      <c r="BU47" s="387"/>
      <c r="BV47" s="387"/>
      <c r="BW47" s="387"/>
      <c r="BX47" s="387"/>
      <c r="BY47" s="387"/>
      <c r="BZ47" s="387"/>
      <c r="CA47" s="387"/>
      <c r="CB47" s="387"/>
      <c r="CC47" s="387"/>
      <c r="CD47" s="387"/>
      <c r="CE47" s="387"/>
      <c r="CF47" s="387"/>
      <c r="CG47" s="387"/>
      <c r="CH47" s="387"/>
      <c r="CI47" s="387"/>
      <c r="CJ47" s="387"/>
      <c r="CK47" s="370"/>
      <c r="CL47" s="370"/>
      <c r="CM47" s="370"/>
      <c r="CN47" s="370"/>
      <c r="CO47" s="370"/>
      <c r="CP47" s="370"/>
      <c r="CQ47" s="370"/>
      <c r="CR47" s="390"/>
      <c r="CS47" s="390"/>
      <c r="CT47" s="370"/>
      <c r="CU47" s="370"/>
      <c r="CV47" s="370"/>
      <c r="CW47" s="370"/>
      <c r="CX47" s="370"/>
      <c r="CY47" s="370"/>
      <c r="CZ47" s="370"/>
      <c r="DA47" s="370"/>
      <c r="DB47" s="370"/>
      <c r="DC47" s="370"/>
      <c r="DD47" s="370"/>
      <c r="DE47" s="370"/>
      <c r="DF47" s="370"/>
      <c r="DG47" s="370"/>
      <c r="DH47" s="450">
        <v>1</v>
      </c>
      <c r="DI47" s="370"/>
      <c r="DJ47" s="370"/>
      <c r="DK47" s="370"/>
      <c r="DL47" s="383"/>
      <c r="DM47" s="383"/>
      <c r="DN47" s="383"/>
      <c r="DO47" s="370"/>
      <c r="DP47" s="370"/>
      <c r="DQ47" s="370"/>
      <c r="DR47" s="370"/>
      <c r="DS47" s="383"/>
      <c r="DT47" s="383"/>
      <c r="DU47" s="384"/>
      <c r="DV47" s="384"/>
      <c r="DW47" s="370"/>
      <c r="DX47" s="384"/>
      <c r="DY47" s="384"/>
      <c r="DZ47" s="370"/>
      <c r="EA47" s="370"/>
      <c r="EB47" s="390"/>
      <c r="EC47" s="390"/>
      <c r="ED47" s="370"/>
      <c r="EE47" s="370"/>
      <c r="EF47" s="370"/>
      <c r="EG47" s="370"/>
      <c r="EH47" s="370"/>
      <c r="EI47" s="370"/>
      <c r="EJ47" s="370"/>
      <c r="EK47" s="370"/>
      <c r="EL47" s="370"/>
      <c r="EM47" s="370"/>
      <c r="EN47" s="370"/>
      <c r="EO47" s="370"/>
      <c r="EP47" s="370"/>
      <c r="EQ47" s="370"/>
      <c r="ER47" s="370"/>
      <c r="ES47" s="370"/>
      <c r="ET47" s="370"/>
      <c r="EU47" s="370"/>
      <c r="EV47" s="370"/>
      <c r="EW47" s="370"/>
      <c r="EX47" s="370"/>
      <c r="EY47" s="370"/>
      <c r="EZ47" s="370"/>
      <c r="FA47" s="370"/>
      <c r="FB47" s="370"/>
      <c r="FC47" s="370"/>
      <c r="FD47" s="370"/>
      <c r="FE47" s="370"/>
      <c r="FF47" s="370"/>
      <c r="FG47" s="450">
        <v>1</v>
      </c>
      <c r="FH47" s="450">
        <v>1</v>
      </c>
      <c r="FI47" s="450">
        <v>1</v>
      </c>
      <c r="FJ47" s="450">
        <v>1</v>
      </c>
      <c r="FK47" s="370"/>
      <c r="FL47" s="370"/>
      <c r="FM47" s="370"/>
      <c r="FN47" s="370"/>
      <c r="FO47" s="370"/>
      <c r="FP47" s="370"/>
      <c r="FQ47" s="370"/>
      <c r="FR47" s="370"/>
      <c r="FS47" s="370"/>
      <c r="FT47" s="370"/>
      <c r="FU47" s="370"/>
      <c r="FV47" s="370"/>
      <c r="FW47" s="370"/>
      <c r="FX47" s="370"/>
      <c r="FY47" s="370"/>
      <c r="FZ47" s="370"/>
      <c r="GA47" s="370"/>
      <c r="GB47" s="370"/>
      <c r="GC47" s="370"/>
      <c r="GD47" s="370"/>
      <c r="GE47" s="370"/>
      <c r="GF47" s="370"/>
      <c r="GG47" s="370"/>
      <c r="GH47" s="370"/>
      <c r="GI47" s="370"/>
      <c r="GJ47" s="370"/>
      <c r="GK47" s="370"/>
      <c r="GL47" s="370"/>
      <c r="GM47" s="370"/>
      <c r="GN47" s="370"/>
      <c r="GO47" s="370"/>
      <c r="GP47" s="370"/>
      <c r="GQ47" s="370"/>
      <c r="GR47" s="370"/>
      <c r="GS47" s="370"/>
      <c r="GT47" s="370"/>
      <c r="GU47" s="370"/>
      <c r="GV47" s="370"/>
      <c r="GW47" s="370"/>
      <c r="GX47" s="370"/>
      <c r="GY47" s="370"/>
      <c r="GZ47" s="370"/>
      <c r="HA47" s="370"/>
      <c r="HB47" s="370"/>
      <c r="HC47" s="370"/>
      <c r="HD47" s="370"/>
      <c r="HE47" s="370"/>
      <c r="HF47" s="370"/>
      <c r="HG47" s="370"/>
      <c r="HH47" s="370"/>
    </row>
    <row r="48" spans="1:216" s="393" customFormat="1" ht="18" customHeight="1">
      <c r="A48" s="395"/>
      <c r="B48" s="314" t="s">
        <v>355</v>
      </c>
      <c r="C48" s="382"/>
      <c r="D48" s="374"/>
      <c r="E48" s="394"/>
      <c r="F48" s="383"/>
      <c r="G48" s="370"/>
      <c r="H48" s="366"/>
      <c r="I48" s="382" t="s">
        <v>363</v>
      </c>
      <c r="J48" s="384">
        <v>1</v>
      </c>
      <c r="K48" s="352"/>
      <c r="L48" s="352"/>
      <c r="M48" s="358"/>
      <c r="N48" s="397">
        <v>1</v>
      </c>
      <c r="O48" s="358"/>
      <c r="P48" s="358"/>
      <c r="Q48" s="358"/>
      <c r="R48" s="397">
        <v>1</v>
      </c>
      <c r="S48" s="397">
        <v>1</v>
      </c>
      <c r="T48" s="384"/>
      <c r="U48" s="384"/>
      <c r="V48" s="384"/>
      <c r="W48" s="384"/>
      <c r="X48" s="397">
        <v>1</v>
      </c>
      <c r="Y48" s="384"/>
      <c r="Z48" s="384"/>
      <c r="AA48" s="384"/>
      <c r="AB48" s="384"/>
      <c r="AC48" s="384"/>
      <c r="AD48" s="384"/>
      <c r="AE48" s="384"/>
      <c r="AF48" s="384"/>
      <c r="AG48" s="384"/>
      <c r="AH48" s="384"/>
      <c r="AI48" s="384"/>
      <c r="AJ48" s="384"/>
      <c r="AK48" s="384"/>
      <c r="AL48" s="384"/>
      <c r="AM48" s="384"/>
      <c r="AN48" s="384"/>
      <c r="AO48" s="391"/>
      <c r="AP48" s="384"/>
      <c r="AQ48" s="384"/>
      <c r="AR48" s="384"/>
      <c r="AS48" s="384"/>
      <c r="AT48" s="384"/>
      <c r="AU48" s="384"/>
      <c r="AV48" s="384"/>
      <c r="AW48" s="384"/>
      <c r="AX48" s="384"/>
      <c r="AY48" s="384"/>
      <c r="AZ48" s="384"/>
      <c r="BA48" s="384"/>
      <c r="BB48" s="384"/>
      <c r="BC48" s="384"/>
      <c r="BD48" s="384"/>
      <c r="BE48" s="387"/>
      <c r="BF48" s="387"/>
      <c r="BG48" s="387"/>
      <c r="BH48" s="387"/>
      <c r="BI48" s="387"/>
      <c r="BJ48" s="387"/>
      <c r="BK48" s="387"/>
      <c r="BL48" s="387"/>
      <c r="BM48" s="387"/>
      <c r="BN48" s="387"/>
      <c r="BO48" s="387"/>
      <c r="BP48" s="387"/>
      <c r="BQ48" s="387"/>
      <c r="BR48" s="387"/>
      <c r="BS48" s="387"/>
      <c r="BT48" s="387"/>
      <c r="BU48" s="387"/>
      <c r="BV48" s="387"/>
      <c r="BW48" s="387"/>
      <c r="BX48" s="387"/>
      <c r="BY48" s="387"/>
      <c r="BZ48" s="387"/>
      <c r="CA48" s="387"/>
      <c r="CB48" s="387"/>
      <c r="CC48" s="387"/>
      <c r="CD48" s="387"/>
      <c r="CE48" s="387"/>
      <c r="CF48" s="387"/>
      <c r="CG48" s="387"/>
      <c r="CH48" s="387"/>
      <c r="CI48" s="387"/>
      <c r="CJ48" s="387"/>
      <c r="CK48" s="370"/>
      <c r="CL48" s="370"/>
      <c r="CM48" s="370"/>
      <c r="CN48" s="370"/>
      <c r="CO48" s="370"/>
      <c r="CP48" s="370"/>
      <c r="CQ48" s="370"/>
      <c r="CR48" s="390"/>
      <c r="CS48" s="390"/>
      <c r="CT48" s="370"/>
      <c r="CU48" s="370"/>
      <c r="CV48" s="370"/>
      <c r="CW48" s="370"/>
      <c r="CX48" s="370"/>
      <c r="CY48" s="370"/>
      <c r="CZ48" s="370"/>
      <c r="DA48" s="370"/>
      <c r="DB48" s="370"/>
      <c r="DC48" s="370"/>
      <c r="DD48" s="370"/>
      <c r="DE48" s="370"/>
      <c r="DF48" s="370"/>
      <c r="DG48" s="370"/>
      <c r="DH48" s="450">
        <v>1</v>
      </c>
      <c r="DI48" s="370"/>
      <c r="DJ48" s="370"/>
      <c r="DK48" s="370"/>
      <c r="DL48" s="383"/>
      <c r="DM48" s="383"/>
      <c r="DN48" s="383"/>
      <c r="DO48" s="370"/>
      <c r="DP48" s="370"/>
      <c r="DQ48" s="370"/>
      <c r="DR48" s="370"/>
      <c r="DS48" s="383"/>
      <c r="DT48" s="383"/>
      <c r="DU48" s="384"/>
      <c r="DV48" s="384"/>
      <c r="DW48" s="370"/>
      <c r="DX48" s="384"/>
      <c r="DY48" s="384"/>
      <c r="DZ48" s="370"/>
      <c r="EA48" s="370"/>
      <c r="EB48" s="390"/>
      <c r="EC48" s="390"/>
      <c r="ED48" s="370"/>
      <c r="EE48" s="370"/>
      <c r="EF48" s="370"/>
      <c r="EG48" s="370"/>
      <c r="EH48" s="370"/>
      <c r="EI48" s="370"/>
      <c r="EJ48" s="370"/>
      <c r="EK48" s="370"/>
      <c r="EL48" s="370"/>
      <c r="EM48" s="370"/>
      <c r="EN48" s="370"/>
      <c r="EO48" s="370"/>
      <c r="EP48" s="370"/>
      <c r="EQ48" s="370"/>
      <c r="ER48" s="370"/>
      <c r="ES48" s="370"/>
      <c r="ET48" s="370"/>
      <c r="EU48" s="370"/>
      <c r="EV48" s="370"/>
      <c r="EW48" s="370"/>
      <c r="EX48" s="370"/>
      <c r="EY48" s="370"/>
      <c r="EZ48" s="370"/>
      <c r="FA48" s="370"/>
      <c r="FB48" s="370"/>
      <c r="FC48" s="370"/>
      <c r="FD48" s="370"/>
      <c r="FE48" s="370"/>
      <c r="FF48" s="450">
        <v>1</v>
      </c>
      <c r="FG48" s="370"/>
      <c r="FH48" s="370"/>
      <c r="FI48" s="654"/>
      <c r="FJ48" s="370"/>
      <c r="FK48" s="370"/>
      <c r="FL48" s="370"/>
      <c r="FM48" s="370"/>
      <c r="FN48" s="370"/>
      <c r="FO48" s="370"/>
      <c r="FP48" s="370"/>
      <c r="FQ48" s="370"/>
      <c r="FR48" s="370"/>
      <c r="FS48" s="370"/>
      <c r="FT48" s="370"/>
      <c r="FU48" s="370"/>
      <c r="FV48" s="370"/>
      <c r="FW48" s="370"/>
      <c r="FX48" s="370"/>
      <c r="FY48" s="370"/>
      <c r="FZ48" s="370"/>
      <c r="GA48" s="370"/>
      <c r="GB48" s="370"/>
      <c r="GC48" s="370"/>
      <c r="GD48" s="370"/>
      <c r="GE48" s="370"/>
      <c r="GF48" s="370"/>
      <c r="GG48" s="370"/>
      <c r="GH48" s="370"/>
      <c r="GI48" s="370"/>
      <c r="GJ48" s="370"/>
      <c r="GK48" s="370"/>
      <c r="GL48" s="370"/>
      <c r="GM48" s="370"/>
      <c r="GN48" s="370"/>
      <c r="GO48" s="370"/>
      <c r="GP48" s="370"/>
      <c r="GQ48" s="370"/>
      <c r="GR48" s="370"/>
      <c r="GS48" s="370"/>
      <c r="GT48" s="370"/>
      <c r="GU48" s="370"/>
      <c r="GV48" s="370"/>
      <c r="GW48" s="370"/>
      <c r="GX48" s="370"/>
      <c r="GY48" s="370"/>
      <c r="GZ48" s="370"/>
      <c r="HA48" s="370"/>
      <c r="HB48" s="370"/>
      <c r="HC48" s="370"/>
      <c r="HD48" s="370"/>
      <c r="HE48" s="370"/>
      <c r="HF48" s="370"/>
      <c r="HG48" s="370"/>
      <c r="HH48" s="370"/>
    </row>
    <row r="49" spans="1:216" s="393" customFormat="1" ht="18" customHeight="1">
      <c r="A49" s="514"/>
      <c r="B49" s="314" t="s">
        <v>11116</v>
      </c>
      <c r="C49" s="382"/>
      <c r="D49" s="374"/>
      <c r="E49" s="394"/>
      <c r="F49" s="383"/>
      <c r="G49" s="370"/>
      <c r="H49" s="366"/>
      <c r="I49" s="382"/>
      <c r="J49" s="384">
        <v>1</v>
      </c>
      <c r="K49" s="352"/>
      <c r="L49" s="352"/>
      <c r="M49" s="358"/>
      <c r="N49" s="397">
        <v>1</v>
      </c>
      <c r="O49" s="358"/>
      <c r="P49" s="358"/>
      <c r="Q49" s="358"/>
      <c r="R49" s="397">
        <v>1</v>
      </c>
      <c r="S49" s="397">
        <v>1</v>
      </c>
      <c r="T49" s="384"/>
      <c r="U49" s="384"/>
      <c r="V49" s="384"/>
      <c r="W49" s="384"/>
      <c r="X49" s="397">
        <v>1</v>
      </c>
      <c r="Y49" s="384"/>
      <c r="Z49" s="384"/>
      <c r="AA49" s="384"/>
      <c r="AB49" s="384"/>
      <c r="AC49" s="384"/>
      <c r="AD49" s="384"/>
      <c r="AE49" s="384"/>
      <c r="AF49" s="384"/>
      <c r="AG49" s="384"/>
      <c r="AH49" s="384"/>
      <c r="AI49" s="384"/>
      <c r="AJ49" s="384"/>
      <c r="AK49" s="384"/>
      <c r="AL49" s="384"/>
      <c r="AM49" s="384"/>
      <c r="AN49" s="384"/>
      <c r="AO49" s="391"/>
      <c r="AP49" s="384"/>
      <c r="AQ49" s="384"/>
      <c r="AR49" s="384"/>
      <c r="AS49" s="384"/>
      <c r="AT49" s="384"/>
      <c r="AU49" s="384"/>
      <c r="AV49" s="384"/>
      <c r="AW49" s="384"/>
      <c r="AX49" s="384"/>
      <c r="AY49" s="384"/>
      <c r="AZ49" s="384"/>
      <c r="BA49" s="384"/>
      <c r="BB49" s="384"/>
      <c r="BC49" s="384"/>
      <c r="BD49" s="384"/>
      <c r="BE49" s="387"/>
      <c r="BF49" s="387"/>
      <c r="BG49" s="387"/>
      <c r="BH49" s="387"/>
      <c r="BI49" s="387"/>
      <c r="BJ49" s="387"/>
      <c r="BK49" s="387"/>
      <c r="BL49" s="387"/>
      <c r="BM49" s="387"/>
      <c r="BN49" s="387"/>
      <c r="BO49" s="387"/>
      <c r="BP49" s="387"/>
      <c r="BQ49" s="387"/>
      <c r="BR49" s="387"/>
      <c r="BS49" s="387"/>
      <c r="BT49" s="387"/>
      <c r="BU49" s="387"/>
      <c r="BV49" s="387"/>
      <c r="BW49" s="387"/>
      <c r="BX49" s="387"/>
      <c r="BY49" s="387"/>
      <c r="BZ49" s="387"/>
      <c r="CA49" s="387"/>
      <c r="CB49" s="387"/>
      <c r="CC49" s="387"/>
      <c r="CD49" s="387"/>
      <c r="CE49" s="387"/>
      <c r="CF49" s="387"/>
      <c r="CG49" s="387"/>
      <c r="CH49" s="387"/>
      <c r="CI49" s="387"/>
      <c r="CJ49" s="387"/>
      <c r="CK49" s="370"/>
      <c r="CL49" s="370"/>
      <c r="CM49" s="370"/>
      <c r="CN49" s="370"/>
      <c r="CO49" s="370"/>
      <c r="CP49" s="370"/>
      <c r="CQ49" s="370"/>
      <c r="CR49" s="390"/>
      <c r="CS49" s="390"/>
      <c r="CT49" s="370"/>
      <c r="CU49" s="370"/>
      <c r="CV49" s="370"/>
      <c r="CW49" s="370"/>
      <c r="CX49" s="370"/>
      <c r="CY49" s="370"/>
      <c r="CZ49" s="370"/>
      <c r="DA49" s="370"/>
      <c r="DB49" s="370"/>
      <c r="DC49" s="370"/>
      <c r="DD49" s="370"/>
      <c r="DE49" s="370"/>
      <c r="DF49" s="370"/>
      <c r="DG49" s="370"/>
      <c r="DH49" s="370"/>
      <c r="DI49" s="450">
        <v>1</v>
      </c>
      <c r="DJ49" s="370"/>
      <c r="DK49" s="370"/>
      <c r="DL49" s="383"/>
      <c r="DM49" s="383"/>
      <c r="DN49" s="383"/>
      <c r="DO49" s="370"/>
      <c r="DP49" s="370"/>
      <c r="DQ49" s="370"/>
      <c r="DR49" s="370"/>
      <c r="DS49" s="383"/>
      <c r="DT49" s="383"/>
      <c r="DU49" s="384"/>
      <c r="DV49" s="384"/>
      <c r="DW49" s="370"/>
      <c r="DX49" s="384"/>
      <c r="DY49" s="384"/>
      <c r="DZ49" s="370"/>
      <c r="EA49" s="370"/>
      <c r="EB49" s="390"/>
      <c r="EC49" s="390"/>
      <c r="ED49" s="370"/>
      <c r="EE49" s="370"/>
      <c r="EF49" s="370"/>
      <c r="EG49" s="370"/>
      <c r="EH49" s="370"/>
      <c r="EI49" s="370"/>
      <c r="EJ49" s="370"/>
      <c r="EK49" s="370"/>
      <c r="EL49" s="370"/>
      <c r="EM49" s="370"/>
      <c r="EN49" s="370"/>
      <c r="EO49" s="370"/>
      <c r="EP49" s="370"/>
      <c r="EQ49" s="370"/>
      <c r="ER49" s="370"/>
      <c r="ES49" s="370"/>
      <c r="ET49" s="370"/>
      <c r="EU49" s="370"/>
      <c r="EV49" s="370"/>
      <c r="EW49" s="370"/>
      <c r="EX49" s="370"/>
      <c r="EY49" s="370"/>
      <c r="EZ49" s="370"/>
      <c r="FA49" s="370"/>
      <c r="FB49" s="370"/>
      <c r="FC49" s="370"/>
      <c r="FD49" s="370"/>
      <c r="FE49" s="370"/>
      <c r="FF49" s="370"/>
      <c r="FG49" s="450">
        <v>1</v>
      </c>
      <c r="FH49" s="450">
        <v>1</v>
      </c>
      <c r="FI49" s="450">
        <v>1</v>
      </c>
      <c r="FJ49" s="450">
        <v>1</v>
      </c>
      <c r="FK49" s="370"/>
      <c r="FL49" s="370"/>
      <c r="FM49" s="370"/>
      <c r="FN49" s="370"/>
      <c r="FO49" s="370"/>
      <c r="FP49" s="370"/>
      <c r="FQ49" s="370"/>
      <c r="FR49" s="370"/>
      <c r="FS49" s="370"/>
      <c r="FT49" s="370"/>
      <c r="FU49" s="370"/>
      <c r="FV49" s="370"/>
      <c r="FW49" s="370"/>
      <c r="FX49" s="370"/>
      <c r="FY49" s="370"/>
      <c r="FZ49" s="370"/>
      <c r="GA49" s="370"/>
      <c r="GB49" s="370"/>
      <c r="GC49" s="370"/>
      <c r="GD49" s="370"/>
      <c r="GE49" s="370"/>
      <c r="GF49" s="370"/>
      <c r="GG49" s="370"/>
      <c r="GH49" s="370"/>
      <c r="GI49" s="370"/>
      <c r="GJ49" s="370"/>
      <c r="GK49" s="370"/>
      <c r="GL49" s="370"/>
      <c r="GM49" s="370"/>
      <c r="GN49" s="370"/>
      <c r="GO49" s="370"/>
      <c r="GP49" s="370"/>
      <c r="GQ49" s="370"/>
      <c r="GR49" s="370"/>
      <c r="GS49" s="370"/>
      <c r="GT49" s="370"/>
      <c r="GU49" s="370"/>
      <c r="GV49" s="370"/>
      <c r="GW49" s="370"/>
      <c r="GX49" s="370"/>
      <c r="GY49" s="370"/>
      <c r="GZ49" s="370"/>
      <c r="HA49" s="370"/>
      <c r="HB49" s="370"/>
      <c r="HC49" s="370"/>
      <c r="HD49" s="370"/>
      <c r="HE49" s="370"/>
      <c r="HF49" s="370"/>
      <c r="HG49" s="370"/>
      <c r="HH49" s="370"/>
    </row>
    <row r="50" spans="1:216" s="393" customFormat="1" ht="18" customHeight="1">
      <c r="A50" s="514"/>
      <c r="B50" s="314" t="s">
        <v>11117</v>
      </c>
      <c r="C50" s="382"/>
      <c r="D50" s="374"/>
      <c r="E50" s="394"/>
      <c r="F50" s="383"/>
      <c r="G50" s="370"/>
      <c r="H50" s="366"/>
      <c r="I50" s="382" t="s">
        <v>363</v>
      </c>
      <c r="J50" s="384">
        <v>1</v>
      </c>
      <c r="K50" s="352"/>
      <c r="L50" s="352"/>
      <c r="M50" s="358"/>
      <c r="N50" s="397">
        <v>1</v>
      </c>
      <c r="O50" s="358"/>
      <c r="P50" s="358"/>
      <c r="Q50" s="358"/>
      <c r="R50" s="397">
        <v>1</v>
      </c>
      <c r="S50" s="397">
        <v>1</v>
      </c>
      <c r="T50" s="384"/>
      <c r="U50" s="384"/>
      <c r="V50" s="384"/>
      <c r="W50" s="384"/>
      <c r="X50" s="397">
        <v>1</v>
      </c>
      <c r="Y50" s="384"/>
      <c r="Z50" s="384"/>
      <c r="AA50" s="384"/>
      <c r="AB50" s="384"/>
      <c r="AC50" s="384"/>
      <c r="AD50" s="384"/>
      <c r="AE50" s="384"/>
      <c r="AF50" s="384"/>
      <c r="AG50" s="384"/>
      <c r="AH50" s="384"/>
      <c r="AI50" s="384"/>
      <c r="AJ50" s="384"/>
      <c r="AK50" s="384"/>
      <c r="AL50" s="384"/>
      <c r="AM50" s="384"/>
      <c r="AN50" s="384"/>
      <c r="AO50" s="391"/>
      <c r="AP50" s="384"/>
      <c r="AQ50" s="384"/>
      <c r="AR50" s="384"/>
      <c r="AS50" s="384"/>
      <c r="AT50" s="384"/>
      <c r="AU50" s="384"/>
      <c r="AV50" s="384"/>
      <c r="AW50" s="384"/>
      <c r="AX50" s="384"/>
      <c r="AY50" s="384"/>
      <c r="AZ50" s="384"/>
      <c r="BA50" s="384"/>
      <c r="BB50" s="384"/>
      <c r="BC50" s="384"/>
      <c r="BD50" s="384"/>
      <c r="BE50" s="387"/>
      <c r="BF50" s="387"/>
      <c r="BG50" s="387"/>
      <c r="BH50" s="387"/>
      <c r="BI50" s="387"/>
      <c r="BJ50" s="387"/>
      <c r="BK50" s="387"/>
      <c r="BL50" s="387"/>
      <c r="BM50" s="387"/>
      <c r="BN50" s="387"/>
      <c r="BO50" s="387"/>
      <c r="BP50" s="387"/>
      <c r="BQ50" s="387"/>
      <c r="BR50" s="387"/>
      <c r="BS50" s="387"/>
      <c r="BT50" s="387"/>
      <c r="BU50" s="387"/>
      <c r="BV50" s="387"/>
      <c r="BW50" s="387"/>
      <c r="BX50" s="387"/>
      <c r="BY50" s="387"/>
      <c r="BZ50" s="387"/>
      <c r="CA50" s="387"/>
      <c r="CB50" s="387"/>
      <c r="CC50" s="387"/>
      <c r="CD50" s="387"/>
      <c r="CE50" s="387"/>
      <c r="CF50" s="387"/>
      <c r="CG50" s="387"/>
      <c r="CH50" s="387"/>
      <c r="CI50" s="387"/>
      <c r="CJ50" s="387"/>
      <c r="CK50" s="370"/>
      <c r="CL50" s="370"/>
      <c r="CM50" s="370"/>
      <c r="CN50" s="370"/>
      <c r="CO50" s="370"/>
      <c r="CP50" s="370"/>
      <c r="CQ50" s="370"/>
      <c r="CR50" s="390"/>
      <c r="CS50" s="390"/>
      <c r="CT50" s="370"/>
      <c r="CU50" s="370"/>
      <c r="CV50" s="370"/>
      <c r="CW50" s="370"/>
      <c r="CX50" s="370"/>
      <c r="CY50" s="370"/>
      <c r="CZ50" s="370"/>
      <c r="DA50" s="370"/>
      <c r="DB50" s="370"/>
      <c r="DC50" s="370"/>
      <c r="DD50" s="370"/>
      <c r="DE50" s="370"/>
      <c r="DF50" s="370"/>
      <c r="DG50" s="370"/>
      <c r="DH50" s="370"/>
      <c r="DI50" s="450">
        <v>1</v>
      </c>
      <c r="DJ50" s="370"/>
      <c r="DK50" s="370"/>
      <c r="DL50" s="383"/>
      <c r="DM50" s="383"/>
      <c r="DN50" s="383"/>
      <c r="DO50" s="370"/>
      <c r="DP50" s="370"/>
      <c r="DQ50" s="370"/>
      <c r="DR50" s="370"/>
      <c r="DS50" s="383"/>
      <c r="DT50" s="383"/>
      <c r="DU50" s="384"/>
      <c r="DV50" s="384"/>
      <c r="DW50" s="370"/>
      <c r="DX50" s="384"/>
      <c r="DY50" s="384"/>
      <c r="DZ50" s="370"/>
      <c r="EA50" s="370"/>
      <c r="EB50" s="390"/>
      <c r="EC50" s="390"/>
      <c r="ED50" s="370"/>
      <c r="EE50" s="370"/>
      <c r="EF50" s="370"/>
      <c r="EG50" s="370"/>
      <c r="EH50" s="370"/>
      <c r="EI50" s="370"/>
      <c r="EJ50" s="370"/>
      <c r="EK50" s="370"/>
      <c r="EL50" s="370"/>
      <c r="EM50" s="370"/>
      <c r="EN50" s="370"/>
      <c r="EO50" s="370"/>
      <c r="EP50" s="370"/>
      <c r="EQ50" s="370"/>
      <c r="ER50" s="370"/>
      <c r="ES50" s="370"/>
      <c r="ET50" s="370"/>
      <c r="EU50" s="370"/>
      <c r="EV50" s="370"/>
      <c r="EW50" s="370"/>
      <c r="EX50" s="370"/>
      <c r="EY50" s="370"/>
      <c r="EZ50" s="370"/>
      <c r="FA50" s="370"/>
      <c r="FB50" s="370"/>
      <c r="FC50" s="370"/>
      <c r="FD50" s="370"/>
      <c r="FE50" s="370"/>
      <c r="FF50" s="450">
        <v>1</v>
      </c>
      <c r="FG50" s="370"/>
      <c r="FH50" s="370"/>
      <c r="FI50" s="654"/>
      <c r="FJ50" s="370"/>
      <c r="FK50" s="370"/>
      <c r="FL50" s="370"/>
      <c r="FM50" s="370"/>
      <c r="FN50" s="370"/>
      <c r="FO50" s="370"/>
      <c r="FP50" s="370"/>
      <c r="FQ50" s="370"/>
      <c r="FR50" s="370"/>
      <c r="FS50" s="370"/>
      <c r="FT50" s="370"/>
      <c r="FU50" s="370"/>
      <c r="FV50" s="370"/>
      <c r="FW50" s="370"/>
      <c r="FX50" s="370"/>
      <c r="FY50" s="370"/>
      <c r="FZ50" s="370"/>
      <c r="GA50" s="370"/>
      <c r="GB50" s="370"/>
      <c r="GC50" s="370"/>
      <c r="GD50" s="370"/>
      <c r="GE50" s="370"/>
      <c r="GF50" s="370"/>
      <c r="GG50" s="370"/>
      <c r="GH50" s="370"/>
      <c r="GI50" s="370"/>
      <c r="GJ50" s="370"/>
      <c r="GK50" s="370"/>
      <c r="GL50" s="370"/>
      <c r="GM50" s="370"/>
      <c r="GN50" s="370"/>
      <c r="GO50" s="370"/>
      <c r="GP50" s="370"/>
      <c r="GQ50" s="370"/>
      <c r="GR50" s="370"/>
      <c r="GS50" s="370"/>
      <c r="GT50" s="370"/>
      <c r="GU50" s="370"/>
      <c r="GV50" s="370"/>
      <c r="GW50" s="370"/>
      <c r="GX50" s="370"/>
      <c r="GY50" s="370"/>
      <c r="GZ50" s="370"/>
      <c r="HA50" s="370"/>
      <c r="HB50" s="370"/>
      <c r="HC50" s="370"/>
      <c r="HD50" s="370"/>
      <c r="HE50" s="370"/>
      <c r="HF50" s="370"/>
      <c r="HG50" s="370"/>
      <c r="HH50" s="370"/>
    </row>
    <row r="51" spans="1:216" s="393" customFormat="1" ht="18" customHeight="1">
      <c r="A51" s="514"/>
      <c r="B51" s="314" t="s">
        <v>11742</v>
      </c>
      <c r="C51" s="382"/>
      <c r="D51" s="374"/>
      <c r="E51" s="394"/>
      <c r="F51" s="383"/>
      <c r="G51" s="370"/>
      <c r="H51" s="366"/>
      <c r="I51" s="382"/>
      <c r="J51" s="650">
        <v>1</v>
      </c>
      <c r="K51" s="649"/>
      <c r="L51" s="649"/>
      <c r="M51" s="358"/>
      <c r="N51" s="397">
        <v>1</v>
      </c>
      <c r="O51" s="358"/>
      <c r="P51" s="358"/>
      <c r="Q51" s="358"/>
      <c r="R51" s="397">
        <v>1</v>
      </c>
      <c r="S51" s="397">
        <v>1</v>
      </c>
      <c r="T51" s="650"/>
      <c r="U51" s="650"/>
      <c r="V51" s="650"/>
      <c r="W51" s="650"/>
      <c r="X51" s="397">
        <v>1</v>
      </c>
      <c r="Y51" s="650"/>
      <c r="Z51" s="650"/>
      <c r="AA51" s="650"/>
      <c r="AB51" s="650"/>
      <c r="AC51" s="650"/>
      <c r="AD51" s="650"/>
      <c r="AE51" s="650"/>
      <c r="AF51" s="650"/>
      <c r="AG51" s="650"/>
      <c r="AH51" s="650"/>
      <c r="AI51" s="650"/>
      <c r="AJ51" s="650"/>
      <c r="AK51" s="650"/>
      <c r="AL51" s="650"/>
      <c r="AM51" s="650"/>
      <c r="AN51" s="650"/>
      <c r="AO51" s="391"/>
      <c r="AP51" s="650"/>
      <c r="AQ51" s="650"/>
      <c r="AR51" s="650"/>
      <c r="AS51" s="650"/>
      <c r="AT51" s="650"/>
      <c r="AU51" s="650"/>
      <c r="AV51" s="650"/>
      <c r="AW51" s="650"/>
      <c r="AX51" s="650"/>
      <c r="AY51" s="650"/>
      <c r="AZ51" s="650"/>
      <c r="BA51" s="650"/>
      <c r="BB51" s="650"/>
      <c r="BC51" s="650"/>
      <c r="BD51" s="650"/>
      <c r="BE51" s="387"/>
      <c r="BF51" s="387"/>
      <c r="BG51" s="387"/>
      <c r="BH51" s="387"/>
      <c r="BI51" s="387"/>
      <c r="BJ51" s="387"/>
      <c r="BK51" s="387"/>
      <c r="BL51" s="387"/>
      <c r="BM51" s="387"/>
      <c r="BN51" s="387"/>
      <c r="BO51" s="387"/>
      <c r="BP51" s="387"/>
      <c r="BQ51" s="387"/>
      <c r="BR51" s="387"/>
      <c r="BS51" s="387"/>
      <c r="BT51" s="387"/>
      <c r="BU51" s="387"/>
      <c r="BV51" s="387"/>
      <c r="BW51" s="387"/>
      <c r="BX51" s="387"/>
      <c r="BY51" s="387"/>
      <c r="BZ51" s="387"/>
      <c r="CA51" s="387"/>
      <c r="CB51" s="387"/>
      <c r="CC51" s="387"/>
      <c r="CD51" s="387"/>
      <c r="CE51" s="387"/>
      <c r="CF51" s="387"/>
      <c r="CG51" s="387"/>
      <c r="CH51" s="387"/>
      <c r="CI51" s="387"/>
      <c r="CJ51" s="387"/>
      <c r="CK51" s="370"/>
      <c r="CL51" s="370"/>
      <c r="CM51" s="370"/>
      <c r="CN51" s="370"/>
      <c r="CO51" s="370"/>
      <c r="CP51" s="370"/>
      <c r="CQ51" s="370"/>
      <c r="CR51" s="390"/>
      <c r="CS51" s="390"/>
      <c r="CT51" s="370"/>
      <c r="CU51" s="370"/>
      <c r="CV51" s="370"/>
      <c r="CW51" s="370"/>
      <c r="CX51" s="370"/>
      <c r="CY51" s="370"/>
      <c r="CZ51" s="370"/>
      <c r="DA51" s="370"/>
      <c r="DB51" s="370"/>
      <c r="DC51" s="370"/>
      <c r="DD51" s="370"/>
      <c r="DE51" s="370"/>
      <c r="DF51" s="370"/>
      <c r="DG51" s="370"/>
      <c r="DH51" s="370"/>
      <c r="DI51" s="370"/>
      <c r="DJ51" s="397">
        <v>1</v>
      </c>
      <c r="DK51" s="397">
        <v>1</v>
      </c>
      <c r="DL51" s="383"/>
      <c r="DM51" s="383"/>
      <c r="DN51" s="383"/>
      <c r="DO51" s="370"/>
      <c r="DP51" s="370"/>
      <c r="DQ51" s="370"/>
      <c r="DR51" s="370"/>
      <c r="DS51" s="383"/>
      <c r="DT51" s="383"/>
      <c r="DU51" s="650"/>
      <c r="DV51" s="650"/>
      <c r="DW51" s="370"/>
      <c r="DX51" s="650"/>
      <c r="DY51" s="650"/>
      <c r="DZ51" s="370"/>
      <c r="EA51" s="370"/>
      <c r="EB51" s="390"/>
      <c r="EC51" s="390"/>
      <c r="ED51" s="370"/>
      <c r="EE51" s="370"/>
      <c r="EF51" s="370"/>
      <c r="EG51" s="370"/>
      <c r="EH51" s="370"/>
      <c r="EI51" s="370"/>
      <c r="EJ51" s="370"/>
      <c r="EK51" s="370"/>
      <c r="EL51" s="370"/>
      <c r="EM51" s="370"/>
      <c r="EN51" s="370"/>
      <c r="EO51" s="370"/>
      <c r="EP51" s="370"/>
      <c r="EQ51" s="370"/>
      <c r="ER51" s="370"/>
      <c r="ES51" s="370"/>
      <c r="ET51" s="370"/>
      <c r="EU51" s="370"/>
      <c r="EV51" s="370"/>
      <c r="EW51" s="370"/>
      <c r="EX51" s="370"/>
      <c r="EY51" s="370"/>
      <c r="EZ51" s="370"/>
      <c r="FA51" s="370"/>
      <c r="FB51" s="370"/>
      <c r="FC51" s="370"/>
      <c r="FD51" s="370"/>
      <c r="FE51" s="370"/>
      <c r="FG51" s="450">
        <v>1</v>
      </c>
      <c r="FH51" s="450">
        <v>1</v>
      </c>
      <c r="FI51" s="450">
        <v>1</v>
      </c>
      <c r="FJ51" s="450">
        <v>1</v>
      </c>
      <c r="FK51" s="370"/>
      <c r="FL51" s="370"/>
      <c r="FM51" s="370"/>
      <c r="FN51" s="370"/>
      <c r="FO51" s="370"/>
      <c r="FP51" s="370"/>
      <c r="FQ51" s="370"/>
      <c r="FR51" s="370"/>
      <c r="FS51" s="370"/>
      <c r="FT51" s="370"/>
      <c r="FU51" s="370"/>
      <c r="FV51" s="370"/>
      <c r="FW51" s="370"/>
      <c r="FX51" s="370"/>
      <c r="FY51" s="370"/>
      <c r="FZ51" s="370"/>
      <c r="GA51" s="370"/>
      <c r="GB51" s="370"/>
      <c r="GC51" s="370"/>
      <c r="GD51" s="370"/>
      <c r="GE51" s="370"/>
      <c r="GF51" s="370"/>
      <c r="GG51" s="370"/>
      <c r="GH51" s="370"/>
      <c r="GI51" s="370"/>
      <c r="GJ51" s="370"/>
      <c r="GK51" s="370"/>
      <c r="GL51" s="370"/>
      <c r="GM51" s="370"/>
      <c r="GN51" s="370"/>
      <c r="GO51" s="370"/>
      <c r="GP51" s="370"/>
      <c r="GQ51" s="370"/>
      <c r="GR51" s="370"/>
      <c r="GS51" s="370"/>
      <c r="GT51" s="370"/>
      <c r="GU51" s="370"/>
      <c r="GV51" s="370"/>
      <c r="GW51" s="370"/>
      <c r="GX51" s="370"/>
      <c r="GY51" s="370"/>
      <c r="GZ51" s="370"/>
      <c r="HA51" s="370"/>
      <c r="HB51" s="370"/>
      <c r="HC51" s="370"/>
      <c r="HD51" s="370"/>
      <c r="HE51" s="370"/>
      <c r="HF51" s="370"/>
      <c r="HG51" s="370"/>
      <c r="HH51" s="370"/>
    </row>
    <row r="52" spans="1:216" s="393" customFormat="1" ht="18" customHeight="1">
      <c r="A52" s="514"/>
      <c r="B52" s="314" t="s">
        <v>11743</v>
      </c>
      <c r="C52" s="382"/>
      <c r="D52" s="374"/>
      <c r="E52" s="394"/>
      <c r="F52" s="383"/>
      <c r="G52" s="370"/>
      <c r="H52" s="366"/>
      <c r="I52" s="382" t="s">
        <v>363</v>
      </c>
      <c r="J52" s="650">
        <v>1</v>
      </c>
      <c r="K52" s="649"/>
      <c r="L52" s="649"/>
      <c r="M52" s="358"/>
      <c r="N52" s="397">
        <v>1</v>
      </c>
      <c r="O52" s="358"/>
      <c r="P52" s="358"/>
      <c r="Q52" s="358"/>
      <c r="R52" s="397">
        <v>1</v>
      </c>
      <c r="S52" s="397">
        <v>1</v>
      </c>
      <c r="T52" s="650"/>
      <c r="U52" s="650"/>
      <c r="V52" s="650"/>
      <c r="W52" s="650"/>
      <c r="X52" s="397">
        <v>1</v>
      </c>
      <c r="Y52" s="650"/>
      <c r="Z52" s="650"/>
      <c r="AA52" s="650"/>
      <c r="AB52" s="650"/>
      <c r="AC52" s="650"/>
      <c r="AD52" s="650"/>
      <c r="AE52" s="650"/>
      <c r="AF52" s="650"/>
      <c r="AG52" s="650"/>
      <c r="AH52" s="650"/>
      <c r="AI52" s="650"/>
      <c r="AJ52" s="650"/>
      <c r="AK52" s="650"/>
      <c r="AL52" s="650"/>
      <c r="AM52" s="650"/>
      <c r="AN52" s="650"/>
      <c r="AO52" s="391"/>
      <c r="AP52" s="650"/>
      <c r="AQ52" s="650"/>
      <c r="AR52" s="650"/>
      <c r="AS52" s="650"/>
      <c r="AT52" s="650"/>
      <c r="AU52" s="650"/>
      <c r="AV52" s="650"/>
      <c r="AW52" s="650"/>
      <c r="AX52" s="650"/>
      <c r="AY52" s="650"/>
      <c r="AZ52" s="650"/>
      <c r="BA52" s="650"/>
      <c r="BB52" s="650"/>
      <c r="BC52" s="650"/>
      <c r="BD52" s="650"/>
      <c r="BE52" s="387"/>
      <c r="BF52" s="387"/>
      <c r="BG52" s="387"/>
      <c r="BH52" s="387"/>
      <c r="BI52" s="387"/>
      <c r="BJ52" s="387"/>
      <c r="BK52" s="387"/>
      <c r="BL52" s="387"/>
      <c r="BM52" s="387"/>
      <c r="BN52" s="387"/>
      <c r="BO52" s="387"/>
      <c r="BP52" s="387"/>
      <c r="BQ52" s="387"/>
      <c r="BR52" s="387"/>
      <c r="BS52" s="387"/>
      <c r="BT52" s="387"/>
      <c r="BU52" s="387"/>
      <c r="BV52" s="387"/>
      <c r="BW52" s="387"/>
      <c r="BX52" s="387"/>
      <c r="BY52" s="387"/>
      <c r="BZ52" s="387"/>
      <c r="CA52" s="387"/>
      <c r="CB52" s="387"/>
      <c r="CC52" s="387"/>
      <c r="CD52" s="387"/>
      <c r="CE52" s="387"/>
      <c r="CF52" s="387"/>
      <c r="CG52" s="387"/>
      <c r="CH52" s="387"/>
      <c r="CI52" s="387"/>
      <c r="CJ52" s="387"/>
      <c r="CK52" s="370"/>
      <c r="CL52" s="370"/>
      <c r="CM52" s="370"/>
      <c r="CN52" s="370"/>
      <c r="CO52" s="370"/>
      <c r="CP52" s="370"/>
      <c r="CQ52" s="370"/>
      <c r="CR52" s="390"/>
      <c r="CS52" s="390"/>
      <c r="CT52" s="370"/>
      <c r="CU52" s="370"/>
      <c r="CV52" s="370"/>
      <c r="CW52" s="370"/>
      <c r="CX52" s="370"/>
      <c r="CY52" s="370"/>
      <c r="CZ52" s="370"/>
      <c r="DA52" s="370"/>
      <c r="DB52" s="370"/>
      <c r="DC52" s="370"/>
      <c r="DD52" s="370"/>
      <c r="DE52" s="370"/>
      <c r="DF52" s="370"/>
      <c r="DG52" s="370"/>
      <c r="DH52" s="370"/>
      <c r="DI52" s="370"/>
      <c r="DJ52" s="397">
        <v>1</v>
      </c>
      <c r="DK52" s="397">
        <v>1</v>
      </c>
      <c r="DL52" s="383"/>
      <c r="DM52" s="383"/>
      <c r="DN52" s="383"/>
      <c r="DO52" s="370"/>
      <c r="DP52" s="370"/>
      <c r="DQ52" s="370"/>
      <c r="DR52" s="370"/>
      <c r="DS52" s="383"/>
      <c r="DT52" s="383"/>
      <c r="DU52" s="650"/>
      <c r="DV52" s="650"/>
      <c r="DW52" s="370"/>
      <c r="DX52" s="650"/>
      <c r="DY52" s="650"/>
      <c r="DZ52" s="370"/>
      <c r="EA52" s="370"/>
      <c r="EB52" s="390"/>
      <c r="EC52" s="390"/>
      <c r="ED52" s="370"/>
      <c r="EE52" s="370"/>
      <c r="EF52" s="370"/>
      <c r="EG52" s="370"/>
      <c r="EH52" s="370"/>
      <c r="EI52" s="370"/>
      <c r="EJ52" s="370"/>
      <c r="EK52" s="370"/>
      <c r="EL52" s="370"/>
      <c r="EM52" s="370"/>
      <c r="EN52" s="370"/>
      <c r="EO52" s="370"/>
      <c r="EP52" s="370"/>
      <c r="EQ52" s="370"/>
      <c r="ER52" s="370"/>
      <c r="ES52" s="370"/>
      <c r="ET52" s="370"/>
      <c r="EU52" s="370"/>
      <c r="EV52" s="370"/>
      <c r="EW52" s="370"/>
      <c r="EX52" s="370"/>
      <c r="EY52" s="370"/>
      <c r="EZ52" s="370"/>
      <c r="FA52" s="370"/>
      <c r="FB52" s="370"/>
      <c r="FC52" s="370"/>
      <c r="FD52" s="370"/>
      <c r="FE52" s="370"/>
      <c r="FF52" s="450">
        <v>1</v>
      </c>
      <c r="FG52" s="370"/>
      <c r="FH52" s="370"/>
      <c r="FI52" s="654"/>
      <c r="FJ52" s="370"/>
      <c r="FK52" s="370"/>
      <c r="FL52" s="370"/>
      <c r="FM52" s="370"/>
      <c r="FN52" s="370"/>
      <c r="FO52" s="370"/>
      <c r="FP52" s="370"/>
      <c r="FQ52" s="370"/>
      <c r="FR52" s="370"/>
      <c r="FS52" s="370"/>
      <c r="FT52" s="370"/>
      <c r="FU52" s="370"/>
      <c r="FV52" s="370"/>
      <c r="FW52" s="370"/>
      <c r="FX52" s="370"/>
      <c r="FY52" s="370"/>
      <c r="FZ52" s="370"/>
      <c r="GA52" s="370"/>
      <c r="GB52" s="370"/>
      <c r="GC52" s="370"/>
      <c r="GD52" s="370"/>
      <c r="GE52" s="370"/>
      <c r="GF52" s="370"/>
      <c r="GG52" s="370"/>
      <c r="GH52" s="370"/>
      <c r="GI52" s="370"/>
      <c r="GJ52" s="370"/>
      <c r="GK52" s="370"/>
      <c r="GL52" s="370"/>
      <c r="GM52" s="370"/>
      <c r="GN52" s="370"/>
      <c r="GO52" s="370"/>
      <c r="GP52" s="370"/>
      <c r="GQ52" s="370"/>
      <c r="GR52" s="370"/>
      <c r="GS52" s="370"/>
      <c r="GT52" s="370"/>
      <c r="GU52" s="370"/>
      <c r="GV52" s="370"/>
      <c r="GW52" s="370"/>
      <c r="GX52" s="370"/>
      <c r="GY52" s="370"/>
      <c r="GZ52" s="370"/>
      <c r="HA52" s="370"/>
      <c r="HB52" s="370"/>
      <c r="HC52" s="370"/>
      <c r="HD52" s="370"/>
      <c r="HE52" s="370"/>
      <c r="HF52" s="370"/>
      <c r="HG52" s="370"/>
      <c r="HH52" s="370"/>
    </row>
    <row r="53" spans="1:216" s="393" customFormat="1" ht="18" customHeight="1">
      <c r="A53" s="395"/>
      <c r="B53" s="314" t="s">
        <v>358</v>
      </c>
      <c r="C53" s="382"/>
      <c r="D53" s="374"/>
      <c r="E53" s="394"/>
      <c r="F53" s="383"/>
      <c r="G53" s="370"/>
      <c r="H53" s="366"/>
      <c r="I53" s="382"/>
      <c r="J53" s="384">
        <v>1</v>
      </c>
      <c r="K53" s="352"/>
      <c r="L53" s="352"/>
      <c r="M53" s="358"/>
      <c r="N53" s="358"/>
      <c r="O53" s="397">
        <v>1</v>
      </c>
      <c r="P53" s="358"/>
      <c r="Q53" s="358"/>
      <c r="R53" s="397">
        <v>1</v>
      </c>
      <c r="S53" s="397">
        <v>1</v>
      </c>
      <c r="T53" s="384"/>
      <c r="U53" s="384"/>
      <c r="V53" s="384"/>
      <c r="W53" s="384"/>
      <c r="X53" s="397">
        <v>1</v>
      </c>
      <c r="Y53" s="384"/>
      <c r="Z53" s="384"/>
      <c r="AA53" s="384"/>
      <c r="AB53" s="384"/>
      <c r="AC53" s="384"/>
      <c r="AD53" s="384"/>
      <c r="AE53" s="384"/>
      <c r="AF53" s="384"/>
      <c r="AG53" s="384"/>
      <c r="AH53" s="384"/>
      <c r="AI53" s="384"/>
      <c r="AJ53" s="384"/>
      <c r="AK53" s="384"/>
      <c r="AL53" s="384"/>
      <c r="AM53" s="384"/>
      <c r="AN53" s="384"/>
      <c r="AO53" s="391"/>
      <c r="AP53" s="384"/>
      <c r="AQ53" s="384"/>
      <c r="AR53" s="384"/>
      <c r="AS53" s="384"/>
      <c r="AT53" s="384"/>
      <c r="AU53" s="384"/>
      <c r="AV53" s="384"/>
      <c r="AW53" s="384"/>
      <c r="AX53" s="384"/>
      <c r="AY53" s="384"/>
      <c r="AZ53" s="384"/>
      <c r="BA53" s="384"/>
      <c r="BB53" s="384"/>
      <c r="BC53" s="384"/>
      <c r="BD53" s="384"/>
      <c r="BE53" s="387"/>
      <c r="BF53" s="387"/>
      <c r="BG53" s="387"/>
      <c r="BH53" s="387"/>
      <c r="BI53" s="387"/>
      <c r="BJ53" s="387"/>
      <c r="BK53" s="387"/>
      <c r="BL53" s="387"/>
      <c r="BM53" s="387"/>
      <c r="BN53" s="387"/>
      <c r="BO53" s="387"/>
      <c r="BP53" s="387"/>
      <c r="BQ53" s="387"/>
      <c r="BR53" s="387"/>
      <c r="BS53" s="387"/>
      <c r="BT53" s="387"/>
      <c r="BU53" s="387"/>
      <c r="BV53" s="387"/>
      <c r="BW53" s="387"/>
      <c r="BX53" s="387"/>
      <c r="BY53" s="387"/>
      <c r="BZ53" s="387"/>
      <c r="CA53" s="387"/>
      <c r="CB53" s="387"/>
      <c r="CC53" s="387"/>
      <c r="CD53" s="387"/>
      <c r="CE53" s="387"/>
      <c r="CF53" s="387"/>
      <c r="CG53" s="387"/>
      <c r="CH53" s="387"/>
      <c r="CI53" s="387"/>
      <c r="CJ53" s="387"/>
      <c r="CK53" s="370"/>
      <c r="CL53" s="370"/>
      <c r="CM53" s="370"/>
      <c r="CN53" s="370"/>
      <c r="CO53" s="370"/>
      <c r="CP53" s="370"/>
      <c r="CQ53" s="370"/>
      <c r="CR53" s="390"/>
      <c r="CS53" s="390"/>
      <c r="CT53" s="370"/>
      <c r="CU53" s="370"/>
      <c r="CV53" s="370"/>
      <c r="CW53" s="370"/>
      <c r="CX53" s="370"/>
      <c r="CY53" s="370"/>
      <c r="CZ53" s="370"/>
      <c r="DA53" s="370"/>
      <c r="DB53" s="370"/>
      <c r="DC53" s="370"/>
      <c r="DD53" s="370"/>
      <c r="DE53" s="370"/>
      <c r="DF53" s="370"/>
      <c r="DG53" s="370"/>
      <c r="DH53" s="450">
        <v>1</v>
      </c>
      <c r="DI53" s="370"/>
      <c r="DJ53" s="370"/>
      <c r="DK53" s="370"/>
      <c r="DL53" s="383"/>
      <c r="DM53" s="383"/>
      <c r="DN53" s="383"/>
      <c r="DO53" s="370"/>
      <c r="DP53" s="370"/>
      <c r="DQ53" s="370"/>
      <c r="DR53" s="370"/>
      <c r="DS53" s="383"/>
      <c r="DT53" s="383"/>
      <c r="DU53" s="384"/>
      <c r="DV53" s="384"/>
      <c r="DW53" s="370"/>
      <c r="DX53" s="384"/>
      <c r="DY53" s="384"/>
      <c r="DZ53" s="370"/>
      <c r="EA53" s="370"/>
      <c r="EB53" s="390"/>
      <c r="EC53" s="390"/>
      <c r="ED53" s="370"/>
      <c r="EE53" s="370"/>
      <c r="EF53" s="370"/>
      <c r="EG53" s="370"/>
      <c r="EH53" s="370"/>
      <c r="EI53" s="370"/>
      <c r="EJ53" s="370"/>
      <c r="EK53" s="370"/>
      <c r="EL53" s="370"/>
      <c r="EM53" s="370"/>
      <c r="EN53" s="370"/>
      <c r="EO53" s="370"/>
      <c r="EP53" s="370"/>
      <c r="EQ53" s="370"/>
      <c r="ER53" s="370"/>
      <c r="ES53" s="370"/>
      <c r="ET53" s="370"/>
      <c r="EU53" s="370"/>
      <c r="EV53" s="370"/>
      <c r="EW53" s="370"/>
      <c r="EX53" s="370"/>
      <c r="EY53" s="370"/>
      <c r="EZ53" s="370"/>
      <c r="FA53" s="370"/>
      <c r="FB53" s="370"/>
      <c r="FC53" s="370"/>
      <c r="FD53" s="370"/>
      <c r="FE53" s="370"/>
      <c r="FF53" s="370"/>
      <c r="FG53" s="450">
        <v>1</v>
      </c>
      <c r="FH53" s="450">
        <v>1</v>
      </c>
      <c r="FI53" s="450">
        <v>1</v>
      </c>
      <c r="FJ53" s="450">
        <v>1</v>
      </c>
      <c r="FK53" s="370"/>
      <c r="FL53" s="370"/>
      <c r="FM53" s="370"/>
      <c r="FN53" s="370"/>
      <c r="FO53" s="370"/>
      <c r="FP53" s="370"/>
      <c r="FQ53" s="370"/>
      <c r="FR53" s="370"/>
      <c r="FS53" s="370"/>
      <c r="FT53" s="370"/>
      <c r="FU53" s="370"/>
      <c r="FV53" s="370"/>
      <c r="FW53" s="370"/>
      <c r="FX53" s="370"/>
      <c r="FY53" s="370"/>
      <c r="FZ53" s="370"/>
      <c r="GA53" s="370"/>
      <c r="GB53" s="370"/>
      <c r="GC53" s="370"/>
      <c r="GD53" s="370"/>
      <c r="GE53" s="370"/>
      <c r="GF53" s="370"/>
      <c r="GG53" s="370"/>
      <c r="GH53" s="370"/>
      <c r="GI53" s="370"/>
      <c r="GJ53" s="370"/>
      <c r="GK53" s="370"/>
      <c r="GL53" s="370"/>
      <c r="GM53" s="370"/>
      <c r="GN53" s="370"/>
      <c r="GO53" s="370"/>
      <c r="GP53" s="370"/>
      <c r="GQ53" s="370"/>
      <c r="GR53" s="370"/>
      <c r="GS53" s="370"/>
      <c r="GT53" s="370"/>
      <c r="GU53" s="370"/>
      <c r="GV53" s="370"/>
      <c r="GW53" s="370"/>
      <c r="GX53" s="370"/>
      <c r="GY53" s="370"/>
      <c r="GZ53" s="370"/>
      <c r="HA53" s="370"/>
      <c r="HB53" s="370"/>
      <c r="HC53" s="370"/>
      <c r="HD53" s="370"/>
      <c r="HE53" s="370"/>
      <c r="HF53" s="370"/>
      <c r="HG53" s="370"/>
      <c r="HH53" s="370"/>
    </row>
    <row r="54" spans="1:216" s="393" customFormat="1" ht="18" customHeight="1">
      <c r="A54" s="395"/>
      <c r="B54" s="314" t="s">
        <v>356</v>
      </c>
      <c r="C54" s="382"/>
      <c r="D54" s="374"/>
      <c r="E54" s="394"/>
      <c r="F54" s="383"/>
      <c r="G54" s="370"/>
      <c r="H54" s="366"/>
      <c r="I54" s="382" t="s">
        <v>363</v>
      </c>
      <c r="J54" s="384">
        <v>1</v>
      </c>
      <c r="K54" s="352"/>
      <c r="L54" s="352"/>
      <c r="M54" s="358"/>
      <c r="N54" s="358"/>
      <c r="O54" s="397">
        <v>1</v>
      </c>
      <c r="P54" s="358"/>
      <c r="Q54" s="358"/>
      <c r="R54" s="397">
        <v>1</v>
      </c>
      <c r="S54" s="397">
        <v>1</v>
      </c>
      <c r="T54" s="384"/>
      <c r="U54" s="384"/>
      <c r="V54" s="384"/>
      <c r="W54" s="384"/>
      <c r="X54" s="397">
        <v>1</v>
      </c>
      <c r="Y54" s="384"/>
      <c r="Z54" s="384"/>
      <c r="AA54" s="384"/>
      <c r="AB54" s="384"/>
      <c r="AC54" s="384"/>
      <c r="AD54" s="384"/>
      <c r="AE54" s="384"/>
      <c r="AF54" s="384"/>
      <c r="AG54" s="384"/>
      <c r="AH54" s="384"/>
      <c r="AI54" s="384"/>
      <c r="AJ54" s="384"/>
      <c r="AK54" s="384"/>
      <c r="AL54" s="384"/>
      <c r="AM54" s="384"/>
      <c r="AN54" s="384"/>
      <c r="AO54" s="391"/>
      <c r="AP54" s="384"/>
      <c r="AQ54" s="384"/>
      <c r="AR54" s="384"/>
      <c r="AS54" s="384"/>
      <c r="AT54" s="384"/>
      <c r="AU54" s="384"/>
      <c r="AV54" s="384"/>
      <c r="AW54" s="384"/>
      <c r="AX54" s="384"/>
      <c r="AY54" s="384"/>
      <c r="AZ54" s="384"/>
      <c r="BA54" s="384"/>
      <c r="BB54" s="384"/>
      <c r="BC54" s="384"/>
      <c r="BD54" s="384"/>
      <c r="BE54" s="387"/>
      <c r="BF54" s="387"/>
      <c r="BG54" s="387"/>
      <c r="BH54" s="387"/>
      <c r="BI54" s="387"/>
      <c r="BJ54" s="387"/>
      <c r="BK54" s="387"/>
      <c r="BL54" s="387"/>
      <c r="BM54" s="387"/>
      <c r="BN54" s="387"/>
      <c r="BO54" s="387"/>
      <c r="BP54" s="387"/>
      <c r="BQ54" s="387"/>
      <c r="BR54" s="387"/>
      <c r="BS54" s="387"/>
      <c r="BT54" s="387"/>
      <c r="BU54" s="387"/>
      <c r="BV54" s="387"/>
      <c r="BW54" s="387"/>
      <c r="BX54" s="387"/>
      <c r="BY54" s="387"/>
      <c r="BZ54" s="387"/>
      <c r="CA54" s="387"/>
      <c r="CB54" s="387"/>
      <c r="CC54" s="387"/>
      <c r="CD54" s="387"/>
      <c r="CE54" s="387"/>
      <c r="CF54" s="387"/>
      <c r="CG54" s="387"/>
      <c r="CH54" s="387"/>
      <c r="CI54" s="387"/>
      <c r="CJ54" s="387"/>
      <c r="CK54" s="370"/>
      <c r="CL54" s="370"/>
      <c r="CM54" s="370"/>
      <c r="CN54" s="370"/>
      <c r="CO54" s="370"/>
      <c r="CP54" s="370"/>
      <c r="CQ54" s="370"/>
      <c r="CR54" s="390"/>
      <c r="CS54" s="390"/>
      <c r="CT54" s="370"/>
      <c r="CU54" s="370"/>
      <c r="CV54" s="370"/>
      <c r="CW54" s="370"/>
      <c r="CX54" s="370"/>
      <c r="CY54" s="370"/>
      <c r="CZ54" s="370"/>
      <c r="DA54" s="370"/>
      <c r="DB54" s="370"/>
      <c r="DC54" s="370"/>
      <c r="DD54" s="370"/>
      <c r="DE54" s="370"/>
      <c r="DF54" s="370"/>
      <c r="DG54" s="370"/>
      <c r="DH54" s="450">
        <v>1</v>
      </c>
      <c r="DI54" s="370"/>
      <c r="DJ54" s="370"/>
      <c r="DK54" s="370"/>
      <c r="DL54" s="383"/>
      <c r="DM54" s="383"/>
      <c r="DN54" s="383"/>
      <c r="DO54" s="370"/>
      <c r="DP54" s="370"/>
      <c r="DQ54" s="370"/>
      <c r="DR54" s="370"/>
      <c r="DS54" s="383"/>
      <c r="DT54" s="383"/>
      <c r="DU54" s="384"/>
      <c r="DV54" s="384"/>
      <c r="DW54" s="370"/>
      <c r="DX54" s="384"/>
      <c r="DY54" s="384"/>
      <c r="DZ54" s="370"/>
      <c r="EA54" s="370"/>
      <c r="EB54" s="390"/>
      <c r="EC54" s="390"/>
      <c r="ED54" s="370"/>
      <c r="EE54" s="370"/>
      <c r="EF54" s="370"/>
      <c r="EG54" s="370"/>
      <c r="EH54" s="370"/>
      <c r="EI54" s="370"/>
      <c r="EJ54" s="370"/>
      <c r="EK54" s="370"/>
      <c r="EL54" s="370"/>
      <c r="EM54" s="370"/>
      <c r="EN54" s="370"/>
      <c r="EO54" s="370"/>
      <c r="EP54" s="370"/>
      <c r="EQ54" s="370"/>
      <c r="ER54" s="370"/>
      <c r="ES54" s="370"/>
      <c r="ET54" s="370"/>
      <c r="EU54" s="370"/>
      <c r="EV54" s="370"/>
      <c r="EW54" s="370"/>
      <c r="EX54" s="370"/>
      <c r="EY54" s="370"/>
      <c r="EZ54" s="370"/>
      <c r="FA54" s="370"/>
      <c r="FB54" s="370"/>
      <c r="FC54" s="370"/>
      <c r="FD54" s="370"/>
      <c r="FE54" s="370"/>
      <c r="FF54" s="450">
        <v>1</v>
      </c>
      <c r="FG54" s="370"/>
      <c r="FH54" s="370"/>
      <c r="FI54" s="654"/>
      <c r="FJ54" s="370"/>
      <c r="FK54" s="370"/>
      <c r="FL54" s="370"/>
      <c r="FM54" s="370"/>
      <c r="FN54" s="370"/>
      <c r="FO54" s="370"/>
      <c r="FP54" s="370"/>
      <c r="FQ54" s="370"/>
      <c r="FR54" s="370"/>
      <c r="FS54" s="370"/>
      <c r="FT54" s="370"/>
      <c r="FU54" s="370"/>
      <c r="FV54" s="370"/>
      <c r="FW54" s="370"/>
      <c r="FX54" s="370"/>
      <c r="FY54" s="370"/>
      <c r="FZ54" s="370"/>
      <c r="GA54" s="370"/>
      <c r="GB54" s="370"/>
      <c r="GC54" s="370"/>
      <c r="GD54" s="370"/>
      <c r="GE54" s="370"/>
      <c r="GF54" s="370"/>
      <c r="GG54" s="370"/>
      <c r="GH54" s="370"/>
      <c r="GI54" s="370"/>
      <c r="GJ54" s="370"/>
      <c r="GK54" s="370"/>
      <c r="GL54" s="370"/>
      <c r="GM54" s="370"/>
      <c r="GN54" s="370"/>
      <c r="GO54" s="370"/>
      <c r="GP54" s="370"/>
      <c r="GQ54" s="370"/>
      <c r="GR54" s="370"/>
      <c r="GS54" s="370"/>
      <c r="GT54" s="370"/>
      <c r="GU54" s="370"/>
      <c r="GV54" s="370"/>
      <c r="GW54" s="370"/>
      <c r="GX54" s="370"/>
      <c r="GY54" s="370"/>
      <c r="GZ54" s="370"/>
      <c r="HA54" s="370"/>
      <c r="HB54" s="370"/>
      <c r="HC54" s="370"/>
      <c r="HD54" s="370"/>
      <c r="HE54" s="370"/>
      <c r="HF54" s="370"/>
      <c r="HG54" s="370"/>
      <c r="HH54" s="370"/>
    </row>
    <row r="55" spans="1:216" s="393" customFormat="1" ht="18" customHeight="1">
      <c r="A55" s="514"/>
      <c r="B55" s="314" t="s">
        <v>11118</v>
      </c>
      <c r="C55" s="382"/>
      <c r="D55" s="374"/>
      <c r="E55" s="394"/>
      <c r="F55" s="383"/>
      <c r="G55" s="370"/>
      <c r="H55" s="366"/>
      <c r="I55" s="382"/>
      <c r="J55" s="384">
        <v>1</v>
      </c>
      <c r="K55" s="352"/>
      <c r="L55" s="352"/>
      <c r="M55" s="358"/>
      <c r="N55" s="358"/>
      <c r="O55" s="397">
        <v>1</v>
      </c>
      <c r="P55" s="358"/>
      <c r="Q55" s="358"/>
      <c r="R55" s="397">
        <v>1</v>
      </c>
      <c r="S55" s="397">
        <v>1</v>
      </c>
      <c r="T55" s="384"/>
      <c r="U55" s="384"/>
      <c r="V55" s="384"/>
      <c r="W55" s="384"/>
      <c r="X55" s="397">
        <v>1</v>
      </c>
      <c r="Y55" s="384"/>
      <c r="Z55" s="384"/>
      <c r="AA55" s="384"/>
      <c r="AB55" s="384"/>
      <c r="AC55" s="384"/>
      <c r="AD55" s="384"/>
      <c r="AE55" s="384"/>
      <c r="AF55" s="384"/>
      <c r="AG55" s="384"/>
      <c r="AH55" s="384"/>
      <c r="AI55" s="384"/>
      <c r="AJ55" s="384"/>
      <c r="AK55" s="384"/>
      <c r="AL55" s="384"/>
      <c r="AM55" s="384"/>
      <c r="AN55" s="384"/>
      <c r="AO55" s="391"/>
      <c r="AP55" s="384"/>
      <c r="AQ55" s="384"/>
      <c r="AR55" s="384"/>
      <c r="AS55" s="384"/>
      <c r="AT55" s="384"/>
      <c r="AU55" s="384"/>
      <c r="AV55" s="384"/>
      <c r="AW55" s="384"/>
      <c r="AX55" s="384"/>
      <c r="AY55" s="384"/>
      <c r="AZ55" s="384"/>
      <c r="BA55" s="384"/>
      <c r="BB55" s="384"/>
      <c r="BC55" s="384"/>
      <c r="BD55" s="384"/>
      <c r="BE55" s="387"/>
      <c r="BF55" s="387"/>
      <c r="BG55" s="387"/>
      <c r="BH55" s="387"/>
      <c r="BI55" s="387"/>
      <c r="BJ55" s="387"/>
      <c r="BK55" s="387"/>
      <c r="BL55" s="387"/>
      <c r="BM55" s="387"/>
      <c r="BN55" s="387"/>
      <c r="BO55" s="387"/>
      <c r="BP55" s="387"/>
      <c r="BQ55" s="387"/>
      <c r="BR55" s="387"/>
      <c r="BS55" s="387"/>
      <c r="BT55" s="387"/>
      <c r="BU55" s="387"/>
      <c r="BV55" s="387"/>
      <c r="BW55" s="387"/>
      <c r="BX55" s="387"/>
      <c r="BY55" s="387"/>
      <c r="BZ55" s="387"/>
      <c r="CA55" s="387"/>
      <c r="CB55" s="387"/>
      <c r="CC55" s="387"/>
      <c r="CD55" s="387"/>
      <c r="CE55" s="387"/>
      <c r="CF55" s="387"/>
      <c r="CG55" s="387"/>
      <c r="CH55" s="387"/>
      <c r="CI55" s="387"/>
      <c r="CJ55" s="387"/>
      <c r="CK55" s="370"/>
      <c r="CL55" s="370"/>
      <c r="CM55" s="370"/>
      <c r="CN55" s="370"/>
      <c r="CO55" s="370"/>
      <c r="CP55" s="370"/>
      <c r="CQ55" s="370"/>
      <c r="CR55" s="390"/>
      <c r="CS55" s="390"/>
      <c r="CT55" s="370"/>
      <c r="CU55" s="370"/>
      <c r="CV55" s="370"/>
      <c r="CW55" s="370"/>
      <c r="CX55" s="370"/>
      <c r="CY55" s="370"/>
      <c r="CZ55" s="370"/>
      <c r="DA55" s="370"/>
      <c r="DB55" s="370"/>
      <c r="DC55" s="370"/>
      <c r="DD55" s="370"/>
      <c r="DE55" s="370"/>
      <c r="DF55" s="370"/>
      <c r="DG55" s="370"/>
      <c r="DH55" s="370"/>
      <c r="DI55" s="450">
        <v>1</v>
      </c>
      <c r="DJ55" s="370"/>
      <c r="DL55" s="383"/>
      <c r="DM55" s="383"/>
      <c r="DN55" s="383"/>
      <c r="DO55" s="370"/>
      <c r="DP55" s="370"/>
      <c r="DQ55" s="370"/>
      <c r="DR55" s="370"/>
      <c r="DS55" s="383"/>
      <c r="DT55" s="383"/>
      <c r="DU55" s="384"/>
      <c r="DV55" s="384"/>
      <c r="DW55" s="370"/>
      <c r="DX55" s="384"/>
      <c r="DY55" s="384"/>
      <c r="DZ55" s="370"/>
      <c r="EA55" s="370"/>
      <c r="EB55" s="390"/>
      <c r="EC55" s="390"/>
      <c r="ED55" s="370"/>
      <c r="EE55" s="370"/>
      <c r="EF55" s="370"/>
      <c r="EG55" s="370"/>
      <c r="EH55" s="370"/>
      <c r="EI55" s="370"/>
      <c r="EJ55" s="370"/>
      <c r="EK55" s="370"/>
      <c r="EL55" s="370"/>
      <c r="EM55" s="370"/>
      <c r="EN55" s="370"/>
      <c r="EO55" s="370"/>
      <c r="EP55" s="370"/>
      <c r="EQ55" s="370"/>
      <c r="ER55" s="370"/>
      <c r="ES55" s="370"/>
      <c r="ET55" s="370"/>
      <c r="EU55" s="370"/>
      <c r="EV55" s="370"/>
      <c r="EW55" s="370"/>
      <c r="EX55" s="370"/>
      <c r="EY55" s="370"/>
      <c r="EZ55" s="370"/>
      <c r="FA55" s="370"/>
      <c r="FB55" s="370"/>
      <c r="FC55" s="370"/>
      <c r="FD55" s="370"/>
      <c r="FE55" s="370"/>
      <c r="FF55" s="370"/>
      <c r="FG55" s="450">
        <v>1</v>
      </c>
      <c r="FH55" s="450">
        <v>1</v>
      </c>
      <c r="FI55" s="450">
        <v>1</v>
      </c>
      <c r="FJ55" s="450">
        <v>1</v>
      </c>
      <c r="FK55" s="370"/>
      <c r="FL55" s="370"/>
      <c r="FM55" s="370"/>
      <c r="FN55" s="370"/>
      <c r="FO55" s="370"/>
      <c r="FP55" s="370"/>
      <c r="FQ55" s="370"/>
      <c r="FR55" s="370"/>
      <c r="FS55" s="370"/>
      <c r="FT55" s="370"/>
      <c r="FU55" s="370"/>
      <c r="FV55" s="370"/>
      <c r="FW55" s="370"/>
      <c r="FX55" s="370"/>
      <c r="FY55" s="370"/>
      <c r="FZ55" s="370"/>
      <c r="GA55" s="370"/>
      <c r="GB55" s="370"/>
      <c r="GC55" s="370"/>
      <c r="GD55" s="370"/>
      <c r="GE55" s="370"/>
      <c r="GF55" s="370"/>
      <c r="GG55" s="370"/>
      <c r="GH55" s="370"/>
      <c r="GI55" s="370"/>
      <c r="GJ55" s="370"/>
      <c r="GK55" s="370"/>
      <c r="GL55" s="370"/>
      <c r="GM55" s="370"/>
      <c r="GN55" s="370"/>
      <c r="GO55" s="370"/>
      <c r="GP55" s="370"/>
      <c r="GQ55" s="370"/>
      <c r="GR55" s="370"/>
      <c r="GS55" s="370"/>
      <c r="GT55" s="370"/>
      <c r="GU55" s="370"/>
      <c r="GV55" s="370"/>
      <c r="GW55" s="370"/>
      <c r="GX55" s="370"/>
      <c r="GY55" s="370"/>
      <c r="GZ55" s="370"/>
      <c r="HA55" s="370"/>
      <c r="HB55" s="370"/>
      <c r="HC55" s="370"/>
      <c r="HD55" s="370"/>
      <c r="HE55" s="370"/>
      <c r="HF55" s="370"/>
      <c r="HG55" s="370"/>
      <c r="HH55" s="370"/>
    </row>
    <row r="56" spans="1:216" s="393" customFormat="1" ht="18" customHeight="1">
      <c r="A56" s="514"/>
      <c r="B56" s="314" t="s">
        <v>11119</v>
      </c>
      <c r="C56" s="382"/>
      <c r="D56" s="374"/>
      <c r="E56" s="394"/>
      <c r="F56" s="383"/>
      <c r="G56" s="370"/>
      <c r="H56" s="366"/>
      <c r="I56" s="382" t="s">
        <v>363</v>
      </c>
      <c r="J56" s="384">
        <v>1</v>
      </c>
      <c r="K56" s="352"/>
      <c r="L56" s="352"/>
      <c r="M56" s="358"/>
      <c r="N56" s="358"/>
      <c r="O56" s="397">
        <v>1</v>
      </c>
      <c r="P56" s="358"/>
      <c r="Q56" s="358"/>
      <c r="R56" s="397">
        <v>1</v>
      </c>
      <c r="S56" s="397">
        <v>1</v>
      </c>
      <c r="T56" s="384"/>
      <c r="U56" s="384"/>
      <c r="V56" s="384"/>
      <c r="W56" s="384"/>
      <c r="X56" s="397">
        <v>1</v>
      </c>
      <c r="Y56" s="384"/>
      <c r="Z56" s="384"/>
      <c r="AA56" s="384"/>
      <c r="AB56" s="384"/>
      <c r="AC56" s="384"/>
      <c r="AD56" s="384"/>
      <c r="AE56" s="384"/>
      <c r="AF56" s="384"/>
      <c r="AG56" s="384"/>
      <c r="AH56" s="384"/>
      <c r="AI56" s="384"/>
      <c r="AJ56" s="384"/>
      <c r="AK56" s="384"/>
      <c r="AL56" s="384"/>
      <c r="AM56" s="384"/>
      <c r="AN56" s="384"/>
      <c r="AO56" s="391"/>
      <c r="AP56" s="384"/>
      <c r="AQ56" s="384"/>
      <c r="AR56" s="384"/>
      <c r="AS56" s="384"/>
      <c r="AT56" s="384"/>
      <c r="AU56" s="384"/>
      <c r="AV56" s="384"/>
      <c r="AW56" s="384"/>
      <c r="AX56" s="384"/>
      <c r="AY56" s="384"/>
      <c r="AZ56" s="384"/>
      <c r="BA56" s="384"/>
      <c r="BB56" s="384"/>
      <c r="BC56" s="384"/>
      <c r="BD56" s="384"/>
      <c r="BE56" s="387"/>
      <c r="BF56" s="387"/>
      <c r="BG56" s="387"/>
      <c r="BH56" s="387"/>
      <c r="BI56" s="387"/>
      <c r="BJ56" s="387"/>
      <c r="BK56" s="387"/>
      <c r="BL56" s="387"/>
      <c r="BM56" s="387"/>
      <c r="BN56" s="387"/>
      <c r="BO56" s="387"/>
      <c r="BP56" s="387"/>
      <c r="BQ56" s="387"/>
      <c r="BR56" s="387"/>
      <c r="BS56" s="387"/>
      <c r="BT56" s="387"/>
      <c r="BU56" s="387"/>
      <c r="BV56" s="387"/>
      <c r="BW56" s="387"/>
      <c r="BX56" s="387"/>
      <c r="BY56" s="387"/>
      <c r="BZ56" s="387"/>
      <c r="CA56" s="387"/>
      <c r="CB56" s="387"/>
      <c r="CC56" s="387"/>
      <c r="CD56" s="387"/>
      <c r="CE56" s="387"/>
      <c r="CF56" s="387"/>
      <c r="CG56" s="387"/>
      <c r="CH56" s="387"/>
      <c r="CI56" s="387"/>
      <c r="CJ56" s="387"/>
      <c r="CK56" s="370"/>
      <c r="CL56" s="370"/>
      <c r="CM56" s="370"/>
      <c r="CN56" s="370"/>
      <c r="CO56" s="370"/>
      <c r="CP56" s="370"/>
      <c r="CQ56" s="370"/>
      <c r="CR56" s="390"/>
      <c r="CS56" s="390"/>
      <c r="CT56" s="370"/>
      <c r="CU56" s="370"/>
      <c r="CV56" s="370"/>
      <c r="CW56" s="370"/>
      <c r="CX56" s="370"/>
      <c r="CY56" s="370"/>
      <c r="CZ56" s="370"/>
      <c r="DA56" s="370"/>
      <c r="DB56" s="370"/>
      <c r="DC56" s="370"/>
      <c r="DD56" s="370"/>
      <c r="DE56" s="370"/>
      <c r="DF56" s="370"/>
      <c r="DG56" s="370"/>
      <c r="DH56" s="370"/>
      <c r="DI56" s="450">
        <v>1</v>
      </c>
      <c r="DJ56" s="370"/>
      <c r="DL56" s="383"/>
      <c r="DM56" s="383"/>
      <c r="DN56" s="383"/>
      <c r="DO56" s="370"/>
      <c r="DP56" s="370"/>
      <c r="DQ56" s="370"/>
      <c r="DR56" s="370"/>
      <c r="DS56" s="383"/>
      <c r="DT56" s="383"/>
      <c r="DU56" s="384"/>
      <c r="DV56" s="384"/>
      <c r="DW56" s="370"/>
      <c r="DX56" s="384"/>
      <c r="DY56" s="384"/>
      <c r="DZ56" s="370"/>
      <c r="EA56" s="370"/>
      <c r="EB56" s="390"/>
      <c r="EC56" s="390"/>
      <c r="ED56" s="370"/>
      <c r="EE56" s="370"/>
      <c r="EF56" s="370"/>
      <c r="EG56" s="370"/>
      <c r="EH56" s="370"/>
      <c r="EI56" s="370"/>
      <c r="EJ56" s="370"/>
      <c r="EK56" s="370"/>
      <c r="EL56" s="370"/>
      <c r="EM56" s="370"/>
      <c r="EN56" s="370"/>
      <c r="EO56" s="370"/>
      <c r="EP56" s="370"/>
      <c r="EQ56" s="370"/>
      <c r="ER56" s="370"/>
      <c r="ES56" s="370"/>
      <c r="ET56" s="370"/>
      <c r="EU56" s="370"/>
      <c r="EV56" s="370"/>
      <c r="EW56" s="370"/>
      <c r="EX56" s="370"/>
      <c r="EY56" s="370"/>
      <c r="EZ56" s="370"/>
      <c r="FA56" s="370"/>
      <c r="FB56" s="370"/>
      <c r="FC56" s="370"/>
      <c r="FD56" s="370"/>
      <c r="FE56" s="370"/>
      <c r="FF56" s="450">
        <v>1</v>
      </c>
      <c r="FG56" s="370"/>
      <c r="FH56" s="370"/>
      <c r="FI56" s="654"/>
      <c r="FJ56" s="370"/>
      <c r="FK56" s="370"/>
      <c r="FL56" s="370"/>
      <c r="FM56" s="370"/>
      <c r="FN56" s="370"/>
      <c r="FO56" s="370"/>
      <c r="FP56" s="370"/>
      <c r="FQ56" s="370"/>
      <c r="FR56" s="370"/>
      <c r="FS56" s="370"/>
      <c r="FT56" s="370"/>
      <c r="FU56" s="370"/>
      <c r="FV56" s="370"/>
      <c r="FW56" s="370"/>
      <c r="FX56" s="370"/>
      <c r="FY56" s="370"/>
      <c r="FZ56" s="370"/>
      <c r="GA56" s="370"/>
      <c r="GB56" s="370"/>
      <c r="GC56" s="370"/>
      <c r="GD56" s="370"/>
      <c r="GE56" s="370"/>
      <c r="GF56" s="370"/>
      <c r="GG56" s="370"/>
      <c r="GH56" s="370"/>
      <c r="GI56" s="370"/>
      <c r="GJ56" s="370"/>
      <c r="GK56" s="370"/>
      <c r="GL56" s="370"/>
      <c r="GM56" s="370"/>
      <c r="GN56" s="370"/>
      <c r="GO56" s="370"/>
      <c r="GP56" s="370"/>
      <c r="GQ56" s="370"/>
      <c r="GR56" s="370"/>
      <c r="GS56" s="370"/>
      <c r="GT56" s="370"/>
      <c r="GU56" s="370"/>
      <c r="GV56" s="370"/>
      <c r="GW56" s="370"/>
      <c r="GX56" s="370"/>
      <c r="GY56" s="370"/>
      <c r="GZ56" s="370"/>
      <c r="HA56" s="370"/>
      <c r="HB56" s="370"/>
      <c r="HC56" s="370"/>
      <c r="HD56" s="370"/>
      <c r="HE56" s="370"/>
      <c r="HF56" s="370"/>
      <c r="HG56" s="370"/>
      <c r="HH56" s="370"/>
    </row>
    <row r="57" spans="1:216" s="393" customFormat="1" ht="18" customHeight="1">
      <c r="A57" s="514"/>
      <c r="B57" s="314" t="s">
        <v>11744</v>
      </c>
      <c r="C57" s="382"/>
      <c r="D57" s="374"/>
      <c r="E57" s="394"/>
      <c r="F57" s="383"/>
      <c r="G57" s="370"/>
      <c r="H57" s="366"/>
      <c r="I57" s="382"/>
      <c r="J57" s="650">
        <v>1</v>
      </c>
      <c r="K57" s="649"/>
      <c r="L57" s="649"/>
      <c r="M57" s="358"/>
      <c r="N57" s="358"/>
      <c r="O57" s="397">
        <v>1</v>
      </c>
      <c r="P57" s="358"/>
      <c r="Q57" s="358"/>
      <c r="R57" s="397">
        <v>1</v>
      </c>
      <c r="S57" s="397">
        <v>1</v>
      </c>
      <c r="T57" s="650"/>
      <c r="U57" s="650"/>
      <c r="V57" s="650"/>
      <c r="W57" s="650"/>
      <c r="X57" s="397">
        <v>1</v>
      </c>
      <c r="Y57" s="650"/>
      <c r="Z57" s="650"/>
      <c r="AA57" s="650"/>
      <c r="AB57" s="650"/>
      <c r="AC57" s="650"/>
      <c r="AD57" s="650"/>
      <c r="AE57" s="650"/>
      <c r="AF57" s="650"/>
      <c r="AG57" s="650"/>
      <c r="AH57" s="650"/>
      <c r="AI57" s="650"/>
      <c r="AJ57" s="650"/>
      <c r="AK57" s="650"/>
      <c r="AL57" s="650"/>
      <c r="AM57" s="650"/>
      <c r="AN57" s="650"/>
      <c r="AO57" s="391"/>
      <c r="AP57" s="650"/>
      <c r="AQ57" s="650"/>
      <c r="AR57" s="650"/>
      <c r="AS57" s="650"/>
      <c r="AT57" s="650"/>
      <c r="AU57" s="650"/>
      <c r="AV57" s="650"/>
      <c r="AW57" s="650"/>
      <c r="AX57" s="650"/>
      <c r="AY57" s="650"/>
      <c r="AZ57" s="650"/>
      <c r="BA57" s="650"/>
      <c r="BB57" s="650"/>
      <c r="BC57" s="650"/>
      <c r="BD57" s="650"/>
      <c r="BE57" s="387"/>
      <c r="BF57" s="387"/>
      <c r="BG57" s="387"/>
      <c r="BH57" s="387"/>
      <c r="BI57" s="387"/>
      <c r="BJ57" s="387"/>
      <c r="BK57" s="387"/>
      <c r="BL57" s="387"/>
      <c r="BM57" s="387"/>
      <c r="BN57" s="387"/>
      <c r="BO57" s="387"/>
      <c r="BP57" s="387"/>
      <c r="BQ57" s="387"/>
      <c r="BR57" s="387"/>
      <c r="BS57" s="387"/>
      <c r="BT57" s="387"/>
      <c r="BU57" s="387"/>
      <c r="BV57" s="387"/>
      <c r="BW57" s="387"/>
      <c r="BX57" s="387"/>
      <c r="BY57" s="387"/>
      <c r="BZ57" s="387"/>
      <c r="CA57" s="387"/>
      <c r="CB57" s="387"/>
      <c r="CC57" s="387"/>
      <c r="CD57" s="387"/>
      <c r="CE57" s="387"/>
      <c r="CF57" s="387"/>
      <c r="CG57" s="387"/>
      <c r="CH57" s="387"/>
      <c r="CI57" s="387"/>
      <c r="CJ57" s="387"/>
      <c r="CK57" s="370"/>
      <c r="CL57" s="370"/>
      <c r="CM57" s="370"/>
      <c r="CN57" s="370"/>
      <c r="CO57" s="370"/>
      <c r="CP57" s="370"/>
      <c r="CQ57" s="370"/>
      <c r="CR57" s="390"/>
      <c r="CS57" s="390"/>
      <c r="CT57" s="370"/>
      <c r="CU57" s="370"/>
      <c r="CV57" s="370"/>
      <c r="CW57" s="370"/>
      <c r="CX57" s="370"/>
      <c r="CY57" s="370"/>
      <c r="CZ57" s="370"/>
      <c r="DA57" s="370"/>
      <c r="DB57" s="370"/>
      <c r="DC57" s="370"/>
      <c r="DD57" s="370"/>
      <c r="DE57" s="370"/>
      <c r="DF57" s="370"/>
      <c r="DG57" s="370"/>
      <c r="DH57" s="370"/>
      <c r="DJ57" s="450">
        <v>1</v>
      </c>
      <c r="DK57" s="450">
        <v>1</v>
      </c>
      <c r="DL57" s="383"/>
      <c r="DM57" s="383"/>
      <c r="DN57" s="383"/>
      <c r="DO57" s="370"/>
      <c r="DP57" s="370"/>
      <c r="DQ57" s="370"/>
      <c r="DR57" s="370"/>
      <c r="DS57" s="383"/>
      <c r="DT57" s="383"/>
      <c r="DU57" s="650"/>
      <c r="DV57" s="650"/>
      <c r="DW57" s="370"/>
      <c r="DX57" s="650"/>
      <c r="DY57" s="650"/>
      <c r="DZ57" s="370"/>
      <c r="EA57" s="370"/>
      <c r="EB57" s="390"/>
      <c r="EC57" s="390"/>
      <c r="ED57" s="370"/>
      <c r="EE57" s="370"/>
      <c r="EF57" s="370"/>
      <c r="EG57" s="370"/>
      <c r="EH57" s="370"/>
      <c r="EI57" s="370"/>
      <c r="EJ57" s="370"/>
      <c r="EK57" s="370"/>
      <c r="EL57" s="370"/>
      <c r="EM57" s="370"/>
      <c r="EN57" s="370"/>
      <c r="EO57" s="370"/>
      <c r="EP57" s="370"/>
      <c r="EQ57" s="370"/>
      <c r="ER57" s="370"/>
      <c r="ES57" s="370"/>
      <c r="ET57" s="370"/>
      <c r="EU57" s="370"/>
      <c r="EV57" s="370"/>
      <c r="EW57" s="370"/>
      <c r="EX57" s="370"/>
      <c r="EY57" s="370"/>
      <c r="EZ57" s="370"/>
      <c r="FA57" s="370"/>
      <c r="FB57" s="370"/>
      <c r="FC57" s="370"/>
      <c r="FD57" s="370"/>
      <c r="FE57" s="370"/>
      <c r="FG57" s="450">
        <v>1</v>
      </c>
      <c r="FH57" s="450">
        <v>1</v>
      </c>
      <c r="FI57" s="450">
        <v>1</v>
      </c>
      <c r="FJ57" s="450">
        <v>1</v>
      </c>
      <c r="FK57" s="370"/>
      <c r="FL57" s="370"/>
      <c r="FM57" s="370"/>
      <c r="FN57" s="370"/>
      <c r="FO57" s="370"/>
      <c r="FP57" s="370"/>
      <c r="FQ57" s="370"/>
      <c r="FR57" s="370"/>
      <c r="FS57" s="370"/>
      <c r="FT57" s="370"/>
      <c r="FU57" s="370"/>
      <c r="FV57" s="370"/>
      <c r="FW57" s="370"/>
      <c r="FX57" s="370"/>
      <c r="FY57" s="370"/>
      <c r="FZ57" s="370"/>
      <c r="GA57" s="370"/>
      <c r="GB57" s="370"/>
      <c r="GC57" s="370"/>
      <c r="GD57" s="370"/>
      <c r="GE57" s="370"/>
      <c r="GF57" s="370"/>
      <c r="GG57" s="370"/>
      <c r="GH57" s="370"/>
      <c r="GI57" s="370"/>
      <c r="GJ57" s="370"/>
      <c r="GK57" s="370"/>
      <c r="GL57" s="370"/>
      <c r="GM57" s="370"/>
      <c r="GN57" s="370"/>
      <c r="GO57" s="370"/>
      <c r="GP57" s="370"/>
      <c r="GQ57" s="370"/>
      <c r="GR57" s="370"/>
      <c r="GS57" s="370"/>
      <c r="GT57" s="370"/>
      <c r="GU57" s="370"/>
      <c r="GV57" s="370"/>
      <c r="GW57" s="370"/>
      <c r="GX57" s="370"/>
      <c r="GY57" s="370"/>
      <c r="GZ57" s="370"/>
      <c r="HA57" s="370"/>
      <c r="HB57" s="370"/>
      <c r="HC57" s="370"/>
      <c r="HD57" s="370"/>
      <c r="HE57" s="370"/>
      <c r="HF57" s="370"/>
      <c r="HG57" s="370"/>
      <c r="HH57" s="370"/>
    </row>
    <row r="58" spans="1:216" s="393" customFormat="1" ht="18" customHeight="1">
      <c r="A58" s="514"/>
      <c r="B58" s="314" t="s">
        <v>11745</v>
      </c>
      <c r="C58" s="382"/>
      <c r="D58" s="374"/>
      <c r="E58" s="394"/>
      <c r="F58" s="383"/>
      <c r="G58" s="370"/>
      <c r="H58" s="366"/>
      <c r="I58" s="382" t="s">
        <v>363</v>
      </c>
      <c r="J58" s="650">
        <v>1</v>
      </c>
      <c r="K58" s="649"/>
      <c r="L58" s="649"/>
      <c r="M58" s="358"/>
      <c r="N58" s="358"/>
      <c r="O58" s="397">
        <v>1</v>
      </c>
      <c r="P58" s="358"/>
      <c r="Q58" s="358"/>
      <c r="R58" s="397">
        <v>1</v>
      </c>
      <c r="S58" s="397">
        <v>1</v>
      </c>
      <c r="T58" s="650"/>
      <c r="U58" s="650"/>
      <c r="V58" s="650"/>
      <c r="W58" s="650"/>
      <c r="X58" s="397">
        <v>1</v>
      </c>
      <c r="Y58" s="650"/>
      <c r="Z58" s="650"/>
      <c r="AA58" s="650"/>
      <c r="AB58" s="650"/>
      <c r="AC58" s="650"/>
      <c r="AD58" s="650"/>
      <c r="AE58" s="650"/>
      <c r="AF58" s="650"/>
      <c r="AG58" s="650"/>
      <c r="AH58" s="650"/>
      <c r="AI58" s="650"/>
      <c r="AJ58" s="650"/>
      <c r="AK58" s="650"/>
      <c r="AL58" s="650"/>
      <c r="AM58" s="650"/>
      <c r="AN58" s="650"/>
      <c r="AO58" s="391"/>
      <c r="AP58" s="650"/>
      <c r="AQ58" s="650"/>
      <c r="AR58" s="650"/>
      <c r="AS58" s="650"/>
      <c r="AT58" s="650"/>
      <c r="AU58" s="650"/>
      <c r="AV58" s="650"/>
      <c r="AW58" s="650"/>
      <c r="AX58" s="650"/>
      <c r="AY58" s="650"/>
      <c r="AZ58" s="650"/>
      <c r="BA58" s="650"/>
      <c r="BB58" s="650"/>
      <c r="BC58" s="650"/>
      <c r="BD58" s="650"/>
      <c r="BE58" s="387"/>
      <c r="BF58" s="387"/>
      <c r="BG58" s="387"/>
      <c r="BH58" s="387"/>
      <c r="BI58" s="387"/>
      <c r="BJ58" s="387"/>
      <c r="BK58" s="387"/>
      <c r="BL58" s="387"/>
      <c r="BM58" s="387"/>
      <c r="BN58" s="387"/>
      <c r="BO58" s="387"/>
      <c r="BP58" s="387"/>
      <c r="BQ58" s="387"/>
      <c r="BR58" s="387"/>
      <c r="BS58" s="387"/>
      <c r="BT58" s="387"/>
      <c r="BU58" s="387"/>
      <c r="BV58" s="387"/>
      <c r="BW58" s="387"/>
      <c r="BX58" s="387"/>
      <c r="BY58" s="387"/>
      <c r="BZ58" s="387"/>
      <c r="CA58" s="387"/>
      <c r="CB58" s="387"/>
      <c r="CC58" s="387"/>
      <c r="CD58" s="387"/>
      <c r="CE58" s="387"/>
      <c r="CF58" s="387"/>
      <c r="CG58" s="387"/>
      <c r="CH58" s="387"/>
      <c r="CI58" s="387"/>
      <c r="CJ58" s="387"/>
      <c r="CK58" s="370"/>
      <c r="CL58" s="370"/>
      <c r="CM58" s="370"/>
      <c r="CN58" s="370"/>
      <c r="CO58" s="370"/>
      <c r="CP58" s="370"/>
      <c r="CQ58" s="370"/>
      <c r="CR58" s="390"/>
      <c r="CS58" s="390"/>
      <c r="CT58" s="370"/>
      <c r="CU58" s="370"/>
      <c r="CV58" s="370"/>
      <c r="CW58" s="370"/>
      <c r="CX58" s="370"/>
      <c r="CY58" s="370"/>
      <c r="CZ58" s="370"/>
      <c r="DA58" s="370"/>
      <c r="DB58" s="370"/>
      <c r="DC58" s="370"/>
      <c r="DD58" s="370"/>
      <c r="DE58" s="370"/>
      <c r="DF58" s="370"/>
      <c r="DG58" s="370"/>
      <c r="DH58" s="370"/>
      <c r="DJ58" s="450">
        <v>1</v>
      </c>
      <c r="DK58" s="450">
        <v>1</v>
      </c>
      <c r="DL58" s="383"/>
      <c r="DM58" s="383"/>
      <c r="DN58" s="383"/>
      <c r="DO58" s="370"/>
      <c r="DP58" s="370"/>
      <c r="DQ58" s="370"/>
      <c r="DR58" s="370"/>
      <c r="DS58" s="383"/>
      <c r="DT58" s="383"/>
      <c r="DU58" s="650"/>
      <c r="DV58" s="650"/>
      <c r="DW58" s="370"/>
      <c r="DX58" s="650"/>
      <c r="DY58" s="650"/>
      <c r="DZ58" s="370"/>
      <c r="EA58" s="370"/>
      <c r="EB58" s="390"/>
      <c r="EC58" s="390"/>
      <c r="ED58" s="370"/>
      <c r="EE58" s="370"/>
      <c r="EF58" s="370"/>
      <c r="EG58" s="370"/>
      <c r="EH58" s="370"/>
      <c r="EI58" s="370"/>
      <c r="EJ58" s="370"/>
      <c r="EK58" s="370"/>
      <c r="EL58" s="370"/>
      <c r="EM58" s="370"/>
      <c r="EN58" s="370"/>
      <c r="EO58" s="370"/>
      <c r="EP58" s="370"/>
      <c r="EQ58" s="370"/>
      <c r="ER58" s="370"/>
      <c r="ES58" s="370"/>
      <c r="ET58" s="370"/>
      <c r="EU58" s="370"/>
      <c r="EV58" s="370"/>
      <c r="EW58" s="370"/>
      <c r="EX58" s="370"/>
      <c r="EY58" s="370"/>
      <c r="EZ58" s="370"/>
      <c r="FA58" s="370"/>
      <c r="FB58" s="370"/>
      <c r="FC58" s="370"/>
      <c r="FD58" s="370"/>
      <c r="FE58" s="370"/>
      <c r="FF58" s="450">
        <v>1</v>
      </c>
      <c r="FG58" s="370"/>
      <c r="FH58" s="370"/>
      <c r="FI58" s="654"/>
      <c r="FJ58" s="370"/>
      <c r="FK58" s="370"/>
      <c r="FL58" s="370"/>
      <c r="FM58" s="370"/>
      <c r="FN58" s="370"/>
      <c r="FO58" s="370"/>
      <c r="FP58" s="370"/>
      <c r="FQ58" s="370"/>
      <c r="FR58" s="370"/>
      <c r="FS58" s="370"/>
      <c r="FT58" s="370"/>
      <c r="FU58" s="370"/>
      <c r="FV58" s="370"/>
      <c r="FW58" s="370"/>
      <c r="FX58" s="370"/>
      <c r="FY58" s="370"/>
      <c r="FZ58" s="370"/>
      <c r="GA58" s="370"/>
      <c r="GB58" s="370"/>
      <c r="GC58" s="370"/>
      <c r="GD58" s="370"/>
      <c r="GE58" s="370"/>
      <c r="GF58" s="370"/>
      <c r="GG58" s="370"/>
      <c r="GH58" s="370"/>
      <c r="GI58" s="370"/>
      <c r="GJ58" s="370"/>
      <c r="GK58" s="370"/>
      <c r="GL58" s="370"/>
      <c r="GM58" s="370"/>
      <c r="GN58" s="370"/>
      <c r="GO58" s="370"/>
      <c r="GP58" s="370"/>
      <c r="GQ58" s="370"/>
      <c r="GR58" s="370"/>
      <c r="GS58" s="370"/>
      <c r="GT58" s="370"/>
      <c r="GU58" s="370"/>
      <c r="GV58" s="370"/>
      <c r="GW58" s="370"/>
      <c r="GX58" s="370"/>
      <c r="GY58" s="370"/>
      <c r="GZ58" s="370"/>
      <c r="HA58" s="370"/>
      <c r="HB58" s="370"/>
      <c r="HC58" s="370"/>
      <c r="HD58" s="370"/>
      <c r="HE58" s="370"/>
      <c r="HF58" s="370"/>
      <c r="HG58" s="370"/>
      <c r="HH58" s="370"/>
    </row>
    <row r="59" spans="1:216" ht="18" customHeight="1">
      <c r="A59" s="395"/>
      <c r="B59" s="314" t="s">
        <v>9919</v>
      </c>
      <c r="C59" s="396"/>
      <c r="D59" s="317" t="s">
        <v>9920</v>
      </c>
      <c r="E59" s="317"/>
      <c r="F59" s="383"/>
      <c r="G59" s="383"/>
      <c r="H59" s="370"/>
      <c r="I59" s="317"/>
      <c r="J59" s="384">
        <v>1</v>
      </c>
      <c r="K59" s="384"/>
      <c r="L59" s="384"/>
      <c r="M59" s="384"/>
      <c r="N59" s="397">
        <v>1</v>
      </c>
      <c r="O59" s="397">
        <v>1</v>
      </c>
      <c r="P59" s="384"/>
      <c r="Q59" s="384"/>
      <c r="R59" s="397">
        <v>1</v>
      </c>
      <c r="S59" s="397">
        <v>1</v>
      </c>
      <c r="T59" s="384"/>
      <c r="U59" s="384"/>
      <c r="V59" s="384"/>
      <c r="W59" s="384"/>
      <c r="X59" s="397">
        <v>1</v>
      </c>
      <c r="Y59" s="384"/>
      <c r="Z59" s="384"/>
      <c r="AA59" s="384"/>
      <c r="AB59" s="384"/>
      <c r="AC59" s="384"/>
      <c r="AD59" s="384"/>
      <c r="AE59" s="384"/>
      <c r="AF59" s="384"/>
      <c r="AG59" s="384"/>
      <c r="AH59" s="384"/>
      <c r="AI59" s="384"/>
      <c r="AJ59" s="384"/>
      <c r="AK59" s="384"/>
      <c r="AL59" s="384"/>
      <c r="AM59" s="384"/>
      <c r="AN59" s="384"/>
      <c r="AO59" s="391"/>
      <c r="AP59" s="315"/>
      <c r="AQ59" s="315"/>
      <c r="AR59" s="315"/>
      <c r="AS59" s="315"/>
      <c r="AT59" s="315"/>
      <c r="AU59" s="315"/>
      <c r="AV59" s="315"/>
      <c r="AW59" s="315"/>
      <c r="AX59" s="315"/>
      <c r="AY59" s="315"/>
      <c r="AZ59" s="315"/>
      <c r="BA59" s="315"/>
      <c r="BB59" s="315"/>
      <c r="BC59" s="315"/>
      <c r="BD59" s="315"/>
      <c r="BE59" s="387"/>
      <c r="BF59" s="387"/>
      <c r="BG59" s="387"/>
      <c r="BH59" s="387"/>
      <c r="BI59" s="387"/>
      <c r="BJ59" s="387"/>
      <c r="BK59" s="387"/>
      <c r="BL59" s="387"/>
      <c r="BM59" s="387"/>
      <c r="BN59" s="387"/>
      <c r="BO59" s="387"/>
      <c r="BP59" s="387"/>
      <c r="BQ59" s="387"/>
      <c r="BR59" s="387"/>
      <c r="BS59" s="387"/>
      <c r="BT59" s="387"/>
      <c r="BU59" s="387"/>
      <c r="BV59" s="387"/>
      <c r="BW59" s="387"/>
      <c r="BX59" s="387"/>
      <c r="BY59" s="387"/>
      <c r="BZ59" s="387"/>
      <c r="CA59" s="387"/>
      <c r="CB59" s="387"/>
      <c r="CC59" s="387"/>
      <c r="CD59" s="387"/>
      <c r="CE59" s="387"/>
      <c r="CF59" s="387"/>
      <c r="CG59" s="387"/>
      <c r="CH59" s="387"/>
      <c r="CI59" s="387"/>
      <c r="CJ59" s="387"/>
      <c r="CK59" s="383"/>
      <c r="CL59" s="383"/>
      <c r="CM59" s="383"/>
      <c r="CN59" s="383"/>
      <c r="CO59" s="383"/>
      <c r="CP59" s="383"/>
      <c r="CQ59" s="383"/>
      <c r="CR59" s="390"/>
      <c r="CS59" s="390"/>
      <c r="CT59" s="383"/>
      <c r="CU59" s="383"/>
      <c r="CV59" s="383"/>
      <c r="CW59" s="383"/>
      <c r="CX59" s="383"/>
      <c r="CY59" s="383"/>
      <c r="CZ59" s="383"/>
      <c r="DA59" s="383"/>
      <c r="DB59" s="383"/>
      <c r="DC59" s="383"/>
      <c r="DD59" s="383"/>
      <c r="DE59" s="383"/>
      <c r="DF59" s="383"/>
      <c r="DG59" s="383"/>
      <c r="DH59" s="383"/>
      <c r="DI59" s="383"/>
      <c r="DJ59" s="383"/>
      <c r="DK59" s="383"/>
      <c r="DL59" s="383"/>
      <c r="DM59" s="383"/>
      <c r="DN59" s="383"/>
      <c r="DO59" s="383"/>
      <c r="DP59" s="383"/>
      <c r="DQ59" s="383"/>
      <c r="DR59" s="383"/>
      <c r="DS59" s="370"/>
      <c r="DT59" s="370"/>
      <c r="DU59" s="384"/>
      <c r="DV59" s="384"/>
      <c r="DW59" s="383"/>
      <c r="DX59" s="315"/>
      <c r="DY59" s="315"/>
      <c r="DZ59" s="383"/>
      <c r="EA59" s="383"/>
      <c r="EB59" s="390"/>
      <c r="EC59" s="390"/>
      <c r="ED59" s="383"/>
      <c r="EE59" s="383"/>
      <c r="EF59" s="383"/>
      <c r="EG59" s="383"/>
      <c r="EH59" s="383"/>
      <c r="EI59" s="383"/>
      <c r="EJ59" s="383"/>
      <c r="EK59" s="383"/>
      <c r="EL59" s="383"/>
      <c r="EM59" s="383"/>
      <c r="EN59" s="370"/>
      <c r="EO59" s="370"/>
      <c r="EP59" s="370"/>
      <c r="EQ59" s="370"/>
      <c r="ER59" s="370"/>
      <c r="ES59" s="370"/>
      <c r="ET59" s="383"/>
      <c r="EU59" s="383"/>
      <c r="EV59" s="383"/>
      <c r="EW59" s="383"/>
      <c r="EX59" s="383"/>
      <c r="EY59" s="383"/>
      <c r="EZ59" s="383"/>
      <c r="FA59" s="383"/>
      <c r="FB59" s="383"/>
      <c r="FC59" s="383"/>
      <c r="FD59" s="383"/>
      <c r="FE59" s="383"/>
      <c r="FF59" s="450">
        <v>1</v>
      </c>
      <c r="FG59" s="450">
        <v>1</v>
      </c>
      <c r="FH59" s="450">
        <v>1</v>
      </c>
      <c r="FI59" s="450">
        <v>1</v>
      </c>
      <c r="FJ59" s="450">
        <v>1</v>
      </c>
      <c r="FK59" s="383"/>
      <c r="FL59" s="383"/>
      <c r="FM59" s="383"/>
      <c r="FN59" s="383"/>
      <c r="FO59" s="383"/>
      <c r="FP59" s="383"/>
      <c r="FQ59" s="383"/>
      <c r="FR59" s="383"/>
      <c r="FS59" s="383"/>
      <c r="FT59" s="383"/>
      <c r="FU59" s="383"/>
      <c r="FV59" s="383"/>
      <c r="FW59" s="383"/>
      <c r="FX59" s="383"/>
      <c r="FY59" s="383"/>
      <c r="FZ59" s="383"/>
      <c r="GA59" s="383"/>
      <c r="GB59" s="383"/>
      <c r="GC59" s="383"/>
      <c r="GD59" s="383"/>
      <c r="GE59" s="383"/>
      <c r="GF59" s="383"/>
      <c r="GG59" s="383"/>
      <c r="GH59" s="383"/>
      <c r="GI59" s="383"/>
      <c r="GJ59" s="383"/>
      <c r="GK59" s="383"/>
      <c r="GL59" s="383"/>
      <c r="GM59" s="383"/>
      <c r="GN59" s="383"/>
      <c r="GO59" s="383"/>
      <c r="GP59" s="383"/>
      <c r="GQ59" s="383"/>
      <c r="GR59" s="383"/>
      <c r="GS59" s="383"/>
      <c r="GT59" s="383"/>
      <c r="GU59" s="383"/>
      <c r="GV59" s="383"/>
      <c r="GW59" s="383"/>
      <c r="GX59" s="383"/>
      <c r="GY59" s="383"/>
      <c r="GZ59" s="383"/>
      <c r="HA59" s="383"/>
      <c r="HB59" s="383"/>
      <c r="HC59" s="383"/>
      <c r="HD59" s="383"/>
      <c r="HE59" s="383"/>
      <c r="HF59" s="383"/>
      <c r="HG59" s="383"/>
      <c r="HH59" s="383"/>
    </row>
    <row r="60" spans="1:216" ht="18" customHeight="1">
      <c r="A60" s="395"/>
      <c r="B60" s="314" t="s">
        <v>11086</v>
      </c>
      <c r="C60" s="396"/>
      <c r="D60" s="317" t="s">
        <v>10654</v>
      </c>
      <c r="E60" s="317"/>
      <c r="F60" s="383"/>
      <c r="G60" s="383"/>
      <c r="H60" s="370"/>
      <c r="I60" s="317"/>
      <c r="J60" s="384">
        <v>1</v>
      </c>
      <c r="K60" s="384"/>
      <c r="L60" s="384"/>
      <c r="M60" s="397">
        <v>1</v>
      </c>
      <c r="N60" s="384"/>
      <c r="O60" s="384"/>
      <c r="P60" s="384"/>
      <c r="Q60" s="384"/>
      <c r="R60" s="397">
        <v>1</v>
      </c>
      <c r="S60" s="397">
        <v>1</v>
      </c>
      <c r="T60" s="384"/>
      <c r="U60" s="384"/>
      <c r="V60" s="384"/>
      <c r="W60" s="384"/>
      <c r="X60" s="397">
        <v>1</v>
      </c>
      <c r="Y60" s="384"/>
      <c r="Z60" s="384"/>
      <c r="AA60" s="384"/>
      <c r="AB60" s="384"/>
      <c r="AC60" s="384"/>
      <c r="AD60" s="384"/>
      <c r="AE60" s="384"/>
      <c r="AF60" s="384"/>
      <c r="AG60" s="384"/>
      <c r="AH60" s="384"/>
      <c r="AI60" s="384"/>
      <c r="AJ60" s="397">
        <v>1</v>
      </c>
      <c r="AK60" s="384"/>
      <c r="AL60" s="384"/>
      <c r="AM60" s="384"/>
      <c r="AN60" s="384"/>
      <c r="AO60" s="391"/>
      <c r="AP60" s="315"/>
      <c r="AQ60" s="315"/>
      <c r="AR60" s="315"/>
      <c r="AS60" s="315"/>
      <c r="AT60" s="315"/>
      <c r="AU60" s="315"/>
      <c r="AV60" s="315"/>
      <c r="AW60" s="315"/>
      <c r="AX60" s="315"/>
      <c r="AY60" s="315"/>
      <c r="AZ60" s="315"/>
      <c r="BA60" s="315"/>
      <c r="BB60" s="315"/>
      <c r="BC60" s="315"/>
      <c r="BD60" s="315"/>
      <c r="BE60" s="387"/>
      <c r="BF60" s="387"/>
      <c r="BG60" s="387"/>
      <c r="BH60" s="387"/>
      <c r="BI60" s="387"/>
      <c r="BJ60" s="387"/>
      <c r="BK60" s="387"/>
      <c r="BL60" s="387"/>
      <c r="BM60" s="387"/>
      <c r="BN60" s="387"/>
      <c r="BO60" s="387"/>
      <c r="BP60" s="387"/>
      <c r="BQ60" s="387"/>
      <c r="BR60" s="387"/>
      <c r="BS60" s="387"/>
      <c r="BT60" s="387"/>
      <c r="BU60" s="387"/>
      <c r="BV60" s="387"/>
      <c r="BW60" s="387"/>
      <c r="BX60" s="387"/>
      <c r="BY60" s="387"/>
      <c r="BZ60" s="387"/>
      <c r="CA60" s="387"/>
      <c r="CB60" s="387"/>
      <c r="CC60" s="387"/>
      <c r="CD60" s="387"/>
      <c r="CE60" s="387"/>
      <c r="CF60" s="387"/>
      <c r="CG60" s="387"/>
      <c r="CH60" s="387"/>
      <c r="CI60" s="387"/>
      <c r="CJ60" s="387"/>
      <c r="CK60" s="383"/>
      <c r="CL60" s="383"/>
      <c r="CM60" s="383"/>
      <c r="CN60" s="383"/>
      <c r="CO60" s="383"/>
      <c r="CP60" s="383"/>
      <c r="CQ60" s="383"/>
      <c r="CR60" s="390"/>
      <c r="CS60" s="390"/>
      <c r="CT60" s="383"/>
      <c r="CU60" s="383"/>
      <c r="CV60" s="383"/>
      <c r="CW60" s="383"/>
      <c r="CX60" s="383"/>
      <c r="CY60" s="383"/>
      <c r="CZ60" s="383"/>
      <c r="DA60" s="383"/>
      <c r="DB60" s="383"/>
      <c r="DC60" s="383"/>
      <c r="DD60" s="383"/>
      <c r="DE60" s="383"/>
      <c r="DF60" s="383"/>
      <c r="DG60" s="383"/>
      <c r="DH60" s="383"/>
      <c r="DI60" s="383"/>
      <c r="DJ60" s="383"/>
      <c r="DK60" s="383"/>
      <c r="DL60" s="383"/>
      <c r="DM60" s="383"/>
      <c r="DN60" s="383"/>
      <c r="DO60" s="383"/>
      <c r="DP60" s="383"/>
      <c r="DQ60" s="383"/>
      <c r="DR60" s="383"/>
      <c r="DS60" s="370"/>
      <c r="DT60" s="370"/>
      <c r="DU60" s="384"/>
      <c r="DV60" s="384"/>
      <c r="DW60" s="383"/>
      <c r="DX60" s="315"/>
      <c r="DY60" s="315"/>
      <c r="DZ60" s="383"/>
      <c r="EA60" s="383"/>
      <c r="EB60" s="390"/>
      <c r="EC60" s="390"/>
      <c r="ED60" s="383"/>
      <c r="EE60" s="383"/>
      <c r="EF60" s="383"/>
      <c r="EG60" s="383"/>
      <c r="EH60" s="383"/>
      <c r="EI60" s="383"/>
      <c r="EJ60" s="383"/>
      <c r="EK60" s="383"/>
      <c r="EL60" s="383"/>
      <c r="EM60" s="383"/>
      <c r="EN60" s="370"/>
      <c r="EO60" s="370"/>
      <c r="EP60" s="370"/>
      <c r="EQ60" s="370"/>
      <c r="ER60" s="370"/>
      <c r="ES60" s="370"/>
      <c r="ET60" s="383"/>
      <c r="EU60" s="383"/>
      <c r="EV60" s="383"/>
      <c r="EW60" s="383"/>
      <c r="EX60" s="383"/>
      <c r="EY60" s="383"/>
      <c r="EZ60" s="383"/>
      <c r="FA60" s="383"/>
      <c r="FB60" s="383"/>
      <c r="FC60" s="383"/>
      <c r="FD60" s="383"/>
      <c r="FE60" s="383"/>
      <c r="FF60" s="383"/>
      <c r="FG60" s="383"/>
      <c r="FH60" s="383"/>
      <c r="FI60" s="383"/>
      <c r="FJ60" s="383"/>
      <c r="FK60" s="383"/>
      <c r="FL60" s="383"/>
      <c r="FM60" s="383"/>
      <c r="FN60" s="383"/>
      <c r="FO60" s="383"/>
      <c r="FP60" s="383"/>
      <c r="FQ60" s="383"/>
      <c r="FR60" s="383"/>
      <c r="FS60" s="383"/>
      <c r="FT60" s="383"/>
      <c r="FU60" s="383"/>
      <c r="FV60" s="383"/>
      <c r="FW60" s="383"/>
      <c r="FX60" s="383"/>
      <c r="FY60" s="383"/>
      <c r="FZ60" s="383"/>
      <c r="GA60" s="383"/>
      <c r="GB60" s="383"/>
      <c r="GC60" s="383"/>
      <c r="GD60" s="383"/>
      <c r="GE60" s="383"/>
      <c r="GF60" s="383"/>
      <c r="GG60" s="383"/>
      <c r="GH60" s="383"/>
      <c r="GI60" s="383"/>
      <c r="GJ60" s="383"/>
      <c r="GK60" s="383"/>
      <c r="GL60" s="383"/>
      <c r="GM60" s="383"/>
      <c r="GN60" s="383"/>
      <c r="GO60" s="383"/>
      <c r="GP60" s="383"/>
      <c r="GQ60" s="383"/>
      <c r="GR60" s="383"/>
      <c r="GS60" s="383"/>
      <c r="GT60" s="383"/>
      <c r="GU60" s="383"/>
      <c r="GV60" s="383"/>
      <c r="GW60" s="383"/>
      <c r="GX60" s="383"/>
      <c r="GY60" s="383"/>
      <c r="GZ60" s="383"/>
      <c r="HA60" s="383"/>
      <c r="HB60" s="383"/>
      <c r="HC60" s="383"/>
      <c r="HD60" s="383"/>
      <c r="HE60" s="383"/>
      <c r="HF60" s="383"/>
      <c r="HG60" s="383"/>
      <c r="HH60" s="383"/>
    </row>
    <row r="61" spans="1:216" ht="18" customHeight="1">
      <c r="A61" s="395"/>
      <c r="B61" s="314" t="s">
        <v>8038</v>
      </c>
      <c r="C61" s="396"/>
      <c r="D61" s="317" t="s">
        <v>8038</v>
      </c>
      <c r="E61" s="317"/>
      <c r="F61" s="383"/>
      <c r="G61" s="383"/>
      <c r="H61" s="370"/>
      <c r="I61" s="317"/>
      <c r="J61" s="384">
        <v>1</v>
      </c>
      <c r="K61" s="384"/>
      <c r="L61" s="384"/>
      <c r="M61" s="397">
        <v>1</v>
      </c>
      <c r="N61" s="384"/>
      <c r="O61" s="384"/>
      <c r="P61" s="384"/>
      <c r="Q61" s="384"/>
      <c r="R61" s="397">
        <v>1</v>
      </c>
      <c r="S61" s="397">
        <v>1</v>
      </c>
      <c r="T61" s="384"/>
      <c r="U61" s="384"/>
      <c r="V61" s="384"/>
      <c r="W61" s="384"/>
      <c r="X61" s="397">
        <v>1</v>
      </c>
      <c r="Y61" s="384"/>
      <c r="Z61" s="384"/>
      <c r="AA61" s="384"/>
      <c r="AB61" s="384"/>
      <c r="AC61" s="384"/>
      <c r="AD61" s="384"/>
      <c r="AE61" s="384"/>
      <c r="AF61" s="384"/>
      <c r="AG61" s="384"/>
      <c r="AH61" s="384"/>
      <c r="AI61" s="384"/>
      <c r="AJ61" s="384"/>
      <c r="AK61" s="384"/>
      <c r="AL61" s="384"/>
      <c r="AM61" s="384"/>
      <c r="AN61" s="384"/>
      <c r="AO61" s="391"/>
      <c r="AP61" s="397">
        <v>1</v>
      </c>
      <c r="AQ61" s="315"/>
      <c r="AR61" s="315"/>
      <c r="AS61" s="315"/>
      <c r="AT61" s="315"/>
      <c r="AU61" s="315"/>
      <c r="AV61" s="315"/>
      <c r="AW61" s="315"/>
      <c r="AX61" s="315"/>
      <c r="AY61" s="315"/>
      <c r="AZ61" s="315"/>
      <c r="BA61" s="315"/>
      <c r="BB61" s="315"/>
      <c r="BC61" s="315"/>
      <c r="BD61" s="315"/>
      <c r="BE61" s="387"/>
      <c r="BF61" s="387"/>
      <c r="BG61" s="387"/>
      <c r="BH61" s="387"/>
      <c r="BI61" s="387"/>
      <c r="BJ61" s="387"/>
      <c r="BK61" s="387"/>
      <c r="BL61" s="387"/>
      <c r="BM61" s="387"/>
      <c r="BN61" s="387"/>
      <c r="BO61" s="387"/>
      <c r="BP61" s="387"/>
      <c r="BQ61" s="387"/>
      <c r="BR61" s="387"/>
      <c r="BS61" s="387"/>
      <c r="BT61" s="387"/>
      <c r="BU61" s="387"/>
      <c r="BV61" s="387"/>
      <c r="BW61" s="387"/>
      <c r="BX61" s="387"/>
      <c r="BY61" s="387"/>
      <c r="BZ61" s="387"/>
      <c r="CA61" s="387"/>
      <c r="CB61" s="387"/>
      <c r="CC61" s="387"/>
      <c r="CD61" s="387"/>
      <c r="CE61" s="387"/>
      <c r="CF61" s="387"/>
      <c r="CG61" s="387"/>
      <c r="CH61" s="387"/>
      <c r="CI61" s="387"/>
      <c r="CJ61" s="387"/>
      <c r="CK61" s="383"/>
      <c r="CL61" s="383"/>
      <c r="CM61" s="383"/>
      <c r="CN61" s="383"/>
      <c r="CO61" s="383"/>
      <c r="CP61" s="383"/>
      <c r="CQ61" s="383"/>
      <c r="CR61" s="390"/>
      <c r="CS61" s="390"/>
      <c r="CT61" s="383"/>
      <c r="CU61" s="383"/>
      <c r="CV61" s="383"/>
      <c r="CW61" s="383"/>
      <c r="CX61" s="383"/>
      <c r="CY61" s="383"/>
      <c r="CZ61" s="383"/>
      <c r="DA61" s="383"/>
      <c r="DB61" s="383"/>
      <c r="DC61" s="383"/>
      <c r="DD61" s="383"/>
      <c r="DE61" s="383"/>
      <c r="DF61" s="383"/>
      <c r="DG61" s="383"/>
      <c r="DH61" s="383"/>
      <c r="DI61" s="383"/>
      <c r="DJ61" s="383"/>
      <c r="DK61" s="383"/>
      <c r="DL61" s="383"/>
      <c r="DM61" s="383"/>
      <c r="DN61" s="383"/>
      <c r="DO61" s="383"/>
      <c r="DP61" s="383"/>
      <c r="DQ61" s="383"/>
      <c r="DR61" s="383"/>
      <c r="DS61" s="370"/>
      <c r="DT61" s="370"/>
      <c r="DU61" s="384"/>
      <c r="DV61" s="384"/>
      <c r="DW61" s="383"/>
      <c r="DX61" s="315"/>
      <c r="DY61" s="315"/>
      <c r="DZ61" s="383"/>
      <c r="EA61" s="383"/>
      <c r="EB61" s="390"/>
      <c r="EC61" s="390"/>
      <c r="ED61" s="383"/>
      <c r="EE61" s="383"/>
      <c r="EF61" s="383"/>
      <c r="EG61" s="383"/>
      <c r="EH61" s="383"/>
      <c r="EI61" s="383"/>
      <c r="EJ61" s="383"/>
      <c r="EK61" s="383"/>
      <c r="EL61" s="383"/>
      <c r="EM61" s="383"/>
      <c r="EN61" s="370"/>
      <c r="EO61" s="370"/>
      <c r="EP61" s="370"/>
      <c r="EQ61" s="370"/>
      <c r="ER61" s="370"/>
      <c r="ES61" s="370"/>
      <c r="ET61" s="383"/>
      <c r="EU61" s="383"/>
      <c r="EV61" s="383"/>
      <c r="EW61" s="383"/>
      <c r="EX61" s="383"/>
      <c r="EY61" s="383"/>
      <c r="EZ61" s="383"/>
      <c r="FA61" s="383"/>
      <c r="FB61" s="383"/>
      <c r="FC61" s="383"/>
      <c r="FD61" s="383"/>
      <c r="FE61" s="383"/>
      <c r="FF61" s="383"/>
      <c r="FG61" s="383"/>
      <c r="FH61" s="383"/>
      <c r="FI61" s="383"/>
      <c r="FJ61" s="383"/>
      <c r="FK61" s="383"/>
      <c r="FL61" s="383"/>
      <c r="FM61" s="383"/>
      <c r="FN61" s="383"/>
      <c r="FO61" s="383"/>
      <c r="FP61" s="383"/>
      <c r="FQ61" s="383"/>
      <c r="FR61" s="383"/>
      <c r="FS61" s="383"/>
      <c r="FT61" s="383"/>
      <c r="FU61" s="383"/>
      <c r="FV61" s="383"/>
      <c r="FW61" s="383"/>
      <c r="FX61" s="383"/>
      <c r="FY61" s="383"/>
      <c r="FZ61" s="383"/>
      <c r="GA61" s="383"/>
      <c r="GB61" s="383"/>
      <c r="GC61" s="383"/>
      <c r="GD61" s="383"/>
      <c r="GE61" s="383"/>
      <c r="GF61" s="383"/>
      <c r="GG61" s="383"/>
      <c r="GH61" s="383"/>
      <c r="GI61" s="383"/>
      <c r="GJ61" s="383"/>
      <c r="GK61" s="383"/>
      <c r="GL61" s="383"/>
      <c r="GM61" s="383"/>
      <c r="GN61" s="383"/>
      <c r="GO61" s="383"/>
      <c r="GP61" s="383"/>
      <c r="GQ61" s="383"/>
      <c r="GR61" s="383"/>
      <c r="GS61" s="383"/>
      <c r="GT61" s="383"/>
      <c r="GU61" s="383"/>
      <c r="GV61" s="383"/>
      <c r="GW61" s="383"/>
      <c r="GX61" s="383"/>
      <c r="GY61" s="383"/>
      <c r="GZ61" s="383"/>
      <c r="HA61" s="383"/>
      <c r="HB61" s="383"/>
      <c r="HC61" s="383"/>
      <c r="HD61" s="383"/>
      <c r="HE61" s="383"/>
      <c r="HF61" s="383"/>
      <c r="HG61" s="383"/>
      <c r="HH61" s="383"/>
    </row>
    <row r="62" spans="1:216" ht="18" customHeight="1">
      <c r="A62" s="395"/>
      <c r="B62" s="314" t="s">
        <v>8040</v>
      </c>
      <c r="C62" s="396"/>
      <c r="D62" s="317" t="s">
        <v>10655</v>
      </c>
      <c r="E62" s="317"/>
      <c r="F62" s="383"/>
      <c r="G62" s="383"/>
      <c r="H62" s="370"/>
      <c r="I62" s="317"/>
      <c r="J62" s="384">
        <v>1</v>
      </c>
      <c r="K62" s="384"/>
      <c r="L62" s="384"/>
      <c r="M62" s="397">
        <v>1</v>
      </c>
      <c r="N62" s="384"/>
      <c r="O62" s="384"/>
      <c r="P62" s="384"/>
      <c r="Q62" s="384"/>
      <c r="R62" s="397">
        <v>1</v>
      </c>
      <c r="S62" s="397">
        <v>1</v>
      </c>
      <c r="T62" s="384"/>
      <c r="U62" s="384"/>
      <c r="V62" s="384"/>
      <c r="W62" s="384"/>
      <c r="X62" s="397">
        <v>1</v>
      </c>
      <c r="Y62" s="384"/>
      <c r="Z62" s="384"/>
      <c r="AA62" s="384"/>
      <c r="AB62" s="384"/>
      <c r="AC62" s="384"/>
      <c r="AD62" s="384"/>
      <c r="AE62" s="384"/>
      <c r="AF62" s="384"/>
      <c r="AG62" s="384"/>
      <c r="AH62" s="384"/>
      <c r="AI62" s="384"/>
      <c r="AJ62" s="384"/>
      <c r="AK62" s="384"/>
      <c r="AL62" s="384"/>
      <c r="AM62" s="384"/>
      <c r="AN62" s="384"/>
      <c r="AO62" s="391"/>
      <c r="AP62" s="315"/>
      <c r="AQ62" s="315"/>
      <c r="AR62" s="315"/>
      <c r="AS62" s="315"/>
      <c r="AT62" s="315"/>
      <c r="AU62" s="315"/>
      <c r="AV62" s="315"/>
      <c r="AW62" s="315"/>
      <c r="AX62" s="315"/>
      <c r="AY62" s="315"/>
      <c r="AZ62" s="315"/>
      <c r="BA62" s="315"/>
      <c r="BB62" s="315"/>
      <c r="BC62" s="315"/>
      <c r="BD62" s="315"/>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3"/>
      <c r="CL62" s="383"/>
      <c r="CM62" s="383"/>
      <c r="CN62" s="383"/>
      <c r="CO62" s="383"/>
      <c r="CP62" s="383"/>
      <c r="CQ62" s="383"/>
      <c r="CR62" s="390"/>
      <c r="CS62" s="390"/>
      <c r="CT62" s="383"/>
      <c r="CU62" s="383"/>
      <c r="CV62" s="383"/>
      <c r="CW62" s="383"/>
      <c r="CX62" s="383"/>
      <c r="CY62" s="383"/>
      <c r="CZ62" s="383"/>
      <c r="DA62" s="383"/>
      <c r="DB62" s="383"/>
      <c r="DC62" s="383"/>
      <c r="DD62" s="383"/>
      <c r="DE62" s="383"/>
      <c r="DF62" s="383"/>
      <c r="DG62" s="383"/>
      <c r="DH62" s="383"/>
      <c r="DI62" s="383"/>
      <c r="DJ62" s="383"/>
      <c r="DK62" s="383"/>
      <c r="DL62" s="383"/>
      <c r="DM62" s="383"/>
      <c r="DN62" s="383"/>
      <c r="DO62" s="383"/>
      <c r="DP62" s="383"/>
      <c r="DQ62" s="383"/>
      <c r="DR62" s="383"/>
      <c r="DS62" s="370"/>
      <c r="DT62" s="370"/>
      <c r="DU62" s="384"/>
      <c r="DV62" s="384"/>
      <c r="DW62" s="383"/>
      <c r="DX62" s="397">
        <v>1</v>
      </c>
      <c r="DY62" s="315"/>
      <c r="DZ62" s="383"/>
      <c r="EA62" s="383"/>
      <c r="EB62" s="390"/>
      <c r="EC62" s="390"/>
      <c r="ED62" s="383"/>
      <c r="EE62" s="383"/>
      <c r="EF62" s="383"/>
      <c r="EG62" s="383"/>
      <c r="EH62" s="383"/>
      <c r="EI62" s="383"/>
      <c r="EJ62" s="383"/>
      <c r="EK62" s="383"/>
      <c r="EL62" s="383"/>
      <c r="EM62" s="383"/>
      <c r="EN62" s="370"/>
      <c r="EO62" s="370"/>
      <c r="EP62" s="370"/>
      <c r="EQ62" s="370"/>
      <c r="ER62" s="370"/>
      <c r="ES62" s="370"/>
      <c r="ET62" s="383"/>
      <c r="EU62" s="383"/>
      <c r="EV62" s="383"/>
      <c r="EW62" s="383"/>
      <c r="EX62" s="383"/>
      <c r="EY62" s="383"/>
      <c r="EZ62" s="383"/>
      <c r="FA62" s="383"/>
      <c r="FB62" s="383"/>
      <c r="FC62" s="383"/>
      <c r="FD62" s="383"/>
      <c r="FE62" s="383"/>
      <c r="FF62" s="383"/>
      <c r="FG62" s="383"/>
      <c r="FH62" s="383"/>
      <c r="FI62" s="383"/>
      <c r="FJ62" s="383"/>
      <c r="FK62" s="383"/>
      <c r="FL62" s="383"/>
      <c r="FM62" s="383"/>
      <c r="FN62" s="383"/>
      <c r="FO62" s="383"/>
      <c r="FP62" s="383"/>
      <c r="FQ62" s="383"/>
      <c r="FR62" s="383"/>
      <c r="FS62" s="383"/>
      <c r="FT62" s="383"/>
      <c r="FU62" s="383"/>
      <c r="FV62" s="383"/>
      <c r="FW62" s="383"/>
      <c r="FX62" s="383"/>
      <c r="FY62" s="383"/>
      <c r="FZ62" s="383"/>
      <c r="GA62" s="383"/>
      <c r="GB62" s="383"/>
      <c r="GC62" s="383"/>
      <c r="GD62" s="383"/>
      <c r="GE62" s="383"/>
      <c r="GF62" s="383"/>
      <c r="GG62" s="383"/>
      <c r="GH62" s="383"/>
      <c r="GI62" s="383"/>
      <c r="GJ62" s="383"/>
      <c r="GK62" s="383"/>
      <c r="GL62" s="383"/>
      <c r="GM62" s="383"/>
      <c r="GN62" s="383"/>
      <c r="GO62" s="383"/>
      <c r="GP62" s="383"/>
      <c r="GQ62" s="383"/>
      <c r="GR62" s="383"/>
      <c r="GS62" s="383"/>
      <c r="GT62" s="383"/>
      <c r="GU62" s="383"/>
      <c r="GV62" s="383"/>
      <c r="GW62" s="383"/>
      <c r="GX62" s="383"/>
      <c r="GY62" s="383"/>
      <c r="GZ62" s="383"/>
      <c r="HA62" s="383"/>
      <c r="HB62" s="383"/>
      <c r="HC62" s="383"/>
      <c r="HD62" s="383"/>
      <c r="HE62" s="383"/>
      <c r="HF62" s="383"/>
      <c r="HG62" s="383"/>
      <c r="HH62" s="383"/>
    </row>
    <row r="63" spans="1:216" s="393" customFormat="1" ht="18" customHeight="1">
      <c r="A63" s="395"/>
      <c r="B63" s="314" t="s">
        <v>10111</v>
      </c>
      <c r="C63" s="382"/>
      <c r="D63" s="374" t="s">
        <v>10142</v>
      </c>
      <c r="E63" s="394"/>
      <c r="F63" s="370"/>
      <c r="G63" s="370"/>
      <c r="H63" s="366"/>
      <c r="I63" s="382"/>
      <c r="J63" s="384">
        <v>1</v>
      </c>
      <c r="K63" s="352"/>
      <c r="L63" s="352"/>
      <c r="M63" s="397">
        <v>1</v>
      </c>
      <c r="N63" s="358"/>
      <c r="O63" s="358"/>
      <c r="P63" s="358"/>
      <c r="Q63" s="358"/>
      <c r="R63" s="397">
        <v>1</v>
      </c>
      <c r="S63" s="384"/>
      <c r="T63" s="384"/>
      <c r="U63" s="384"/>
      <c r="V63" s="384"/>
      <c r="W63" s="384"/>
      <c r="X63" s="397">
        <v>1</v>
      </c>
      <c r="Y63" s="384"/>
      <c r="Z63" s="384"/>
      <c r="AA63" s="384"/>
      <c r="AB63" s="384"/>
      <c r="AC63" s="384"/>
      <c r="AD63" s="384"/>
      <c r="AE63" s="384"/>
      <c r="AF63" s="384"/>
      <c r="AG63" s="384"/>
      <c r="AH63" s="384"/>
      <c r="AI63" s="384"/>
      <c r="AJ63" s="384"/>
      <c r="AK63" s="384"/>
      <c r="AL63" s="384"/>
      <c r="AM63" s="384"/>
      <c r="AN63" s="384"/>
      <c r="AO63" s="391"/>
      <c r="AP63" s="384"/>
      <c r="AQ63" s="384"/>
      <c r="AR63" s="384"/>
      <c r="AS63" s="384"/>
      <c r="AT63" s="384"/>
      <c r="AU63" s="384"/>
      <c r="AV63" s="384"/>
      <c r="AW63" s="384"/>
      <c r="AX63" s="384"/>
      <c r="AY63" s="384"/>
      <c r="AZ63" s="384"/>
      <c r="BA63" s="384"/>
      <c r="BB63" s="384"/>
      <c r="BC63" s="384"/>
      <c r="BD63" s="384"/>
      <c r="BE63" s="387"/>
      <c r="BF63" s="387"/>
      <c r="BG63" s="387"/>
      <c r="BH63" s="387"/>
      <c r="BI63" s="387"/>
      <c r="BJ63" s="387"/>
      <c r="BK63" s="387"/>
      <c r="BL63" s="387"/>
      <c r="BM63" s="387"/>
      <c r="BN63" s="387"/>
      <c r="BO63" s="387"/>
      <c r="BP63" s="387"/>
      <c r="BQ63" s="387"/>
      <c r="BR63" s="387"/>
      <c r="BS63" s="387"/>
      <c r="BT63" s="387"/>
      <c r="BU63" s="387"/>
      <c r="BV63" s="387"/>
      <c r="BW63" s="387"/>
      <c r="BX63" s="387"/>
      <c r="BY63" s="387"/>
      <c r="BZ63" s="387"/>
      <c r="CA63" s="387"/>
      <c r="CB63" s="387"/>
      <c r="CC63" s="387"/>
      <c r="CD63" s="387"/>
      <c r="CE63" s="387"/>
      <c r="CF63" s="387"/>
      <c r="CG63" s="387"/>
      <c r="CH63" s="387"/>
      <c r="CI63" s="387"/>
      <c r="CJ63" s="387"/>
      <c r="CK63" s="370"/>
      <c r="CL63" s="370"/>
      <c r="CM63" s="370"/>
      <c r="CN63" s="370"/>
      <c r="CO63" s="370"/>
      <c r="CP63" s="370"/>
      <c r="CQ63" s="370"/>
      <c r="CR63" s="390"/>
      <c r="CS63" s="390"/>
      <c r="CT63" s="370"/>
      <c r="CU63" s="370"/>
      <c r="CV63" s="370"/>
      <c r="CW63" s="370"/>
      <c r="CX63" s="370"/>
      <c r="CY63" s="370"/>
      <c r="CZ63" s="370"/>
      <c r="DA63" s="370"/>
      <c r="DB63" s="370"/>
      <c r="DC63" s="370"/>
      <c r="DD63" s="370"/>
      <c r="DE63" s="370"/>
      <c r="DF63" s="370"/>
      <c r="DG63" s="370"/>
      <c r="DH63" s="370"/>
      <c r="DI63" s="370"/>
      <c r="DJ63" s="370"/>
      <c r="DK63" s="370"/>
      <c r="DL63" s="383"/>
      <c r="DM63" s="383"/>
      <c r="DN63" s="383"/>
      <c r="DO63" s="370"/>
      <c r="DP63" s="370"/>
      <c r="DQ63" s="370"/>
      <c r="DR63" s="370"/>
      <c r="DS63" s="383"/>
      <c r="DT63" s="383"/>
      <c r="DU63" s="384"/>
      <c r="DV63" s="384"/>
      <c r="DW63" s="370"/>
      <c r="DX63" s="384"/>
      <c r="DY63" s="384"/>
      <c r="DZ63" s="370"/>
      <c r="EA63" s="370"/>
      <c r="EB63" s="390"/>
      <c r="EC63" s="390"/>
      <c r="ED63" s="370"/>
      <c r="EE63" s="370"/>
      <c r="EF63" s="370"/>
      <c r="EG63" s="370"/>
      <c r="EH63" s="370"/>
      <c r="EI63" s="370"/>
      <c r="EJ63" s="370"/>
      <c r="EK63" s="370"/>
      <c r="EL63" s="370"/>
      <c r="EM63" s="370"/>
      <c r="EN63" s="370"/>
      <c r="EO63" s="370"/>
      <c r="EP63" s="370"/>
      <c r="EQ63" s="370"/>
      <c r="ER63" s="370"/>
      <c r="ES63" s="370"/>
      <c r="ET63" s="370"/>
      <c r="EU63" s="370"/>
      <c r="EV63" s="370"/>
      <c r="EW63" s="370"/>
      <c r="EX63" s="370"/>
      <c r="EY63" s="370"/>
      <c r="EZ63" s="370"/>
      <c r="FA63" s="370"/>
      <c r="FB63" s="370"/>
      <c r="FC63" s="370"/>
      <c r="FD63" s="370"/>
      <c r="FE63" s="370"/>
      <c r="FF63" s="397">
        <v>1</v>
      </c>
      <c r="FG63" s="397">
        <v>1</v>
      </c>
      <c r="FH63" s="397">
        <v>1</v>
      </c>
      <c r="FI63" s="397">
        <v>1</v>
      </c>
      <c r="FJ63" s="397">
        <v>1</v>
      </c>
      <c r="FK63" s="370"/>
      <c r="FL63" s="370"/>
      <c r="FM63" s="370"/>
      <c r="FN63" s="370"/>
      <c r="FO63" s="370"/>
      <c r="FP63" s="370"/>
      <c r="FQ63" s="370"/>
      <c r="FR63" s="370"/>
      <c r="FS63" s="370"/>
      <c r="FT63" s="370"/>
      <c r="FU63" s="370"/>
      <c r="FV63" s="370"/>
      <c r="FW63" s="370"/>
      <c r="FX63" s="370"/>
      <c r="FY63" s="397">
        <v>1</v>
      </c>
      <c r="FZ63" s="370"/>
      <c r="GA63" s="370"/>
      <c r="GB63" s="370"/>
      <c r="GC63" s="370"/>
      <c r="GD63" s="370"/>
      <c r="GE63" s="370"/>
      <c r="GF63" s="370"/>
      <c r="GG63" s="370"/>
      <c r="GH63" s="370"/>
      <c r="GI63" s="370"/>
      <c r="GJ63" s="370"/>
      <c r="GK63" s="370"/>
      <c r="GL63" s="370"/>
      <c r="GM63" s="370"/>
      <c r="GN63" s="370"/>
      <c r="GO63" s="370"/>
      <c r="GP63" s="370"/>
      <c r="GQ63" s="370"/>
      <c r="GR63" s="370"/>
      <c r="GS63" s="370"/>
      <c r="GT63" s="370"/>
      <c r="GU63" s="370"/>
      <c r="GV63" s="370"/>
      <c r="GW63" s="370"/>
      <c r="GX63" s="370"/>
      <c r="GY63" s="370"/>
      <c r="GZ63" s="370"/>
      <c r="HA63" s="370"/>
      <c r="HB63" s="370"/>
      <c r="HC63" s="370"/>
      <c r="HD63" s="370"/>
      <c r="HE63" s="370"/>
      <c r="HF63" s="370"/>
      <c r="HG63" s="370"/>
      <c r="HH63" s="370"/>
    </row>
    <row r="64" spans="1:216" s="393" customFormat="1" ht="18" customHeight="1">
      <c r="A64" s="395"/>
      <c r="B64" s="314" t="s">
        <v>10112</v>
      </c>
      <c r="C64" s="382"/>
      <c r="D64" s="374" t="s">
        <v>10142</v>
      </c>
      <c r="E64" s="394"/>
      <c r="F64" s="370"/>
      <c r="G64" s="370"/>
      <c r="H64" s="366"/>
      <c r="I64" s="382"/>
      <c r="J64" s="384">
        <v>1</v>
      </c>
      <c r="K64" s="352"/>
      <c r="L64" s="352"/>
      <c r="M64" s="397">
        <v>1</v>
      </c>
      <c r="N64" s="358"/>
      <c r="O64" s="358"/>
      <c r="P64" s="358"/>
      <c r="Q64" s="358"/>
      <c r="R64" s="384"/>
      <c r="S64" s="397">
        <v>1</v>
      </c>
      <c r="T64" s="384"/>
      <c r="U64" s="384"/>
      <c r="V64" s="384"/>
      <c r="W64" s="384"/>
      <c r="X64" s="397">
        <v>1</v>
      </c>
      <c r="Y64" s="384"/>
      <c r="Z64" s="384"/>
      <c r="AA64" s="384"/>
      <c r="AB64" s="384"/>
      <c r="AC64" s="384"/>
      <c r="AD64" s="384"/>
      <c r="AE64" s="384"/>
      <c r="AF64" s="384"/>
      <c r="AG64" s="384"/>
      <c r="AH64" s="384"/>
      <c r="AI64" s="384"/>
      <c r="AJ64" s="384"/>
      <c r="AK64" s="384"/>
      <c r="AL64" s="384"/>
      <c r="AM64" s="384"/>
      <c r="AN64" s="384"/>
      <c r="AO64" s="391"/>
      <c r="AP64" s="384"/>
      <c r="AQ64" s="384"/>
      <c r="AR64" s="384"/>
      <c r="AS64" s="384"/>
      <c r="AT64" s="384"/>
      <c r="AU64" s="384"/>
      <c r="AV64" s="384"/>
      <c r="AW64" s="384"/>
      <c r="AX64" s="384"/>
      <c r="AY64" s="384"/>
      <c r="AZ64" s="384"/>
      <c r="BA64" s="384"/>
      <c r="BB64" s="384"/>
      <c r="BC64" s="384"/>
      <c r="BD64" s="384"/>
      <c r="BE64" s="387"/>
      <c r="BF64" s="387"/>
      <c r="BG64" s="387"/>
      <c r="BH64" s="387"/>
      <c r="BI64" s="387"/>
      <c r="BJ64" s="387"/>
      <c r="BK64" s="387"/>
      <c r="BL64" s="387"/>
      <c r="BM64" s="387"/>
      <c r="BN64" s="387"/>
      <c r="BO64" s="387"/>
      <c r="BP64" s="387"/>
      <c r="BQ64" s="387"/>
      <c r="BR64" s="387"/>
      <c r="BS64" s="387"/>
      <c r="BT64" s="387"/>
      <c r="BU64" s="387"/>
      <c r="BV64" s="387"/>
      <c r="BW64" s="387"/>
      <c r="BX64" s="387"/>
      <c r="BY64" s="387"/>
      <c r="BZ64" s="387"/>
      <c r="CA64" s="387"/>
      <c r="CB64" s="387"/>
      <c r="CC64" s="387"/>
      <c r="CD64" s="387"/>
      <c r="CE64" s="387"/>
      <c r="CF64" s="387"/>
      <c r="CG64" s="387"/>
      <c r="CH64" s="387"/>
      <c r="CI64" s="387"/>
      <c r="CJ64" s="387"/>
      <c r="CK64" s="370"/>
      <c r="CL64" s="370"/>
      <c r="CM64" s="370"/>
      <c r="CN64" s="370"/>
      <c r="CO64" s="370"/>
      <c r="CP64" s="370"/>
      <c r="CQ64" s="370"/>
      <c r="CR64" s="390"/>
      <c r="CS64" s="390"/>
      <c r="CT64" s="370"/>
      <c r="CU64" s="370"/>
      <c r="CV64" s="370"/>
      <c r="CW64" s="370"/>
      <c r="CX64" s="370"/>
      <c r="CY64" s="370"/>
      <c r="CZ64" s="370"/>
      <c r="DA64" s="370"/>
      <c r="DB64" s="370"/>
      <c r="DC64" s="370"/>
      <c r="DD64" s="370"/>
      <c r="DE64" s="370"/>
      <c r="DF64" s="370"/>
      <c r="DG64" s="370"/>
      <c r="DH64" s="370"/>
      <c r="DI64" s="370"/>
      <c r="DJ64" s="370"/>
      <c r="DK64" s="370"/>
      <c r="DL64" s="383"/>
      <c r="DM64" s="383"/>
      <c r="DN64" s="383"/>
      <c r="DO64" s="370"/>
      <c r="DP64" s="370"/>
      <c r="DQ64" s="370"/>
      <c r="DR64" s="370"/>
      <c r="DS64" s="383"/>
      <c r="DT64" s="383"/>
      <c r="DU64" s="384"/>
      <c r="DV64" s="384"/>
      <c r="DW64" s="370"/>
      <c r="DX64" s="384"/>
      <c r="DY64" s="384"/>
      <c r="DZ64" s="370"/>
      <c r="EA64" s="370"/>
      <c r="EB64" s="390"/>
      <c r="EC64" s="390"/>
      <c r="ED64" s="370"/>
      <c r="EE64" s="370"/>
      <c r="EF64" s="370"/>
      <c r="EG64" s="370"/>
      <c r="EH64" s="370"/>
      <c r="EI64" s="370"/>
      <c r="EJ64" s="370"/>
      <c r="EK64" s="370"/>
      <c r="EL64" s="370"/>
      <c r="EM64" s="370"/>
      <c r="EN64" s="370"/>
      <c r="EO64" s="370"/>
      <c r="EP64" s="370"/>
      <c r="EQ64" s="370"/>
      <c r="ER64" s="370"/>
      <c r="ES64" s="370"/>
      <c r="ET64" s="370"/>
      <c r="EU64" s="370"/>
      <c r="EV64" s="370"/>
      <c r="EW64" s="370"/>
      <c r="EX64" s="370"/>
      <c r="EY64" s="370"/>
      <c r="EZ64" s="370"/>
      <c r="FA64" s="370"/>
      <c r="FB64" s="370"/>
      <c r="FC64" s="370"/>
      <c r="FD64" s="370"/>
      <c r="FE64" s="370"/>
      <c r="FF64" s="397">
        <v>1</v>
      </c>
      <c r="FG64" s="397">
        <v>1</v>
      </c>
      <c r="FH64" s="397">
        <v>1</v>
      </c>
      <c r="FI64" s="397">
        <v>1</v>
      </c>
      <c r="FJ64" s="397">
        <v>1</v>
      </c>
      <c r="FK64" s="370"/>
      <c r="FL64" s="370"/>
      <c r="FM64" s="370"/>
      <c r="FN64" s="370"/>
      <c r="FO64" s="370"/>
      <c r="FP64" s="370"/>
      <c r="FQ64" s="370"/>
      <c r="FR64" s="370"/>
      <c r="FS64" s="370"/>
      <c r="FT64" s="370"/>
      <c r="FU64" s="370"/>
      <c r="FV64" s="370"/>
      <c r="FW64" s="370"/>
      <c r="FX64" s="370"/>
      <c r="FY64" s="397">
        <v>1</v>
      </c>
      <c r="FZ64" s="370"/>
      <c r="GA64" s="370"/>
      <c r="GB64" s="370"/>
      <c r="GC64" s="370"/>
      <c r="GD64" s="370"/>
      <c r="GE64" s="370"/>
      <c r="GF64" s="370"/>
      <c r="GG64" s="370"/>
      <c r="GH64" s="370"/>
      <c r="GI64" s="370"/>
      <c r="GJ64" s="370"/>
      <c r="GK64" s="370"/>
      <c r="GL64" s="370"/>
      <c r="GM64" s="370"/>
      <c r="GN64" s="370"/>
      <c r="GO64" s="370"/>
      <c r="GP64" s="370"/>
      <c r="GQ64" s="370"/>
      <c r="GR64" s="370"/>
      <c r="GS64" s="370"/>
      <c r="GT64" s="370"/>
      <c r="GU64" s="370"/>
      <c r="GV64" s="370"/>
      <c r="GW64" s="370"/>
      <c r="GX64" s="370"/>
      <c r="GY64" s="370"/>
      <c r="GZ64" s="370"/>
      <c r="HA64" s="370"/>
      <c r="HB64" s="370"/>
      <c r="HC64" s="370"/>
      <c r="HD64" s="370"/>
      <c r="HE64" s="370"/>
      <c r="HF64" s="370"/>
      <c r="HG64" s="370"/>
      <c r="HH64" s="370"/>
    </row>
    <row r="65" spans="1:216" s="393" customFormat="1" ht="18" customHeight="1">
      <c r="A65" s="395"/>
      <c r="B65" s="314" t="s">
        <v>10113</v>
      </c>
      <c r="C65" s="382"/>
      <c r="D65" s="374" t="s">
        <v>10142</v>
      </c>
      <c r="E65" s="394"/>
      <c r="F65" s="370"/>
      <c r="G65" s="370"/>
      <c r="H65" s="366"/>
      <c r="I65" s="382"/>
      <c r="J65" s="384">
        <v>1</v>
      </c>
      <c r="K65" s="352"/>
      <c r="L65" s="352"/>
      <c r="M65" s="397">
        <v>1</v>
      </c>
      <c r="N65" s="358"/>
      <c r="O65" s="358"/>
      <c r="P65" s="358"/>
      <c r="Q65" s="358"/>
      <c r="R65" s="397">
        <v>1</v>
      </c>
      <c r="S65" s="397">
        <v>1</v>
      </c>
      <c r="T65" s="384"/>
      <c r="U65" s="384"/>
      <c r="V65" s="384"/>
      <c r="W65" s="384"/>
      <c r="X65" s="397">
        <v>1</v>
      </c>
      <c r="Y65" s="384"/>
      <c r="Z65" s="384"/>
      <c r="AA65" s="384"/>
      <c r="AB65" s="384"/>
      <c r="AC65" s="384"/>
      <c r="AD65" s="384"/>
      <c r="AE65" s="384"/>
      <c r="AF65" s="384"/>
      <c r="AG65" s="384"/>
      <c r="AH65" s="384"/>
      <c r="AI65" s="384"/>
      <c r="AJ65" s="384"/>
      <c r="AK65" s="384"/>
      <c r="AL65" s="384"/>
      <c r="AM65" s="384"/>
      <c r="AN65" s="384"/>
      <c r="AO65" s="391"/>
      <c r="AP65" s="384"/>
      <c r="AQ65" s="384"/>
      <c r="AR65" s="384"/>
      <c r="AS65" s="384"/>
      <c r="AT65" s="384"/>
      <c r="AU65" s="384"/>
      <c r="AV65" s="384"/>
      <c r="AW65" s="384"/>
      <c r="AX65" s="384"/>
      <c r="AY65" s="384"/>
      <c r="AZ65" s="384"/>
      <c r="BA65" s="384"/>
      <c r="BB65" s="384"/>
      <c r="BC65" s="384"/>
      <c r="BD65" s="384"/>
      <c r="BE65" s="387"/>
      <c r="BF65" s="387"/>
      <c r="BG65" s="387"/>
      <c r="BH65" s="387"/>
      <c r="BI65" s="387"/>
      <c r="BJ65" s="387"/>
      <c r="BK65" s="387"/>
      <c r="BL65" s="387"/>
      <c r="BM65" s="387"/>
      <c r="BN65" s="387"/>
      <c r="BO65" s="387"/>
      <c r="BP65" s="387"/>
      <c r="BQ65" s="387"/>
      <c r="BR65" s="387"/>
      <c r="BS65" s="387"/>
      <c r="BT65" s="387"/>
      <c r="BU65" s="387"/>
      <c r="BV65" s="387"/>
      <c r="BW65" s="387"/>
      <c r="BX65" s="387"/>
      <c r="BY65" s="387"/>
      <c r="BZ65" s="387"/>
      <c r="CA65" s="387"/>
      <c r="CB65" s="387"/>
      <c r="CC65" s="387"/>
      <c r="CD65" s="387"/>
      <c r="CE65" s="387"/>
      <c r="CF65" s="387"/>
      <c r="CG65" s="387"/>
      <c r="CH65" s="387"/>
      <c r="CI65" s="387"/>
      <c r="CJ65" s="387"/>
      <c r="CK65" s="370"/>
      <c r="CL65" s="370"/>
      <c r="CM65" s="370"/>
      <c r="CN65" s="370"/>
      <c r="CO65" s="370"/>
      <c r="CP65" s="370"/>
      <c r="CQ65" s="370"/>
      <c r="CR65" s="390"/>
      <c r="CS65" s="390"/>
      <c r="CT65" s="370"/>
      <c r="CU65" s="370"/>
      <c r="CV65" s="370"/>
      <c r="CW65" s="370"/>
      <c r="CX65" s="370"/>
      <c r="CY65" s="370"/>
      <c r="CZ65" s="370"/>
      <c r="DA65" s="370"/>
      <c r="DB65" s="370"/>
      <c r="DC65" s="370"/>
      <c r="DD65" s="370"/>
      <c r="DE65" s="370"/>
      <c r="DF65" s="370"/>
      <c r="DG65" s="370"/>
      <c r="DH65" s="370"/>
      <c r="DI65" s="370"/>
      <c r="DJ65" s="370"/>
      <c r="DK65" s="370"/>
      <c r="DL65" s="383"/>
      <c r="DM65" s="383"/>
      <c r="DN65" s="383"/>
      <c r="DO65" s="370"/>
      <c r="DP65" s="370"/>
      <c r="DQ65" s="370"/>
      <c r="DR65" s="370"/>
      <c r="DS65" s="383"/>
      <c r="DT65" s="383"/>
      <c r="DU65" s="384"/>
      <c r="DV65" s="384"/>
      <c r="DW65" s="370"/>
      <c r="DX65" s="384"/>
      <c r="DY65" s="384"/>
      <c r="DZ65" s="370"/>
      <c r="EA65" s="370"/>
      <c r="EB65" s="390"/>
      <c r="EC65" s="390"/>
      <c r="ED65" s="370"/>
      <c r="EE65" s="370"/>
      <c r="EF65" s="370"/>
      <c r="EG65" s="370"/>
      <c r="EH65" s="370"/>
      <c r="EI65" s="370"/>
      <c r="EJ65" s="370"/>
      <c r="EK65" s="370"/>
      <c r="EL65" s="370"/>
      <c r="EM65" s="370"/>
      <c r="EN65" s="370"/>
      <c r="EO65" s="370"/>
      <c r="EP65" s="370"/>
      <c r="EQ65" s="370"/>
      <c r="ER65" s="370"/>
      <c r="ES65" s="370"/>
      <c r="ET65" s="370"/>
      <c r="EU65" s="370"/>
      <c r="EV65" s="370"/>
      <c r="EW65" s="370"/>
      <c r="EX65" s="370"/>
      <c r="EY65" s="370"/>
      <c r="EZ65" s="370"/>
      <c r="FA65" s="370"/>
      <c r="FB65" s="370"/>
      <c r="FC65" s="370"/>
      <c r="FD65" s="370"/>
      <c r="FE65" s="370"/>
      <c r="FF65" s="397">
        <v>1</v>
      </c>
      <c r="FG65" s="370"/>
      <c r="FH65" s="370"/>
      <c r="FI65" s="370"/>
      <c r="FJ65" s="370"/>
      <c r="FK65" s="370"/>
      <c r="FL65" s="370"/>
      <c r="FM65" s="397">
        <v>1</v>
      </c>
      <c r="FN65" s="397">
        <v>1</v>
      </c>
      <c r="FO65" s="397">
        <v>1</v>
      </c>
      <c r="FP65" s="397">
        <v>1</v>
      </c>
      <c r="FQ65" s="397">
        <v>1</v>
      </c>
      <c r="FR65" s="397">
        <v>1</v>
      </c>
      <c r="FS65" s="397">
        <v>1</v>
      </c>
      <c r="FT65" s="397">
        <v>1</v>
      </c>
      <c r="FU65" s="397">
        <v>1</v>
      </c>
      <c r="FV65" s="397">
        <v>1</v>
      </c>
      <c r="FW65" s="397">
        <v>1</v>
      </c>
      <c r="FX65" s="397">
        <v>1</v>
      </c>
      <c r="FY65" s="370"/>
      <c r="FZ65" s="397">
        <v>1</v>
      </c>
      <c r="GA65" s="397">
        <v>1</v>
      </c>
      <c r="GB65" s="397">
        <v>1</v>
      </c>
      <c r="GC65" s="397">
        <v>1</v>
      </c>
      <c r="GD65" s="397">
        <v>1</v>
      </c>
      <c r="GE65" s="397">
        <v>1</v>
      </c>
      <c r="GF65" s="397">
        <v>1</v>
      </c>
      <c r="GG65" s="397">
        <v>1</v>
      </c>
      <c r="GH65" s="397">
        <v>1</v>
      </c>
      <c r="GI65" s="397">
        <v>1</v>
      </c>
      <c r="GJ65" s="397">
        <v>1</v>
      </c>
      <c r="GK65" s="397">
        <v>1</v>
      </c>
      <c r="GL65" s="397">
        <v>1</v>
      </c>
      <c r="GM65" s="397">
        <v>1</v>
      </c>
      <c r="GN65" s="397">
        <v>1</v>
      </c>
      <c r="GO65" s="397">
        <v>1</v>
      </c>
      <c r="GP65" s="397">
        <v>1</v>
      </c>
      <c r="GQ65" s="397">
        <v>1</v>
      </c>
      <c r="GR65" s="397">
        <v>1</v>
      </c>
      <c r="GS65" s="397">
        <v>1</v>
      </c>
      <c r="GT65" s="397">
        <v>1</v>
      </c>
      <c r="GU65" s="397">
        <v>1</v>
      </c>
      <c r="GV65" s="397">
        <v>1</v>
      </c>
      <c r="GW65" s="397">
        <v>1</v>
      </c>
      <c r="GX65" s="397">
        <v>1</v>
      </c>
      <c r="GY65" s="397">
        <v>1</v>
      </c>
      <c r="GZ65" s="397">
        <v>1</v>
      </c>
      <c r="HA65" s="397">
        <v>1</v>
      </c>
      <c r="HB65" s="397">
        <v>1</v>
      </c>
      <c r="HC65" s="397">
        <v>1</v>
      </c>
      <c r="HD65" s="397">
        <v>1</v>
      </c>
      <c r="HE65" s="397">
        <v>1</v>
      </c>
      <c r="HF65" s="397">
        <v>1</v>
      </c>
      <c r="HG65" s="397">
        <v>1</v>
      </c>
      <c r="HH65" s="370"/>
    </row>
    <row r="66" spans="1:216" ht="18" customHeight="1">
      <c r="A66" s="395"/>
      <c r="B66" s="314" t="s">
        <v>10009</v>
      </c>
      <c r="C66" s="396"/>
      <c r="D66" s="317" t="s">
        <v>10012</v>
      </c>
      <c r="E66" s="317"/>
      <c r="F66" s="383"/>
      <c r="G66" s="383"/>
      <c r="H66" s="370"/>
      <c r="I66" s="317"/>
      <c r="J66" s="384">
        <v>1</v>
      </c>
      <c r="K66" s="384"/>
      <c r="L66" s="384"/>
      <c r="M66" s="397">
        <v>1</v>
      </c>
      <c r="N66" s="384"/>
      <c r="O66" s="384"/>
      <c r="P66" s="384"/>
      <c r="Q66" s="384"/>
      <c r="R66" s="397">
        <v>1</v>
      </c>
      <c r="S66" s="397">
        <v>1</v>
      </c>
      <c r="T66" s="384"/>
      <c r="U66" s="384"/>
      <c r="V66" s="384"/>
      <c r="W66" s="384"/>
      <c r="X66" s="397">
        <v>1</v>
      </c>
      <c r="Y66" s="384"/>
      <c r="Z66" s="384"/>
      <c r="AA66" s="384"/>
      <c r="AB66" s="384"/>
      <c r="AC66" s="384"/>
      <c r="AD66" s="384"/>
      <c r="AE66" s="384"/>
      <c r="AF66" s="384"/>
      <c r="AG66" s="384"/>
      <c r="AH66" s="384"/>
      <c r="AI66" s="384"/>
      <c r="AJ66" s="384"/>
      <c r="AK66" s="384"/>
      <c r="AL66" s="384"/>
      <c r="AM66" s="384"/>
      <c r="AN66" s="384"/>
      <c r="AO66" s="391"/>
      <c r="AP66" s="397">
        <v>1</v>
      </c>
      <c r="AQ66" s="315"/>
      <c r="AR66" s="315"/>
      <c r="AS66" s="315"/>
      <c r="AT66" s="315"/>
      <c r="AU66" s="315"/>
      <c r="AV66" s="315"/>
      <c r="AW66" s="315"/>
      <c r="AX66" s="315"/>
      <c r="AY66" s="315"/>
      <c r="AZ66" s="315"/>
      <c r="BA66" s="315"/>
      <c r="BB66" s="315"/>
      <c r="BC66" s="315"/>
      <c r="BD66" s="315"/>
      <c r="BE66" s="387"/>
      <c r="BF66" s="387"/>
      <c r="BG66" s="387"/>
      <c r="BH66" s="387"/>
      <c r="BI66" s="387"/>
      <c r="BJ66" s="387"/>
      <c r="BK66" s="387"/>
      <c r="BL66" s="387"/>
      <c r="BM66" s="387"/>
      <c r="BN66" s="387"/>
      <c r="BO66" s="387"/>
      <c r="BP66" s="387"/>
      <c r="BQ66" s="387"/>
      <c r="BR66" s="387"/>
      <c r="BS66" s="387"/>
      <c r="BT66" s="387"/>
      <c r="BU66" s="387"/>
      <c r="BV66" s="387"/>
      <c r="BW66" s="387"/>
      <c r="BX66" s="387"/>
      <c r="BY66" s="387"/>
      <c r="BZ66" s="387"/>
      <c r="CA66" s="387"/>
      <c r="CB66" s="387"/>
      <c r="CC66" s="387"/>
      <c r="CD66" s="387"/>
      <c r="CE66" s="387"/>
      <c r="CF66" s="387"/>
      <c r="CG66" s="387"/>
      <c r="CH66" s="387"/>
      <c r="CI66" s="387"/>
      <c r="CJ66" s="387"/>
      <c r="CK66" s="383"/>
      <c r="CL66" s="383"/>
      <c r="CM66" s="383"/>
      <c r="CN66" s="383"/>
      <c r="CO66" s="383"/>
      <c r="CP66" s="383"/>
      <c r="CQ66" s="383"/>
      <c r="CR66" s="390"/>
      <c r="CS66" s="390"/>
      <c r="CT66" s="383"/>
      <c r="CU66" s="383"/>
      <c r="CV66" s="383"/>
      <c r="CW66" s="383"/>
      <c r="CX66" s="383"/>
      <c r="CY66" s="383"/>
      <c r="CZ66" s="383"/>
      <c r="DA66" s="383"/>
      <c r="DB66" s="383"/>
      <c r="DC66" s="383"/>
      <c r="DD66" s="383"/>
      <c r="DE66" s="383"/>
      <c r="DF66" s="383"/>
      <c r="DG66" s="383"/>
      <c r="DH66" s="383"/>
      <c r="DI66" s="383"/>
      <c r="DJ66" s="383"/>
      <c r="DK66" s="383"/>
      <c r="DL66" s="383"/>
      <c r="DM66" s="383"/>
      <c r="DN66" s="383"/>
      <c r="DO66" s="383"/>
      <c r="DP66" s="383"/>
      <c r="DQ66" s="383"/>
      <c r="DR66" s="383"/>
      <c r="DS66" s="370"/>
      <c r="DT66" s="370"/>
      <c r="DU66" s="384"/>
      <c r="DV66" s="384"/>
      <c r="DW66" s="383"/>
      <c r="DX66" s="315"/>
      <c r="DY66" s="315"/>
      <c r="DZ66" s="383"/>
      <c r="EA66" s="383"/>
      <c r="EB66" s="390"/>
      <c r="EC66" s="390"/>
      <c r="ED66" s="383"/>
      <c r="EE66" s="383"/>
      <c r="EF66" s="383"/>
      <c r="EG66" s="383"/>
      <c r="EH66" s="383"/>
      <c r="EI66" s="383"/>
      <c r="EJ66" s="383"/>
      <c r="EK66" s="383"/>
      <c r="EL66" s="383"/>
      <c r="EM66" s="383"/>
      <c r="EN66" s="370"/>
      <c r="EO66" s="370"/>
      <c r="EP66" s="370"/>
      <c r="EQ66" s="370"/>
      <c r="ER66" s="370"/>
      <c r="ES66" s="370"/>
      <c r="ET66" s="383"/>
      <c r="EU66" s="383"/>
      <c r="EV66" s="383"/>
      <c r="EW66" s="383"/>
      <c r="EX66" s="383"/>
      <c r="EY66" s="383"/>
      <c r="EZ66" s="383"/>
      <c r="FA66" s="383"/>
      <c r="FB66" s="383"/>
      <c r="FC66" s="383"/>
      <c r="FD66" s="383"/>
      <c r="FE66" s="383"/>
      <c r="FF66" s="383"/>
      <c r="FG66" s="383"/>
      <c r="FH66" s="383"/>
      <c r="FI66" s="383"/>
      <c r="FJ66" s="383"/>
      <c r="FK66" s="383"/>
      <c r="FL66" s="383"/>
      <c r="FM66" s="383"/>
      <c r="FN66" s="383"/>
      <c r="FO66" s="383"/>
      <c r="FP66" s="383"/>
      <c r="FQ66" s="383"/>
      <c r="FR66" s="383"/>
      <c r="FS66" s="383"/>
      <c r="FT66" s="383"/>
      <c r="FU66" s="383"/>
      <c r="FV66" s="383"/>
      <c r="FW66" s="383"/>
      <c r="FX66" s="383"/>
      <c r="FY66" s="383"/>
      <c r="FZ66" s="383"/>
      <c r="GA66" s="383"/>
      <c r="GB66" s="383"/>
      <c r="GC66" s="383"/>
      <c r="GD66" s="383"/>
      <c r="GE66" s="383"/>
      <c r="GF66" s="383"/>
      <c r="GG66" s="383"/>
      <c r="GH66" s="383"/>
      <c r="GI66" s="383"/>
      <c r="GJ66" s="383"/>
      <c r="GK66" s="383"/>
      <c r="GL66" s="383"/>
      <c r="GM66" s="383"/>
      <c r="GN66" s="383"/>
      <c r="GO66" s="383"/>
      <c r="GP66" s="383"/>
      <c r="GQ66" s="383"/>
      <c r="GR66" s="383"/>
      <c r="GS66" s="383"/>
      <c r="GT66" s="383"/>
      <c r="GU66" s="383"/>
      <c r="GV66" s="383"/>
      <c r="GW66" s="383"/>
      <c r="GX66" s="383"/>
      <c r="GY66" s="383"/>
      <c r="GZ66" s="383"/>
      <c r="HA66" s="383"/>
      <c r="HB66" s="383"/>
      <c r="HC66" s="383"/>
      <c r="HD66" s="383"/>
      <c r="HE66" s="383"/>
      <c r="HF66" s="383"/>
      <c r="HG66" s="383"/>
      <c r="HH66" s="383"/>
    </row>
    <row r="67" spans="1:216" s="393" customFormat="1" ht="18" customHeight="1">
      <c r="A67" s="395"/>
      <c r="B67" s="423" t="s">
        <v>10011</v>
      </c>
      <c r="C67" s="382"/>
      <c r="D67" s="374" t="s">
        <v>10010</v>
      </c>
      <c r="E67" s="394"/>
      <c r="F67" s="370">
        <v>1</v>
      </c>
      <c r="G67" s="370"/>
      <c r="H67" s="366"/>
      <c r="I67" s="382"/>
      <c r="J67" s="384">
        <v>1</v>
      </c>
      <c r="K67" s="352"/>
      <c r="L67" s="352"/>
      <c r="M67" s="397">
        <v>1</v>
      </c>
      <c r="N67" s="358"/>
      <c r="O67" s="358"/>
      <c r="P67" s="358"/>
      <c r="Q67" s="358"/>
      <c r="R67" s="397">
        <v>1</v>
      </c>
      <c r="S67" s="397">
        <v>1</v>
      </c>
      <c r="T67" s="384"/>
      <c r="U67" s="384"/>
      <c r="V67" s="384"/>
      <c r="W67" s="384"/>
      <c r="X67" s="397">
        <v>1</v>
      </c>
      <c r="Y67" s="384"/>
      <c r="Z67" s="384"/>
      <c r="AA67" s="384"/>
      <c r="AB67" s="384"/>
      <c r="AC67" s="384"/>
      <c r="AD67" s="384"/>
      <c r="AE67" s="384"/>
      <c r="AF67" s="384"/>
      <c r="AG67" s="384"/>
      <c r="AH67" s="384"/>
      <c r="AI67" s="384"/>
      <c r="AJ67" s="384"/>
      <c r="AK67" s="384"/>
      <c r="AL67" s="384"/>
      <c r="AM67" s="384"/>
      <c r="AN67" s="384"/>
      <c r="AO67" s="391"/>
      <c r="AP67" s="384"/>
      <c r="AQ67" s="384"/>
      <c r="AR67" s="384"/>
      <c r="AS67" s="384"/>
      <c r="AT67" s="384"/>
      <c r="AU67" s="384"/>
      <c r="AV67" s="384"/>
      <c r="AW67" s="384"/>
      <c r="AX67" s="384"/>
      <c r="AY67" s="384"/>
      <c r="AZ67" s="384"/>
      <c r="BA67" s="384"/>
      <c r="BB67" s="384"/>
      <c r="BC67" s="384"/>
      <c r="BD67" s="384"/>
      <c r="BE67" s="387"/>
      <c r="BF67" s="387"/>
      <c r="BG67" s="387"/>
      <c r="BH67" s="387"/>
      <c r="BI67" s="387"/>
      <c r="BJ67" s="387"/>
      <c r="BK67" s="387"/>
      <c r="BL67" s="387"/>
      <c r="BM67" s="387"/>
      <c r="BN67" s="387"/>
      <c r="BO67" s="387"/>
      <c r="BP67" s="387"/>
      <c r="BQ67" s="387"/>
      <c r="BR67" s="387"/>
      <c r="BS67" s="387"/>
      <c r="BT67" s="387"/>
      <c r="BU67" s="387"/>
      <c r="BV67" s="387"/>
      <c r="BW67" s="387"/>
      <c r="BX67" s="387"/>
      <c r="BY67" s="387"/>
      <c r="BZ67" s="387"/>
      <c r="CA67" s="387"/>
      <c r="CB67" s="387"/>
      <c r="CC67" s="387"/>
      <c r="CD67" s="387"/>
      <c r="CE67" s="387"/>
      <c r="CF67" s="387"/>
      <c r="CG67" s="387"/>
      <c r="CH67" s="387"/>
      <c r="CI67" s="387"/>
      <c r="CJ67" s="387"/>
      <c r="CK67" s="370"/>
      <c r="CL67" s="370"/>
      <c r="CM67" s="370"/>
      <c r="CN67" s="370"/>
      <c r="CO67" s="370"/>
      <c r="CP67" s="370"/>
      <c r="CQ67" s="370"/>
      <c r="CR67" s="390"/>
      <c r="CS67" s="390"/>
      <c r="CT67" s="370"/>
      <c r="CU67" s="370"/>
      <c r="CV67" s="370"/>
      <c r="CW67" s="370"/>
      <c r="CX67" s="370"/>
      <c r="CY67" s="370"/>
      <c r="CZ67" s="370"/>
      <c r="DA67" s="370"/>
      <c r="DB67" s="370"/>
      <c r="DC67" s="370"/>
      <c r="DD67" s="370"/>
      <c r="DE67" s="370"/>
      <c r="DF67" s="370"/>
      <c r="DG67" s="370"/>
      <c r="DH67" s="370"/>
      <c r="DI67" s="370"/>
      <c r="DJ67" s="370"/>
      <c r="DK67" s="370"/>
      <c r="DL67" s="383"/>
      <c r="DM67" s="383"/>
      <c r="DN67" s="383"/>
      <c r="DO67" s="370"/>
      <c r="DP67" s="370"/>
      <c r="DQ67" s="370"/>
      <c r="DR67" s="370"/>
      <c r="DS67" s="383"/>
      <c r="DT67" s="383"/>
      <c r="DU67" s="384"/>
      <c r="DV67" s="384"/>
      <c r="DW67" s="370"/>
      <c r="DX67" s="384"/>
      <c r="DY67" s="384"/>
      <c r="DZ67" s="370"/>
      <c r="EA67" s="370"/>
      <c r="EB67" s="390"/>
      <c r="EC67" s="390"/>
      <c r="ED67" s="370"/>
      <c r="EE67" s="370"/>
      <c r="EF67" s="370"/>
      <c r="EG67" s="370"/>
      <c r="EH67" s="370"/>
      <c r="EI67" s="370"/>
      <c r="EJ67" s="370"/>
      <c r="EK67" s="370"/>
      <c r="EL67" s="370"/>
      <c r="EM67" s="370"/>
      <c r="EN67" s="370"/>
      <c r="EO67" s="370"/>
      <c r="EP67" s="370"/>
      <c r="EQ67" s="370"/>
      <c r="ER67" s="370"/>
      <c r="ES67" s="370"/>
      <c r="ET67" s="370"/>
      <c r="EU67" s="370"/>
      <c r="EV67" s="370"/>
      <c r="EW67" s="370"/>
      <c r="EX67" s="370"/>
      <c r="EY67" s="370"/>
      <c r="EZ67" s="370"/>
      <c r="FA67" s="370"/>
      <c r="FB67" s="370"/>
      <c r="FC67" s="370"/>
      <c r="FD67" s="370"/>
      <c r="FE67" s="370"/>
      <c r="FF67" s="370"/>
      <c r="FG67" s="397">
        <v>1</v>
      </c>
      <c r="FH67" s="397">
        <v>1</v>
      </c>
      <c r="FI67" s="397">
        <v>1</v>
      </c>
      <c r="FJ67" s="397">
        <v>1</v>
      </c>
      <c r="FK67" s="370"/>
      <c r="FL67" s="370"/>
      <c r="FM67" s="370"/>
      <c r="FN67" s="370"/>
      <c r="FO67" s="370"/>
      <c r="FP67" s="370"/>
      <c r="FQ67" s="370"/>
      <c r="FR67" s="370"/>
      <c r="FS67" s="370"/>
      <c r="FT67" s="370"/>
      <c r="FU67" s="370"/>
      <c r="FV67" s="370"/>
      <c r="FW67" s="370"/>
      <c r="FX67" s="370"/>
      <c r="FY67" s="370"/>
      <c r="FZ67" s="370"/>
      <c r="GA67" s="370"/>
      <c r="GB67" s="370"/>
      <c r="GC67" s="370"/>
      <c r="GD67" s="370"/>
      <c r="GE67" s="370"/>
      <c r="GF67" s="370"/>
      <c r="GG67" s="370"/>
      <c r="GH67" s="370"/>
      <c r="GI67" s="370"/>
      <c r="GJ67" s="370"/>
      <c r="GK67" s="370"/>
      <c r="GL67" s="370"/>
      <c r="GM67" s="370"/>
      <c r="GN67" s="370"/>
      <c r="GO67" s="370"/>
      <c r="GP67" s="370"/>
      <c r="GQ67" s="370"/>
      <c r="GR67" s="370"/>
      <c r="GS67" s="370"/>
      <c r="GT67" s="370"/>
      <c r="GU67" s="370"/>
      <c r="GV67" s="370"/>
      <c r="GW67" s="370"/>
      <c r="GX67" s="370"/>
      <c r="GY67" s="370"/>
      <c r="GZ67" s="370"/>
      <c r="HA67" s="370"/>
      <c r="HB67" s="370"/>
      <c r="HC67" s="370"/>
      <c r="HD67" s="370"/>
      <c r="HE67" s="370"/>
      <c r="HF67" s="370"/>
      <c r="HG67" s="370"/>
      <c r="HH67" s="370"/>
    </row>
    <row r="68" spans="1:216" ht="18" customHeight="1">
      <c r="A68" s="395"/>
      <c r="B68" s="314" t="s">
        <v>10013</v>
      </c>
      <c r="C68" s="398"/>
      <c r="D68" s="399" t="s">
        <v>8042</v>
      </c>
      <c r="E68" s="317" t="s">
        <v>8043</v>
      </c>
      <c r="F68" s="383"/>
      <c r="G68" s="383"/>
      <c r="H68" s="384"/>
      <c r="I68" s="317"/>
      <c r="J68" s="384">
        <v>1</v>
      </c>
      <c r="K68" s="384"/>
      <c r="L68" s="384"/>
      <c r="M68" s="397">
        <v>1</v>
      </c>
      <c r="N68" s="397">
        <v>1</v>
      </c>
      <c r="O68" s="397">
        <v>1</v>
      </c>
      <c r="P68" s="384"/>
      <c r="Q68" s="384"/>
      <c r="R68" s="397">
        <v>1</v>
      </c>
      <c r="S68" s="397">
        <v>1</v>
      </c>
      <c r="T68" s="384"/>
      <c r="U68" s="384"/>
      <c r="V68" s="384"/>
      <c r="W68" s="384"/>
      <c r="X68" s="384"/>
      <c r="Y68" s="384"/>
      <c r="Z68" s="384"/>
      <c r="AA68" s="384"/>
      <c r="AB68" s="384"/>
      <c r="AC68" s="384"/>
      <c r="AD68" s="397">
        <v>1</v>
      </c>
      <c r="AE68" s="384"/>
      <c r="AF68" s="384"/>
      <c r="AG68" s="384"/>
      <c r="AH68" s="384"/>
      <c r="AI68" s="384"/>
      <c r="AJ68" s="384"/>
      <c r="AK68" s="384"/>
      <c r="AL68" s="384"/>
      <c r="AM68" s="384"/>
      <c r="AN68" s="384"/>
      <c r="AO68" s="391"/>
      <c r="AP68" s="315"/>
      <c r="AQ68" s="315"/>
      <c r="AR68" s="315"/>
      <c r="AS68" s="315"/>
      <c r="AT68" s="315"/>
      <c r="AU68" s="315"/>
      <c r="AV68" s="315"/>
      <c r="AW68" s="315"/>
      <c r="AX68" s="315"/>
      <c r="AY68" s="315"/>
      <c r="AZ68" s="315"/>
      <c r="BA68" s="315"/>
      <c r="BB68" s="315"/>
      <c r="BC68" s="315"/>
      <c r="BD68" s="315"/>
      <c r="BE68" s="387"/>
      <c r="BF68" s="387"/>
      <c r="BG68" s="387"/>
      <c r="BH68" s="387"/>
      <c r="BI68" s="387"/>
      <c r="BJ68" s="387"/>
      <c r="BK68" s="387"/>
      <c r="BL68" s="387"/>
      <c r="BM68" s="387"/>
      <c r="BN68" s="387"/>
      <c r="BO68" s="387"/>
      <c r="BP68" s="387"/>
      <c r="BQ68" s="387"/>
      <c r="BR68" s="387"/>
      <c r="BS68" s="387"/>
      <c r="BT68" s="387"/>
      <c r="BU68" s="387"/>
      <c r="BV68" s="387"/>
      <c r="BW68" s="387"/>
      <c r="BX68" s="387"/>
      <c r="BY68" s="387"/>
      <c r="BZ68" s="387"/>
      <c r="CA68" s="387"/>
      <c r="CB68" s="387"/>
      <c r="CC68" s="387"/>
      <c r="CD68" s="387"/>
      <c r="CE68" s="387"/>
      <c r="CF68" s="387"/>
      <c r="CG68" s="387"/>
      <c r="CH68" s="387"/>
      <c r="CI68" s="387"/>
      <c r="CJ68" s="387"/>
      <c r="CK68" s="383"/>
      <c r="CL68" s="383"/>
      <c r="CM68" s="383"/>
      <c r="CN68" s="383"/>
      <c r="CO68" s="383"/>
      <c r="CP68" s="383"/>
      <c r="CQ68" s="383"/>
      <c r="CR68" s="388"/>
      <c r="CS68" s="388"/>
      <c r="CT68" s="383"/>
      <c r="CU68" s="383"/>
      <c r="CV68" s="383"/>
      <c r="CW68" s="383"/>
      <c r="CX68" s="383"/>
      <c r="CY68" s="383"/>
      <c r="CZ68" s="383"/>
      <c r="DA68" s="383"/>
      <c r="DB68" s="383"/>
      <c r="DC68" s="383"/>
      <c r="DD68" s="383"/>
      <c r="DE68" s="383"/>
      <c r="DF68" s="383"/>
      <c r="DG68" s="383"/>
      <c r="DH68" s="370"/>
      <c r="DI68" s="370"/>
      <c r="DJ68" s="370"/>
      <c r="DK68" s="370"/>
      <c r="DL68" s="383"/>
      <c r="DM68" s="383"/>
      <c r="DN68" s="383"/>
      <c r="DO68" s="383"/>
      <c r="DP68" s="383"/>
      <c r="DQ68" s="383"/>
      <c r="DR68" s="383"/>
      <c r="DS68" s="370"/>
      <c r="DT68" s="370"/>
      <c r="DU68" s="384"/>
      <c r="DV68" s="384"/>
      <c r="DW68" s="383"/>
      <c r="DX68" s="315"/>
      <c r="DY68" s="315"/>
      <c r="DZ68" s="383"/>
      <c r="EA68" s="383"/>
      <c r="EB68" s="390"/>
      <c r="EC68" s="390"/>
      <c r="ED68" s="383"/>
      <c r="EE68" s="383"/>
      <c r="EF68" s="383"/>
      <c r="EG68" s="383"/>
      <c r="EH68" s="383"/>
      <c r="EI68" s="383"/>
      <c r="EJ68" s="383"/>
      <c r="EK68" s="383"/>
      <c r="EL68" s="383"/>
      <c r="EM68" s="383"/>
      <c r="EN68" s="370"/>
      <c r="EO68" s="370"/>
      <c r="EP68" s="370"/>
      <c r="EQ68" s="370"/>
      <c r="ER68" s="370"/>
      <c r="ES68" s="370"/>
      <c r="ET68" s="383"/>
      <c r="EU68" s="383"/>
      <c r="EV68" s="383"/>
      <c r="EW68" s="383"/>
      <c r="EX68" s="383"/>
      <c r="EY68" s="383"/>
      <c r="EZ68" s="383"/>
      <c r="FA68" s="383"/>
      <c r="FB68" s="383"/>
      <c r="FC68" s="383"/>
      <c r="FD68" s="383"/>
      <c r="FE68" s="383"/>
      <c r="FF68" s="383"/>
      <c r="FG68" s="383"/>
      <c r="FH68" s="383"/>
      <c r="FI68" s="383"/>
      <c r="FJ68" s="383"/>
      <c r="FK68" s="383"/>
      <c r="FL68" s="383"/>
      <c r="FM68" s="383"/>
      <c r="FN68" s="383"/>
      <c r="FO68" s="383"/>
      <c r="FP68" s="383"/>
      <c r="FQ68" s="383"/>
      <c r="FR68" s="383"/>
      <c r="FS68" s="383"/>
      <c r="FT68" s="383"/>
      <c r="FU68" s="383"/>
      <c r="FV68" s="383"/>
      <c r="FW68" s="383"/>
      <c r="FX68" s="383"/>
      <c r="FY68" s="383"/>
      <c r="FZ68" s="383"/>
      <c r="GA68" s="383"/>
      <c r="GB68" s="383"/>
      <c r="GC68" s="383"/>
      <c r="GD68" s="383"/>
      <c r="GE68" s="383"/>
      <c r="GF68" s="383"/>
      <c r="GG68" s="383"/>
      <c r="GH68" s="383"/>
      <c r="GI68" s="383"/>
      <c r="GJ68" s="383"/>
      <c r="GK68" s="383"/>
      <c r="GL68" s="383"/>
      <c r="GM68" s="383"/>
      <c r="GN68" s="383"/>
      <c r="GO68" s="383"/>
      <c r="GP68" s="383"/>
      <c r="GQ68" s="383"/>
      <c r="GR68" s="383"/>
      <c r="GS68" s="383"/>
      <c r="GT68" s="383"/>
      <c r="GU68" s="383"/>
      <c r="GV68" s="383"/>
      <c r="GW68" s="383"/>
      <c r="GX68" s="383"/>
      <c r="GY68" s="383"/>
      <c r="GZ68" s="383"/>
      <c r="HA68" s="383"/>
      <c r="HB68" s="383"/>
      <c r="HC68" s="383"/>
      <c r="HD68" s="383"/>
      <c r="HE68" s="383"/>
      <c r="HF68" s="383"/>
      <c r="HG68" s="383"/>
      <c r="HH68" s="383"/>
    </row>
    <row r="69" spans="1:216" ht="18" customHeight="1">
      <c r="A69" s="395"/>
      <c r="B69" s="314" t="s">
        <v>10014</v>
      </c>
      <c r="C69" s="398"/>
      <c r="D69" s="399" t="s">
        <v>8042</v>
      </c>
      <c r="E69" s="317" t="s">
        <v>8043</v>
      </c>
      <c r="F69" s="383"/>
      <c r="G69" s="383"/>
      <c r="H69" s="384"/>
      <c r="I69" s="317"/>
      <c r="J69" s="384">
        <v>1</v>
      </c>
      <c r="K69" s="384"/>
      <c r="L69" s="384"/>
      <c r="M69" s="397">
        <v>1</v>
      </c>
      <c r="N69" s="397">
        <v>1</v>
      </c>
      <c r="O69" s="397">
        <v>1</v>
      </c>
      <c r="P69" s="384"/>
      <c r="Q69" s="384"/>
      <c r="R69" s="397">
        <v>1</v>
      </c>
      <c r="S69" s="397">
        <v>1</v>
      </c>
      <c r="T69" s="384"/>
      <c r="U69" s="384"/>
      <c r="V69" s="384"/>
      <c r="W69" s="384"/>
      <c r="X69" s="384"/>
      <c r="Y69" s="384"/>
      <c r="Z69" s="384"/>
      <c r="AA69" s="384"/>
      <c r="AB69" s="384"/>
      <c r="AC69" s="384"/>
      <c r="AD69" s="397">
        <v>1</v>
      </c>
      <c r="AE69" s="384"/>
      <c r="AF69" s="384"/>
      <c r="AG69" s="384"/>
      <c r="AH69" s="384"/>
      <c r="AI69" s="384"/>
      <c r="AJ69" s="384"/>
      <c r="AK69" s="384"/>
      <c r="AL69" s="384"/>
      <c r="AM69" s="384"/>
      <c r="AN69" s="384"/>
      <c r="AO69" s="391"/>
      <c r="AP69" s="315"/>
      <c r="AQ69" s="315"/>
      <c r="AR69" s="315"/>
      <c r="AS69" s="315"/>
      <c r="AT69" s="315"/>
      <c r="AU69" s="315"/>
      <c r="AV69" s="315"/>
      <c r="AW69" s="315"/>
      <c r="AX69" s="315"/>
      <c r="AY69" s="315"/>
      <c r="AZ69" s="315"/>
      <c r="BA69" s="315"/>
      <c r="BB69" s="315"/>
      <c r="BC69" s="315"/>
      <c r="BD69" s="315"/>
      <c r="BE69" s="387"/>
      <c r="BF69" s="387"/>
      <c r="BG69" s="387"/>
      <c r="BH69" s="387"/>
      <c r="BI69" s="387"/>
      <c r="BJ69" s="387"/>
      <c r="BK69" s="387"/>
      <c r="BL69" s="387"/>
      <c r="BM69" s="387"/>
      <c r="BN69" s="387"/>
      <c r="BO69" s="387"/>
      <c r="BP69" s="387"/>
      <c r="BQ69" s="387"/>
      <c r="BR69" s="387"/>
      <c r="BS69" s="387"/>
      <c r="BT69" s="387"/>
      <c r="BU69" s="387"/>
      <c r="BV69" s="387"/>
      <c r="BW69" s="387"/>
      <c r="BX69" s="387"/>
      <c r="BY69" s="387"/>
      <c r="BZ69" s="387"/>
      <c r="CA69" s="387"/>
      <c r="CB69" s="387"/>
      <c r="CC69" s="387"/>
      <c r="CD69" s="387"/>
      <c r="CE69" s="387"/>
      <c r="CF69" s="387"/>
      <c r="CG69" s="387"/>
      <c r="CH69" s="387"/>
      <c r="CI69" s="387"/>
      <c r="CJ69" s="387"/>
      <c r="CK69" s="383"/>
      <c r="CL69" s="383"/>
      <c r="CM69" s="383"/>
      <c r="CN69" s="383"/>
      <c r="CO69" s="383"/>
      <c r="CP69" s="383"/>
      <c r="CQ69" s="383"/>
      <c r="CR69" s="388"/>
      <c r="CS69" s="388"/>
      <c r="CT69" s="383"/>
      <c r="CU69" s="383"/>
      <c r="CV69" s="383"/>
      <c r="CW69" s="383"/>
      <c r="CX69" s="383"/>
      <c r="CY69" s="383"/>
      <c r="CZ69" s="383"/>
      <c r="DA69" s="383"/>
      <c r="DB69" s="383"/>
      <c r="DC69" s="383"/>
      <c r="DD69" s="383"/>
      <c r="DE69" s="383"/>
      <c r="DF69" s="383"/>
      <c r="DG69" s="383"/>
      <c r="DH69" s="370"/>
      <c r="DI69" s="370"/>
      <c r="DJ69" s="370"/>
      <c r="DK69" s="370"/>
      <c r="DL69" s="383"/>
      <c r="DM69" s="383"/>
      <c r="DN69" s="383"/>
      <c r="DO69" s="383"/>
      <c r="DP69" s="383"/>
      <c r="DQ69" s="383"/>
      <c r="DR69" s="383"/>
      <c r="DS69" s="370"/>
      <c r="DT69" s="370"/>
      <c r="DU69" s="384"/>
      <c r="DV69" s="384"/>
      <c r="DW69" s="383"/>
      <c r="DX69" s="315"/>
      <c r="DY69" s="315"/>
      <c r="DZ69" s="383"/>
      <c r="EA69" s="383"/>
      <c r="EB69" s="390"/>
      <c r="EC69" s="390"/>
      <c r="ED69" s="383"/>
      <c r="EE69" s="383"/>
      <c r="EF69" s="383"/>
      <c r="EG69" s="383"/>
      <c r="EH69" s="383"/>
      <c r="EI69" s="383"/>
      <c r="EJ69" s="383"/>
      <c r="EK69" s="383"/>
      <c r="EL69" s="383"/>
      <c r="EM69" s="383"/>
      <c r="EN69" s="370"/>
      <c r="EO69" s="370"/>
      <c r="EP69" s="370"/>
      <c r="EQ69" s="370"/>
      <c r="ER69" s="370"/>
      <c r="ES69" s="370"/>
      <c r="ET69" s="383"/>
      <c r="EU69" s="383"/>
      <c r="EV69" s="383"/>
      <c r="EW69" s="383"/>
      <c r="EX69" s="383"/>
      <c r="EY69" s="383"/>
      <c r="EZ69" s="383"/>
      <c r="FA69" s="383"/>
      <c r="FB69" s="383"/>
      <c r="FC69" s="383"/>
      <c r="FD69" s="383"/>
      <c r="FE69" s="383"/>
      <c r="FF69" s="383"/>
      <c r="FG69" s="383"/>
      <c r="FH69" s="383"/>
      <c r="FI69" s="383"/>
      <c r="FJ69" s="383"/>
      <c r="FK69" s="383"/>
      <c r="FL69" s="383"/>
      <c r="FM69" s="383"/>
      <c r="FN69" s="383"/>
      <c r="FO69" s="383"/>
      <c r="FP69" s="383"/>
      <c r="FQ69" s="383"/>
      <c r="FR69" s="383"/>
      <c r="FS69" s="383"/>
      <c r="FT69" s="383"/>
      <c r="FU69" s="383"/>
      <c r="FV69" s="383"/>
      <c r="FW69" s="383"/>
      <c r="FX69" s="383"/>
      <c r="FY69" s="383"/>
      <c r="FZ69" s="383"/>
      <c r="GA69" s="383"/>
      <c r="GB69" s="383"/>
      <c r="GC69" s="383"/>
      <c r="GD69" s="383"/>
      <c r="GE69" s="383"/>
      <c r="GF69" s="383"/>
      <c r="GG69" s="383"/>
      <c r="GH69" s="383"/>
      <c r="GI69" s="383"/>
      <c r="GJ69" s="383"/>
      <c r="GK69" s="383"/>
      <c r="GL69" s="383"/>
      <c r="GM69" s="383"/>
      <c r="GN69" s="383"/>
      <c r="GO69" s="383"/>
      <c r="GP69" s="383"/>
      <c r="GQ69" s="383"/>
      <c r="GR69" s="383"/>
      <c r="GS69" s="383"/>
      <c r="GT69" s="383"/>
      <c r="GU69" s="383"/>
      <c r="GV69" s="383"/>
      <c r="GW69" s="383"/>
      <c r="GX69" s="383"/>
      <c r="GY69" s="383"/>
      <c r="GZ69" s="383"/>
      <c r="HA69" s="383"/>
      <c r="HB69" s="383"/>
      <c r="HC69" s="383"/>
      <c r="HD69" s="383"/>
      <c r="HE69" s="383"/>
      <c r="HF69" s="383"/>
      <c r="HG69" s="383"/>
      <c r="HH69" s="383"/>
    </row>
    <row r="70" spans="1:216" ht="18" customHeight="1">
      <c r="A70" s="395"/>
      <c r="B70" s="314" t="s">
        <v>8041</v>
      </c>
      <c r="C70" s="398"/>
      <c r="D70" s="399" t="s">
        <v>8042</v>
      </c>
      <c r="E70" s="317" t="s">
        <v>8043</v>
      </c>
      <c r="F70" s="383"/>
      <c r="G70" s="383"/>
      <c r="H70" s="384"/>
      <c r="I70" s="317"/>
      <c r="J70" s="384">
        <v>1</v>
      </c>
      <c r="K70" s="384"/>
      <c r="L70" s="384"/>
      <c r="M70" s="397">
        <v>1</v>
      </c>
      <c r="N70" s="397">
        <v>1</v>
      </c>
      <c r="O70" s="397">
        <v>1</v>
      </c>
      <c r="P70" s="384"/>
      <c r="Q70" s="384"/>
      <c r="R70" s="397">
        <v>1</v>
      </c>
      <c r="S70" s="397">
        <v>1</v>
      </c>
      <c r="T70" s="384"/>
      <c r="U70" s="384"/>
      <c r="V70" s="384"/>
      <c r="W70" s="384"/>
      <c r="X70" s="384"/>
      <c r="Y70" s="384"/>
      <c r="Z70" s="397">
        <v>1</v>
      </c>
      <c r="AA70" s="397">
        <v>1</v>
      </c>
      <c r="AB70" s="384"/>
      <c r="AC70" s="384"/>
      <c r="AD70" s="384"/>
      <c r="AE70" s="384"/>
      <c r="AF70" s="384"/>
      <c r="AG70" s="384"/>
      <c r="AH70" s="384"/>
      <c r="AI70" s="384"/>
      <c r="AJ70" s="384"/>
      <c r="AK70" s="384"/>
      <c r="AL70" s="384"/>
      <c r="AM70" s="384"/>
      <c r="AN70" s="384"/>
      <c r="AO70" s="391"/>
      <c r="AP70" s="315"/>
      <c r="AQ70" s="315"/>
      <c r="AR70" s="315"/>
      <c r="AS70" s="315"/>
      <c r="AT70" s="315"/>
      <c r="AU70" s="315"/>
      <c r="AV70" s="315"/>
      <c r="AW70" s="315"/>
      <c r="AX70" s="315"/>
      <c r="AY70" s="315"/>
      <c r="AZ70" s="315"/>
      <c r="BA70" s="315"/>
      <c r="BB70" s="315"/>
      <c r="BC70" s="315"/>
      <c r="BD70" s="315"/>
      <c r="BE70" s="387"/>
      <c r="BF70" s="387"/>
      <c r="BG70" s="387"/>
      <c r="BH70" s="387"/>
      <c r="BI70" s="387"/>
      <c r="BJ70" s="387"/>
      <c r="BK70" s="387"/>
      <c r="BL70" s="387"/>
      <c r="BM70" s="387"/>
      <c r="BN70" s="387"/>
      <c r="BO70" s="387"/>
      <c r="BP70" s="387"/>
      <c r="BQ70" s="387"/>
      <c r="BR70" s="387"/>
      <c r="BS70" s="387"/>
      <c r="BT70" s="387"/>
      <c r="BU70" s="387"/>
      <c r="BV70" s="387"/>
      <c r="BW70" s="387"/>
      <c r="BX70" s="387"/>
      <c r="BY70" s="387"/>
      <c r="BZ70" s="387"/>
      <c r="CA70" s="387"/>
      <c r="CB70" s="387"/>
      <c r="CC70" s="387"/>
      <c r="CD70" s="387"/>
      <c r="CE70" s="387"/>
      <c r="CF70" s="387"/>
      <c r="CG70" s="387"/>
      <c r="CH70" s="387"/>
      <c r="CI70" s="387"/>
      <c r="CJ70" s="387"/>
      <c r="CK70" s="383"/>
      <c r="CL70" s="383"/>
      <c r="CM70" s="383"/>
      <c r="CN70" s="383"/>
      <c r="CO70" s="383"/>
      <c r="CP70" s="383"/>
      <c r="CQ70" s="383"/>
      <c r="CR70" s="388"/>
      <c r="CS70" s="388"/>
      <c r="CT70" s="383"/>
      <c r="CU70" s="383"/>
      <c r="CV70" s="383"/>
      <c r="CW70" s="383"/>
      <c r="CX70" s="383"/>
      <c r="CY70" s="383"/>
      <c r="CZ70" s="383"/>
      <c r="DA70" s="383"/>
      <c r="DB70" s="383"/>
      <c r="DC70" s="383"/>
      <c r="DD70" s="383"/>
      <c r="DE70" s="383"/>
      <c r="DF70" s="383"/>
      <c r="DG70" s="383"/>
      <c r="DH70" s="370"/>
      <c r="DI70" s="370"/>
      <c r="DJ70" s="370"/>
      <c r="DK70" s="370"/>
      <c r="DL70" s="383"/>
      <c r="DM70" s="383"/>
      <c r="DN70" s="383"/>
      <c r="DO70" s="383"/>
      <c r="DP70" s="383"/>
      <c r="DQ70" s="383"/>
      <c r="DR70" s="383"/>
      <c r="DS70" s="370"/>
      <c r="DT70" s="370"/>
      <c r="DU70" s="384"/>
      <c r="DV70" s="384"/>
      <c r="DW70" s="383"/>
      <c r="DX70" s="315"/>
      <c r="DY70" s="315"/>
      <c r="DZ70" s="383"/>
      <c r="EA70" s="383"/>
      <c r="EB70" s="390"/>
      <c r="EC70" s="390"/>
      <c r="ED70" s="383"/>
      <c r="EE70" s="383"/>
      <c r="EF70" s="383"/>
      <c r="EG70" s="383"/>
      <c r="EH70" s="383"/>
      <c r="EI70" s="383"/>
      <c r="EJ70" s="383"/>
      <c r="EK70" s="383"/>
      <c r="EL70" s="383"/>
      <c r="EM70" s="383"/>
      <c r="EN70" s="370"/>
      <c r="EO70" s="370"/>
      <c r="EP70" s="370"/>
      <c r="EQ70" s="370"/>
      <c r="ER70" s="370"/>
      <c r="ES70" s="370"/>
      <c r="ET70" s="383"/>
      <c r="EU70" s="383"/>
      <c r="EV70" s="383"/>
      <c r="EW70" s="383"/>
      <c r="EX70" s="383"/>
      <c r="EY70" s="383"/>
      <c r="EZ70" s="383"/>
      <c r="FA70" s="383"/>
      <c r="FB70" s="383"/>
      <c r="FC70" s="383"/>
      <c r="FD70" s="383"/>
      <c r="FE70" s="383"/>
      <c r="FF70" s="383"/>
      <c r="FG70" s="383"/>
      <c r="FH70" s="383"/>
      <c r="FI70" s="383"/>
      <c r="FJ70" s="383"/>
      <c r="FK70" s="383"/>
      <c r="FL70" s="383"/>
      <c r="FM70" s="383"/>
      <c r="FN70" s="383"/>
      <c r="FO70" s="383"/>
      <c r="FP70" s="383"/>
      <c r="FQ70" s="383"/>
      <c r="FR70" s="383"/>
      <c r="FS70" s="383"/>
      <c r="FT70" s="383"/>
      <c r="FU70" s="383"/>
      <c r="FV70" s="383"/>
      <c r="FW70" s="383"/>
      <c r="FX70" s="383"/>
      <c r="FY70" s="383"/>
      <c r="FZ70" s="383"/>
      <c r="GA70" s="383"/>
      <c r="GB70" s="383"/>
      <c r="GC70" s="383"/>
      <c r="GD70" s="383"/>
      <c r="GE70" s="383"/>
      <c r="GF70" s="383"/>
      <c r="GG70" s="383"/>
      <c r="GH70" s="383"/>
      <c r="GI70" s="383"/>
      <c r="GJ70" s="383"/>
      <c r="GK70" s="383"/>
      <c r="GL70" s="383"/>
      <c r="GM70" s="383"/>
      <c r="GN70" s="383"/>
      <c r="GO70" s="383"/>
      <c r="GP70" s="383"/>
      <c r="GQ70" s="383"/>
      <c r="GR70" s="383"/>
      <c r="GS70" s="383"/>
      <c r="GT70" s="383"/>
      <c r="GU70" s="383"/>
      <c r="GV70" s="383"/>
      <c r="GW70" s="383"/>
      <c r="GX70" s="383"/>
      <c r="GY70" s="383"/>
      <c r="GZ70" s="383"/>
      <c r="HA70" s="383"/>
      <c r="HB70" s="383"/>
      <c r="HC70" s="383"/>
      <c r="HD70" s="383"/>
      <c r="HE70" s="383"/>
      <c r="HF70" s="383"/>
      <c r="HG70" s="383"/>
      <c r="HH70" s="383"/>
    </row>
    <row r="71" spans="1:216" ht="18" customHeight="1">
      <c r="A71" s="514"/>
      <c r="B71" s="314" t="s">
        <v>11106</v>
      </c>
      <c r="C71" s="398"/>
      <c r="D71" s="399" t="s">
        <v>8042</v>
      </c>
      <c r="E71" s="317" t="s">
        <v>8043</v>
      </c>
      <c r="F71" s="383"/>
      <c r="G71" s="383"/>
      <c r="H71" s="384"/>
      <c r="I71" s="317"/>
      <c r="J71" s="384">
        <v>1</v>
      </c>
      <c r="K71" s="384"/>
      <c r="L71" s="384"/>
      <c r="M71" s="397">
        <v>1</v>
      </c>
      <c r="N71" s="397">
        <v>1</v>
      </c>
      <c r="O71" s="397">
        <v>1</v>
      </c>
      <c r="P71" s="384"/>
      <c r="Q71" s="384"/>
      <c r="R71" s="397">
        <v>1</v>
      </c>
      <c r="S71" s="397">
        <v>1</v>
      </c>
      <c r="T71" s="384"/>
      <c r="U71" s="384"/>
      <c r="V71" s="384"/>
      <c r="W71" s="384"/>
      <c r="X71" s="384"/>
      <c r="Y71" s="384"/>
      <c r="Z71" s="397">
        <v>1</v>
      </c>
      <c r="AA71" s="397">
        <v>1</v>
      </c>
      <c r="AB71" s="384"/>
      <c r="AC71" s="384"/>
      <c r="AD71" s="384"/>
      <c r="AE71" s="384"/>
      <c r="AF71" s="384"/>
      <c r="AG71" s="384"/>
      <c r="AH71" s="384"/>
      <c r="AI71" s="384"/>
      <c r="AJ71" s="384"/>
      <c r="AK71" s="384"/>
      <c r="AL71" s="384"/>
      <c r="AM71" s="384"/>
      <c r="AN71" s="384"/>
      <c r="AO71" s="391"/>
      <c r="AP71" s="315"/>
      <c r="AQ71" s="315"/>
      <c r="AR71" s="315"/>
      <c r="AS71" s="315"/>
      <c r="AT71" s="315"/>
      <c r="AU71" s="315"/>
      <c r="AV71" s="315"/>
      <c r="AW71" s="315"/>
      <c r="AX71" s="315"/>
      <c r="AY71" s="315"/>
      <c r="AZ71" s="315"/>
      <c r="BA71" s="315"/>
      <c r="BB71" s="315"/>
      <c r="BC71" s="315"/>
      <c r="BD71" s="315"/>
      <c r="BE71" s="387"/>
      <c r="BF71" s="387"/>
      <c r="BG71" s="387"/>
      <c r="BH71" s="387"/>
      <c r="BI71" s="387"/>
      <c r="BJ71" s="387"/>
      <c r="BK71" s="387"/>
      <c r="BL71" s="387"/>
      <c r="BM71" s="387"/>
      <c r="BN71" s="387"/>
      <c r="BO71" s="387"/>
      <c r="BP71" s="387"/>
      <c r="BQ71" s="387"/>
      <c r="BR71" s="387"/>
      <c r="BS71" s="387"/>
      <c r="BT71" s="387"/>
      <c r="BU71" s="387"/>
      <c r="BV71" s="387"/>
      <c r="BW71" s="387"/>
      <c r="BX71" s="387"/>
      <c r="BY71" s="387"/>
      <c r="BZ71" s="387"/>
      <c r="CA71" s="387"/>
      <c r="CB71" s="387"/>
      <c r="CC71" s="387"/>
      <c r="CD71" s="387"/>
      <c r="CE71" s="387"/>
      <c r="CF71" s="387"/>
      <c r="CG71" s="387"/>
      <c r="CH71" s="387"/>
      <c r="CI71" s="387"/>
      <c r="CJ71" s="387"/>
      <c r="CK71" s="383"/>
      <c r="CL71" s="383"/>
      <c r="CM71" s="383"/>
      <c r="CN71" s="383"/>
      <c r="CO71" s="383"/>
      <c r="CP71" s="383"/>
      <c r="CQ71" s="383"/>
      <c r="CR71" s="388"/>
      <c r="CS71" s="388"/>
      <c r="CT71" s="383"/>
      <c r="CU71" s="383"/>
      <c r="CV71" s="383"/>
      <c r="CW71" s="383"/>
      <c r="CX71" s="383"/>
      <c r="CY71" s="383"/>
      <c r="CZ71" s="383"/>
      <c r="DA71" s="383"/>
      <c r="DB71" s="383"/>
      <c r="DC71" s="383"/>
      <c r="DD71" s="383"/>
      <c r="DE71" s="383"/>
      <c r="DF71" s="383"/>
      <c r="DG71" s="383"/>
      <c r="DH71" s="370"/>
      <c r="DI71" s="370"/>
      <c r="DJ71" s="370"/>
      <c r="DK71" s="370"/>
      <c r="DL71" s="383"/>
      <c r="DM71" s="383"/>
      <c r="DN71" s="383"/>
      <c r="DO71" s="383"/>
      <c r="DP71" s="383"/>
      <c r="DQ71" s="383"/>
      <c r="DR71" s="383"/>
      <c r="DS71" s="370"/>
      <c r="DT71" s="370"/>
      <c r="DU71" s="384"/>
      <c r="DV71" s="384"/>
      <c r="DW71" s="383"/>
      <c r="DX71" s="315"/>
      <c r="DY71" s="315"/>
      <c r="DZ71" s="383"/>
      <c r="EA71" s="383"/>
      <c r="EB71" s="390"/>
      <c r="EC71" s="390"/>
      <c r="ED71" s="383"/>
      <c r="EE71" s="383"/>
      <c r="EF71" s="383"/>
      <c r="EG71" s="383"/>
      <c r="EH71" s="383"/>
      <c r="EI71" s="383"/>
      <c r="EJ71" s="383"/>
      <c r="EK71" s="383"/>
      <c r="EL71" s="383"/>
      <c r="EM71" s="383"/>
      <c r="EN71" s="370"/>
      <c r="EO71" s="370"/>
      <c r="EP71" s="370"/>
      <c r="EQ71" s="370"/>
      <c r="ER71" s="370"/>
      <c r="ES71" s="370"/>
      <c r="ET71" s="383"/>
      <c r="EU71" s="383"/>
      <c r="EV71" s="383"/>
      <c r="EW71" s="383"/>
      <c r="EX71" s="383"/>
      <c r="EY71" s="383"/>
      <c r="EZ71" s="383"/>
      <c r="FA71" s="383"/>
      <c r="FB71" s="383"/>
      <c r="FC71" s="383"/>
      <c r="FD71" s="383"/>
      <c r="FE71" s="383"/>
      <c r="FF71" s="383"/>
      <c r="FG71" s="383"/>
      <c r="FH71" s="383"/>
      <c r="FI71" s="383"/>
      <c r="FJ71" s="383"/>
      <c r="FK71" s="383"/>
      <c r="FL71" s="383"/>
      <c r="FM71" s="383"/>
      <c r="FN71" s="383"/>
      <c r="FO71" s="383"/>
      <c r="FP71" s="383"/>
      <c r="FQ71" s="383"/>
      <c r="FR71" s="383"/>
      <c r="FS71" s="383"/>
      <c r="FT71" s="383"/>
      <c r="FU71" s="383"/>
      <c r="FV71" s="383"/>
      <c r="FW71" s="383"/>
      <c r="FX71" s="383"/>
      <c r="FY71" s="383"/>
      <c r="FZ71" s="383"/>
      <c r="GA71" s="383"/>
      <c r="GB71" s="383"/>
      <c r="GC71" s="383"/>
      <c r="GD71" s="383"/>
      <c r="GE71" s="383"/>
      <c r="GF71" s="383"/>
      <c r="GG71" s="383"/>
      <c r="GH71" s="383"/>
      <c r="GI71" s="383"/>
      <c r="GJ71" s="383"/>
      <c r="GK71" s="383"/>
      <c r="GL71" s="383"/>
      <c r="GM71" s="383"/>
      <c r="GN71" s="383"/>
      <c r="GO71" s="383"/>
      <c r="GP71" s="383"/>
      <c r="GQ71" s="383"/>
      <c r="GR71" s="383"/>
      <c r="GS71" s="383"/>
      <c r="GT71" s="383"/>
      <c r="GU71" s="383"/>
      <c r="GV71" s="383"/>
      <c r="GW71" s="383"/>
      <c r="GX71" s="383"/>
      <c r="GY71" s="383"/>
      <c r="GZ71" s="383"/>
      <c r="HA71" s="383"/>
      <c r="HB71" s="383"/>
      <c r="HC71" s="383"/>
      <c r="HD71" s="383"/>
      <c r="HE71" s="383"/>
      <c r="HF71" s="383"/>
      <c r="HG71" s="383"/>
      <c r="HH71" s="383"/>
    </row>
    <row r="72" spans="1:216" ht="18" customHeight="1">
      <c r="A72" s="395"/>
      <c r="B72" s="314" t="s">
        <v>8044</v>
      </c>
      <c r="C72" s="398"/>
      <c r="D72" s="400" t="s">
        <v>8045</v>
      </c>
      <c r="E72" s="317" t="s">
        <v>8043</v>
      </c>
      <c r="F72" s="383"/>
      <c r="G72" s="383"/>
      <c r="H72" s="384"/>
      <c r="I72" s="317"/>
      <c r="J72" s="384">
        <v>1</v>
      </c>
      <c r="K72" s="384"/>
      <c r="L72" s="384"/>
      <c r="M72" s="397">
        <v>1</v>
      </c>
      <c r="N72" s="397">
        <v>1</v>
      </c>
      <c r="O72" s="397">
        <v>1</v>
      </c>
      <c r="P72" s="384"/>
      <c r="Q72" s="384"/>
      <c r="R72" s="397">
        <v>1</v>
      </c>
      <c r="S72" s="397">
        <v>1</v>
      </c>
      <c r="T72" s="384"/>
      <c r="U72" s="384"/>
      <c r="V72" s="384"/>
      <c r="W72" s="384"/>
      <c r="X72" s="384"/>
      <c r="Y72" s="384"/>
      <c r="Z72" s="384"/>
      <c r="AA72" s="384"/>
      <c r="AB72" s="397">
        <v>1</v>
      </c>
      <c r="AC72" s="384"/>
      <c r="AD72" s="384"/>
      <c r="AE72" s="384"/>
      <c r="AF72" s="384"/>
      <c r="AG72" s="384"/>
      <c r="AH72" s="384"/>
      <c r="AI72" s="384"/>
      <c r="AJ72" s="384"/>
      <c r="AK72" s="384"/>
      <c r="AL72" s="384"/>
      <c r="AM72" s="384"/>
      <c r="AN72" s="384"/>
      <c r="AO72" s="391"/>
      <c r="AP72" s="315"/>
      <c r="AQ72" s="315"/>
      <c r="AR72" s="315"/>
      <c r="AS72" s="315"/>
      <c r="AT72" s="315"/>
      <c r="AU72" s="315"/>
      <c r="AV72" s="315"/>
      <c r="AW72" s="315"/>
      <c r="AX72" s="315"/>
      <c r="AY72" s="315"/>
      <c r="AZ72" s="315"/>
      <c r="BA72" s="315"/>
      <c r="BB72" s="315"/>
      <c r="BC72" s="315"/>
      <c r="BD72" s="315"/>
      <c r="BE72" s="387"/>
      <c r="BF72" s="387"/>
      <c r="BG72" s="387"/>
      <c r="BH72" s="387"/>
      <c r="BI72" s="387"/>
      <c r="BJ72" s="387"/>
      <c r="BK72" s="387"/>
      <c r="BL72" s="387"/>
      <c r="BM72" s="387"/>
      <c r="BN72" s="387"/>
      <c r="BO72" s="387"/>
      <c r="BP72" s="387"/>
      <c r="BQ72" s="387"/>
      <c r="BR72" s="387"/>
      <c r="BS72" s="387"/>
      <c r="BT72" s="387"/>
      <c r="BU72" s="387"/>
      <c r="BV72" s="387"/>
      <c r="BW72" s="387"/>
      <c r="BX72" s="387"/>
      <c r="BY72" s="387"/>
      <c r="BZ72" s="387"/>
      <c r="CA72" s="387"/>
      <c r="CB72" s="387"/>
      <c r="CC72" s="387"/>
      <c r="CD72" s="387"/>
      <c r="CE72" s="387"/>
      <c r="CF72" s="387"/>
      <c r="CG72" s="387"/>
      <c r="CH72" s="387"/>
      <c r="CI72" s="387"/>
      <c r="CJ72" s="387"/>
      <c r="CK72" s="383"/>
      <c r="CL72" s="383"/>
      <c r="CM72" s="383"/>
      <c r="CN72" s="383"/>
      <c r="CO72" s="383"/>
      <c r="CP72" s="383"/>
      <c r="CQ72" s="383"/>
      <c r="CR72" s="388"/>
      <c r="CS72" s="388"/>
      <c r="CT72" s="383"/>
      <c r="CU72" s="383"/>
      <c r="CV72" s="383"/>
      <c r="CW72" s="383"/>
      <c r="CX72" s="383"/>
      <c r="CY72" s="383"/>
      <c r="CZ72" s="383"/>
      <c r="DA72" s="383"/>
      <c r="DB72" s="383"/>
      <c r="DC72" s="383"/>
      <c r="DD72" s="383"/>
      <c r="DE72" s="383"/>
      <c r="DF72" s="383"/>
      <c r="DG72" s="383"/>
      <c r="DH72" s="370"/>
      <c r="DI72" s="370"/>
      <c r="DJ72" s="370"/>
      <c r="DK72" s="370"/>
      <c r="DL72" s="383"/>
      <c r="DM72" s="383"/>
      <c r="DN72" s="383"/>
      <c r="DO72" s="383"/>
      <c r="DP72" s="383"/>
      <c r="DQ72" s="383"/>
      <c r="DR72" s="383"/>
      <c r="DS72" s="370"/>
      <c r="DT72" s="370"/>
      <c r="DU72" s="384"/>
      <c r="DV72" s="384"/>
      <c r="DW72" s="383"/>
      <c r="DX72" s="315"/>
      <c r="DY72" s="315"/>
      <c r="DZ72" s="383"/>
      <c r="EA72" s="383"/>
      <c r="EB72" s="390"/>
      <c r="EC72" s="390"/>
      <c r="ED72" s="383"/>
      <c r="EE72" s="383"/>
      <c r="EF72" s="383"/>
      <c r="EG72" s="383"/>
      <c r="EH72" s="383"/>
      <c r="EI72" s="383"/>
      <c r="EJ72" s="383"/>
      <c r="EK72" s="383"/>
      <c r="EL72" s="383"/>
      <c r="EM72" s="383"/>
      <c r="EN72" s="370"/>
      <c r="EO72" s="370"/>
      <c r="EP72" s="370"/>
      <c r="EQ72" s="370"/>
      <c r="ER72" s="370"/>
      <c r="ES72" s="370"/>
      <c r="ET72" s="383"/>
      <c r="EU72" s="383"/>
      <c r="EV72" s="383"/>
      <c r="EW72" s="383"/>
      <c r="EX72" s="383"/>
      <c r="EY72" s="383"/>
      <c r="EZ72" s="383"/>
      <c r="FA72" s="383"/>
      <c r="FB72" s="383"/>
      <c r="FC72" s="383"/>
      <c r="FD72" s="383"/>
      <c r="FE72" s="383"/>
      <c r="FF72" s="383"/>
      <c r="FG72" s="383"/>
      <c r="FH72" s="383"/>
      <c r="FI72" s="383"/>
      <c r="FJ72" s="383"/>
      <c r="FK72" s="383"/>
      <c r="FL72" s="383"/>
      <c r="FM72" s="383"/>
      <c r="FN72" s="383"/>
      <c r="FO72" s="383"/>
      <c r="FP72" s="383"/>
      <c r="FQ72" s="383"/>
      <c r="FR72" s="383"/>
      <c r="FS72" s="383"/>
      <c r="FT72" s="383"/>
      <c r="FU72" s="383"/>
      <c r="FV72" s="383"/>
      <c r="FW72" s="383"/>
      <c r="FX72" s="383"/>
      <c r="FY72" s="383"/>
      <c r="FZ72" s="383"/>
      <c r="GA72" s="383"/>
      <c r="GB72" s="383"/>
      <c r="GC72" s="383"/>
      <c r="GD72" s="383"/>
      <c r="GE72" s="383"/>
      <c r="GF72" s="383"/>
      <c r="GG72" s="383"/>
      <c r="GH72" s="383"/>
      <c r="GI72" s="383"/>
      <c r="GJ72" s="383"/>
      <c r="GK72" s="383"/>
      <c r="GL72" s="383"/>
      <c r="GM72" s="383"/>
      <c r="GN72" s="383"/>
      <c r="GO72" s="383"/>
      <c r="GP72" s="383"/>
      <c r="GQ72" s="383"/>
      <c r="GR72" s="383"/>
      <c r="GS72" s="383"/>
      <c r="GT72" s="383"/>
      <c r="GU72" s="383"/>
      <c r="GV72" s="383"/>
      <c r="GW72" s="383"/>
      <c r="GX72" s="383"/>
      <c r="GY72" s="383"/>
      <c r="GZ72" s="383"/>
      <c r="HA72" s="383"/>
      <c r="HB72" s="383"/>
      <c r="HC72" s="383"/>
      <c r="HD72" s="383"/>
      <c r="HE72" s="383"/>
      <c r="HF72" s="383"/>
      <c r="HG72" s="383"/>
      <c r="HH72" s="383"/>
    </row>
    <row r="73" spans="1:216" ht="18" customHeight="1">
      <c r="A73" s="514"/>
      <c r="B73" s="314" t="s">
        <v>11107</v>
      </c>
      <c r="C73" s="398"/>
      <c r="D73" s="400" t="s">
        <v>8045</v>
      </c>
      <c r="E73" s="317" t="s">
        <v>8043</v>
      </c>
      <c r="F73" s="383"/>
      <c r="G73" s="383"/>
      <c r="H73" s="384"/>
      <c r="I73" s="317"/>
      <c r="J73" s="384">
        <v>1</v>
      </c>
      <c r="K73" s="384"/>
      <c r="L73" s="384"/>
      <c r="M73" s="397">
        <v>1</v>
      </c>
      <c r="N73" s="397">
        <v>1</v>
      </c>
      <c r="O73" s="397">
        <v>1</v>
      </c>
      <c r="P73" s="384"/>
      <c r="Q73" s="384"/>
      <c r="R73" s="397">
        <v>1</v>
      </c>
      <c r="S73" s="397">
        <v>1</v>
      </c>
      <c r="T73" s="384"/>
      <c r="U73" s="384"/>
      <c r="V73" s="384"/>
      <c r="W73" s="384"/>
      <c r="X73" s="384"/>
      <c r="Y73" s="384"/>
      <c r="Z73" s="384"/>
      <c r="AA73" s="384"/>
      <c r="AB73" s="397">
        <v>1</v>
      </c>
      <c r="AC73" s="384"/>
      <c r="AD73" s="384"/>
      <c r="AE73" s="384"/>
      <c r="AF73" s="384"/>
      <c r="AG73" s="384"/>
      <c r="AH73" s="384"/>
      <c r="AI73" s="384"/>
      <c r="AJ73" s="384"/>
      <c r="AK73" s="384"/>
      <c r="AL73" s="384"/>
      <c r="AM73" s="384"/>
      <c r="AN73" s="384"/>
      <c r="AO73" s="391"/>
      <c r="AP73" s="315"/>
      <c r="AQ73" s="315"/>
      <c r="AR73" s="315"/>
      <c r="AS73" s="315"/>
      <c r="AT73" s="315"/>
      <c r="AU73" s="315"/>
      <c r="AV73" s="315"/>
      <c r="AW73" s="315"/>
      <c r="AX73" s="315"/>
      <c r="AY73" s="315"/>
      <c r="AZ73" s="315"/>
      <c r="BA73" s="315"/>
      <c r="BB73" s="315"/>
      <c r="BC73" s="315"/>
      <c r="BD73" s="315"/>
      <c r="BE73" s="387"/>
      <c r="BF73" s="387"/>
      <c r="BG73" s="387"/>
      <c r="BH73" s="387"/>
      <c r="BI73" s="387"/>
      <c r="BJ73" s="387"/>
      <c r="BK73" s="387"/>
      <c r="BL73" s="387"/>
      <c r="BM73" s="387"/>
      <c r="BN73" s="387"/>
      <c r="BO73" s="387"/>
      <c r="BP73" s="387"/>
      <c r="BQ73" s="387"/>
      <c r="BR73" s="387"/>
      <c r="BS73" s="387"/>
      <c r="BT73" s="387"/>
      <c r="BU73" s="387"/>
      <c r="BV73" s="387"/>
      <c r="BW73" s="387"/>
      <c r="BX73" s="387"/>
      <c r="BY73" s="387"/>
      <c r="BZ73" s="387"/>
      <c r="CA73" s="387"/>
      <c r="CB73" s="387"/>
      <c r="CC73" s="387"/>
      <c r="CD73" s="387"/>
      <c r="CE73" s="387"/>
      <c r="CF73" s="387"/>
      <c r="CG73" s="387"/>
      <c r="CH73" s="387"/>
      <c r="CI73" s="387"/>
      <c r="CJ73" s="387"/>
      <c r="CK73" s="383"/>
      <c r="CL73" s="383"/>
      <c r="CM73" s="383"/>
      <c r="CN73" s="383"/>
      <c r="CO73" s="383"/>
      <c r="CP73" s="383"/>
      <c r="CQ73" s="383"/>
      <c r="CR73" s="388"/>
      <c r="CS73" s="388"/>
      <c r="CT73" s="383"/>
      <c r="CU73" s="383"/>
      <c r="CV73" s="383"/>
      <c r="CW73" s="383"/>
      <c r="CX73" s="383"/>
      <c r="CY73" s="383"/>
      <c r="CZ73" s="383"/>
      <c r="DA73" s="383"/>
      <c r="DB73" s="383"/>
      <c r="DC73" s="383"/>
      <c r="DD73" s="383"/>
      <c r="DE73" s="383"/>
      <c r="DF73" s="383"/>
      <c r="DG73" s="383"/>
      <c r="DH73" s="370"/>
      <c r="DI73" s="370"/>
      <c r="DJ73" s="370"/>
      <c r="DK73" s="370"/>
      <c r="DL73" s="383"/>
      <c r="DM73" s="383"/>
      <c r="DN73" s="383"/>
      <c r="DO73" s="383"/>
      <c r="DP73" s="383"/>
      <c r="DQ73" s="383"/>
      <c r="DR73" s="383"/>
      <c r="DS73" s="370"/>
      <c r="DT73" s="370"/>
      <c r="DU73" s="384"/>
      <c r="DV73" s="384"/>
      <c r="DW73" s="383"/>
      <c r="DX73" s="315"/>
      <c r="DY73" s="315"/>
      <c r="DZ73" s="383"/>
      <c r="EA73" s="383"/>
      <c r="EB73" s="390"/>
      <c r="EC73" s="390"/>
      <c r="ED73" s="383"/>
      <c r="EE73" s="383"/>
      <c r="EF73" s="383"/>
      <c r="EG73" s="383"/>
      <c r="EH73" s="383"/>
      <c r="EI73" s="383"/>
      <c r="EJ73" s="383"/>
      <c r="EK73" s="383"/>
      <c r="EL73" s="383"/>
      <c r="EM73" s="383"/>
      <c r="EN73" s="370"/>
      <c r="EO73" s="370"/>
      <c r="EP73" s="370"/>
      <c r="EQ73" s="370"/>
      <c r="ER73" s="370"/>
      <c r="ES73" s="370"/>
      <c r="ET73" s="383"/>
      <c r="EU73" s="383"/>
      <c r="EV73" s="383"/>
      <c r="EW73" s="383"/>
      <c r="EX73" s="383"/>
      <c r="EY73" s="383"/>
      <c r="EZ73" s="383"/>
      <c r="FA73" s="383"/>
      <c r="FB73" s="383"/>
      <c r="FC73" s="383"/>
      <c r="FD73" s="383"/>
      <c r="FE73" s="383"/>
      <c r="FF73" s="383"/>
      <c r="FG73" s="383"/>
      <c r="FH73" s="383"/>
      <c r="FI73" s="383"/>
      <c r="FJ73" s="383"/>
      <c r="FK73" s="383"/>
      <c r="FL73" s="383"/>
      <c r="FM73" s="383"/>
      <c r="FN73" s="383"/>
      <c r="FO73" s="383"/>
      <c r="FP73" s="383"/>
      <c r="FQ73" s="383"/>
      <c r="FR73" s="383"/>
      <c r="FS73" s="383"/>
      <c r="FT73" s="383"/>
      <c r="FU73" s="383"/>
      <c r="FV73" s="383"/>
      <c r="FW73" s="383"/>
      <c r="FX73" s="383"/>
      <c r="FY73" s="383"/>
      <c r="FZ73" s="383"/>
      <c r="GA73" s="383"/>
      <c r="GB73" s="383"/>
      <c r="GC73" s="383"/>
      <c r="GD73" s="383"/>
      <c r="GE73" s="383"/>
      <c r="GF73" s="383"/>
      <c r="GG73" s="383"/>
      <c r="GH73" s="383"/>
      <c r="GI73" s="383"/>
      <c r="GJ73" s="383"/>
      <c r="GK73" s="383"/>
      <c r="GL73" s="383"/>
      <c r="GM73" s="383"/>
      <c r="GN73" s="383"/>
      <c r="GO73" s="383"/>
      <c r="GP73" s="383"/>
      <c r="GQ73" s="383"/>
      <c r="GR73" s="383"/>
      <c r="GS73" s="383"/>
      <c r="GT73" s="383"/>
      <c r="GU73" s="383"/>
      <c r="GV73" s="383"/>
      <c r="GW73" s="383"/>
      <c r="GX73" s="383"/>
      <c r="GY73" s="383"/>
      <c r="GZ73" s="383"/>
      <c r="HA73" s="383"/>
      <c r="HB73" s="383"/>
      <c r="HC73" s="383"/>
      <c r="HD73" s="383"/>
      <c r="HE73" s="383"/>
      <c r="HF73" s="383"/>
      <c r="HG73" s="383"/>
      <c r="HH73" s="383"/>
    </row>
    <row r="74" spans="1:216" ht="18" customHeight="1">
      <c r="A74" s="514"/>
      <c r="B74" s="314" t="s">
        <v>11108</v>
      </c>
      <c r="C74" s="398"/>
      <c r="D74" s="400" t="s">
        <v>8705</v>
      </c>
      <c r="E74" s="317"/>
      <c r="F74" s="383"/>
      <c r="G74" s="383"/>
      <c r="H74" s="384">
        <v>1</v>
      </c>
      <c r="I74" s="317" t="s">
        <v>8706</v>
      </c>
      <c r="J74" s="384">
        <v>1</v>
      </c>
      <c r="K74" s="384"/>
      <c r="L74" s="384"/>
      <c r="M74" s="397">
        <v>1</v>
      </c>
      <c r="N74" s="384"/>
      <c r="O74" s="384"/>
      <c r="P74" s="384"/>
      <c r="Q74" s="384"/>
      <c r="R74" s="397">
        <v>1</v>
      </c>
      <c r="S74" s="397">
        <v>1</v>
      </c>
      <c r="T74" s="384"/>
      <c r="U74" s="384"/>
      <c r="V74" s="384"/>
      <c r="W74" s="384"/>
      <c r="X74" s="384"/>
      <c r="Y74" s="397">
        <v>1</v>
      </c>
      <c r="Z74" s="384"/>
      <c r="AA74" s="384"/>
      <c r="AB74" s="384"/>
      <c r="AC74" s="384"/>
      <c r="AD74" s="384"/>
      <c r="AE74" s="384"/>
      <c r="AF74" s="384"/>
      <c r="AG74" s="384"/>
      <c r="AH74" s="384"/>
      <c r="AI74" s="384"/>
      <c r="AJ74" s="384"/>
      <c r="AK74" s="384"/>
      <c r="AL74" s="384"/>
      <c r="AM74" s="384"/>
      <c r="AN74" s="384"/>
      <c r="AO74" s="391"/>
      <c r="AP74" s="315"/>
      <c r="AQ74" s="315"/>
      <c r="AR74" s="315"/>
      <c r="AS74" s="315"/>
      <c r="AT74" s="315"/>
      <c r="AU74" s="315"/>
      <c r="AV74" s="315"/>
      <c r="AW74" s="315"/>
      <c r="AX74" s="315"/>
      <c r="AY74" s="315"/>
      <c r="AZ74" s="315"/>
      <c r="BA74" s="315"/>
      <c r="BB74" s="315"/>
      <c r="BC74" s="315"/>
      <c r="BD74" s="315"/>
      <c r="BE74" s="387"/>
      <c r="BF74" s="387"/>
      <c r="BG74" s="387"/>
      <c r="BH74" s="387"/>
      <c r="BI74" s="387"/>
      <c r="BJ74" s="387"/>
      <c r="BK74" s="387"/>
      <c r="BL74" s="387"/>
      <c r="BM74" s="387"/>
      <c r="BN74" s="387"/>
      <c r="BO74" s="387"/>
      <c r="BP74" s="387"/>
      <c r="BQ74" s="387"/>
      <c r="BR74" s="387"/>
      <c r="BS74" s="387"/>
      <c r="BT74" s="387"/>
      <c r="BU74" s="387"/>
      <c r="BV74" s="387"/>
      <c r="BW74" s="387"/>
      <c r="BX74" s="387"/>
      <c r="BY74" s="387"/>
      <c r="BZ74" s="387"/>
      <c r="CA74" s="387"/>
      <c r="CB74" s="387"/>
      <c r="CC74" s="387"/>
      <c r="CD74" s="387"/>
      <c r="CE74" s="387"/>
      <c r="CF74" s="387"/>
      <c r="CG74" s="387"/>
      <c r="CH74" s="387"/>
      <c r="CI74" s="387"/>
      <c r="CJ74" s="387"/>
      <c r="CK74" s="383"/>
      <c r="CL74" s="383"/>
      <c r="CM74" s="383"/>
      <c r="CN74" s="383"/>
      <c r="CO74" s="383"/>
      <c r="CP74" s="383"/>
      <c r="CQ74" s="450">
        <v>1</v>
      </c>
      <c r="CR74" s="451">
        <v>1</v>
      </c>
      <c r="CS74" s="451">
        <v>1</v>
      </c>
      <c r="CT74" s="450">
        <v>1</v>
      </c>
      <c r="CU74" s="450">
        <v>1</v>
      </c>
      <c r="CV74" s="450">
        <v>1</v>
      </c>
      <c r="CW74" s="450">
        <v>1</v>
      </c>
      <c r="CX74" s="383"/>
      <c r="CY74" s="383"/>
      <c r="CZ74" s="383"/>
      <c r="DA74" s="383"/>
      <c r="DB74" s="383"/>
      <c r="DC74" s="383"/>
      <c r="DD74" s="383"/>
      <c r="DE74" s="383"/>
      <c r="DF74" s="383"/>
      <c r="DG74" s="383"/>
      <c r="DH74" s="370"/>
      <c r="DI74" s="370"/>
      <c r="DJ74" s="370"/>
      <c r="DK74" s="370"/>
      <c r="DL74" s="383"/>
      <c r="DM74" s="383"/>
      <c r="DN74" s="383"/>
      <c r="DO74" s="383"/>
      <c r="DP74" s="383"/>
      <c r="DQ74" s="450">
        <v>1</v>
      </c>
      <c r="DR74" s="383"/>
      <c r="DS74" s="370"/>
      <c r="DT74" s="370"/>
      <c r="DU74" s="384"/>
      <c r="DV74" s="384"/>
      <c r="DW74" s="383"/>
      <c r="DX74" s="315"/>
      <c r="DY74" s="315"/>
      <c r="DZ74" s="383"/>
      <c r="EA74" s="383"/>
      <c r="EB74" s="390"/>
      <c r="EC74" s="390"/>
      <c r="ED74" s="383"/>
      <c r="EE74" s="383"/>
      <c r="EF74" s="383"/>
      <c r="EG74" s="383"/>
      <c r="EH74" s="383"/>
      <c r="EI74" s="383"/>
      <c r="EJ74" s="383"/>
      <c r="EK74" s="383"/>
      <c r="EL74" s="383"/>
      <c r="EM74" s="383"/>
      <c r="EN74" s="370"/>
      <c r="EO74" s="370"/>
      <c r="EP74" s="370"/>
      <c r="EQ74" s="370"/>
      <c r="ER74" s="370"/>
      <c r="ES74" s="370"/>
      <c r="ET74" s="383"/>
      <c r="EU74" s="383"/>
      <c r="EV74" s="383"/>
      <c r="EW74" s="383"/>
      <c r="EX74" s="383"/>
      <c r="EY74" s="383"/>
      <c r="EZ74" s="383"/>
      <c r="FA74" s="383"/>
      <c r="FB74" s="383"/>
      <c r="FC74" s="383"/>
      <c r="FD74" s="383"/>
      <c r="FE74" s="383"/>
      <c r="FF74" s="383"/>
      <c r="FG74" s="383"/>
      <c r="FH74" s="383"/>
      <c r="FI74" s="383"/>
      <c r="FJ74" s="383"/>
      <c r="FK74" s="383"/>
      <c r="FL74" s="383"/>
      <c r="FM74" s="383"/>
      <c r="FN74" s="383"/>
      <c r="FO74" s="383"/>
      <c r="FP74" s="383"/>
      <c r="FQ74" s="383"/>
      <c r="FR74" s="383"/>
      <c r="FS74" s="383"/>
      <c r="FT74" s="383"/>
      <c r="FU74" s="383"/>
      <c r="FV74" s="383"/>
      <c r="FW74" s="383"/>
      <c r="FX74" s="383"/>
      <c r="FY74" s="383"/>
      <c r="FZ74" s="383"/>
      <c r="GA74" s="383"/>
      <c r="GB74" s="383"/>
      <c r="GC74" s="383"/>
      <c r="GD74" s="383"/>
      <c r="GE74" s="383"/>
      <c r="GF74" s="383"/>
      <c r="GG74" s="383"/>
      <c r="GH74" s="383"/>
      <c r="GI74" s="383"/>
      <c r="GJ74" s="383"/>
      <c r="GK74" s="383"/>
      <c r="GL74" s="383"/>
      <c r="GM74" s="383"/>
      <c r="GN74" s="383"/>
      <c r="GO74" s="383"/>
      <c r="GP74" s="383"/>
      <c r="GQ74" s="383"/>
      <c r="GR74" s="383"/>
      <c r="GS74" s="383"/>
      <c r="GT74" s="383"/>
      <c r="GU74" s="383"/>
      <c r="GV74" s="383"/>
      <c r="GW74" s="383"/>
      <c r="GX74" s="383"/>
      <c r="GY74" s="383"/>
      <c r="GZ74" s="383"/>
      <c r="HA74" s="383"/>
      <c r="HB74" s="383"/>
      <c r="HC74" s="383"/>
      <c r="HD74" s="383"/>
      <c r="HE74" s="383"/>
      <c r="HF74" s="383"/>
      <c r="HG74" s="383"/>
      <c r="HH74" s="383"/>
    </row>
    <row r="75" spans="1:216" ht="18" customHeight="1">
      <c r="A75" s="514"/>
      <c r="B75" s="314" t="s">
        <v>11109</v>
      </c>
      <c r="C75" s="398"/>
      <c r="D75" s="400" t="s">
        <v>8708</v>
      </c>
      <c r="E75" s="317"/>
      <c r="F75" s="383"/>
      <c r="G75" s="383"/>
      <c r="H75" s="384">
        <v>1</v>
      </c>
      <c r="I75" s="317" t="s">
        <v>10308</v>
      </c>
      <c r="J75" s="384"/>
      <c r="K75" s="384">
        <v>1</v>
      </c>
      <c r="L75" s="384"/>
      <c r="M75" s="384"/>
      <c r="N75" s="397">
        <v>1</v>
      </c>
      <c r="O75" s="384"/>
      <c r="P75" s="384"/>
      <c r="Q75" s="384"/>
      <c r="R75" s="397">
        <v>1</v>
      </c>
      <c r="S75" s="397">
        <v>1</v>
      </c>
      <c r="T75" s="384"/>
      <c r="U75" s="384"/>
      <c r="V75" s="384"/>
      <c r="W75" s="384"/>
      <c r="X75" s="384"/>
      <c r="Y75" s="397">
        <v>1</v>
      </c>
      <c r="Z75" s="384"/>
      <c r="AA75" s="384"/>
      <c r="AB75" s="384"/>
      <c r="AC75" s="384"/>
      <c r="AD75" s="384"/>
      <c r="AE75" s="384"/>
      <c r="AF75" s="384"/>
      <c r="AG75" s="384"/>
      <c r="AH75" s="384"/>
      <c r="AI75" s="384"/>
      <c r="AJ75" s="384"/>
      <c r="AK75" s="384"/>
      <c r="AL75" s="384"/>
      <c r="AM75" s="384"/>
      <c r="AN75" s="384"/>
      <c r="AO75" s="391"/>
      <c r="AP75" s="315"/>
      <c r="AQ75" s="315"/>
      <c r="AR75" s="315"/>
      <c r="AS75" s="315"/>
      <c r="AT75" s="315"/>
      <c r="AU75" s="315"/>
      <c r="AV75" s="315"/>
      <c r="AW75" s="315"/>
      <c r="AX75" s="315"/>
      <c r="AY75" s="315"/>
      <c r="AZ75" s="315"/>
      <c r="BA75" s="315"/>
      <c r="BB75" s="315"/>
      <c r="BC75" s="315"/>
      <c r="BD75" s="315"/>
      <c r="BE75" s="387"/>
      <c r="BF75" s="387"/>
      <c r="BG75" s="387"/>
      <c r="BH75" s="387"/>
      <c r="BI75" s="387"/>
      <c r="BJ75" s="387"/>
      <c r="BK75" s="387"/>
      <c r="BL75" s="387"/>
      <c r="BM75" s="387"/>
      <c r="BN75" s="387"/>
      <c r="BO75" s="387"/>
      <c r="BP75" s="387"/>
      <c r="BQ75" s="387"/>
      <c r="BR75" s="387"/>
      <c r="BS75" s="387"/>
      <c r="BT75" s="387"/>
      <c r="BU75" s="387"/>
      <c r="BV75" s="387"/>
      <c r="BW75" s="387"/>
      <c r="BX75" s="387"/>
      <c r="BY75" s="387"/>
      <c r="BZ75" s="387"/>
      <c r="CA75" s="387"/>
      <c r="CB75" s="387"/>
      <c r="CC75" s="387"/>
      <c r="CD75" s="387"/>
      <c r="CE75" s="387"/>
      <c r="CF75" s="387"/>
      <c r="CG75" s="387"/>
      <c r="CH75" s="387"/>
      <c r="CI75" s="387"/>
      <c r="CJ75" s="387"/>
      <c r="CK75" s="383"/>
      <c r="CL75" s="383"/>
      <c r="CM75" s="383"/>
      <c r="CN75" s="383"/>
      <c r="CO75" s="383"/>
      <c r="CP75" s="383"/>
      <c r="CQ75" s="383"/>
      <c r="CR75" s="388"/>
      <c r="CS75" s="388"/>
      <c r="CT75" s="383"/>
      <c r="CU75" s="383"/>
      <c r="CV75" s="383"/>
      <c r="CW75" s="383"/>
      <c r="CX75" s="383"/>
      <c r="CY75" s="383"/>
      <c r="CZ75" s="383"/>
      <c r="DA75" s="383"/>
      <c r="DB75" s="383"/>
      <c r="DC75" s="383"/>
      <c r="DD75" s="383"/>
      <c r="DE75" s="383"/>
      <c r="DF75" s="383"/>
      <c r="DG75" s="383"/>
      <c r="DH75" s="370"/>
      <c r="DI75" s="370"/>
      <c r="DJ75" s="370"/>
      <c r="DK75" s="370"/>
      <c r="DL75" s="383"/>
      <c r="DM75" s="383"/>
      <c r="DN75" s="383"/>
      <c r="DO75" s="383"/>
      <c r="DP75" s="383"/>
      <c r="DQ75" s="450">
        <v>1</v>
      </c>
      <c r="DR75" s="383"/>
      <c r="DS75" s="370"/>
      <c r="DT75" s="370"/>
      <c r="DU75" s="384"/>
      <c r="DV75" s="384"/>
      <c r="DW75" s="383"/>
      <c r="DX75" s="315"/>
      <c r="DY75" s="315"/>
      <c r="DZ75" s="383"/>
      <c r="EA75" s="383"/>
      <c r="EB75" s="390"/>
      <c r="EC75" s="390"/>
      <c r="ED75" s="383"/>
      <c r="EE75" s="383"/>
      <c r="EF75" s="383"/>
      <c r="EG75" s="383"/>
      <c r="EH75" s="383"/>
      <c r="EI75" s="383"/>
      <c r="EJ75" s="383"/>
      <c r="EK75" s="383"/>
      <c r="EL75" s="383"/>
      <c r="EM75" s="383"/>
      <c r="EN75" s="370"/>
      <c r="EO75" s="370"/>
      <c r="EP75" s="370"/>
      <c r="EQ75" s="370"/>
      <c r="ER75" s="370"/>
      <c r="ES75" s="370"/>
      <c r="ET75" s="383"/>
      <c r="EU75" s="383"/>
      <c r="EV75" s="383"/>
      <c r="EW75" s="383"/>
      <c r="EX75" s="383"/>
      <c r="EY75" s="383"/>
      <c r="EZ75" s="383"/>
      <c r="FA75" s="383"/>
      <c r="FB75" s="383"/>
      <c r="FC75" s="383"/>
      <c r="FD75" s="383"/>
      <c r="FE75" s="383"/>
      <c r="FF75" s="383"/>
      <c r="FG75" s="383"/>
      <c r="FH75" s="383"/>
      <c r="FI75" s="383"/>
      <c r="FJ75" s="383"/>
      <c r="FK75" s="383"/>
      <c r="FL75" s="383"/>
      <c r="FM75" s="383"/>
      <c r="FN75" s="383"/>
      <c r="FO75" s="383"/>
      <c r="FP75" s="383"/>
      <c r="FQ75" s="383"/>
      <c r="FR75" s="383"/>
      <c r="FS75" s="383"/>
      <c r="FT75" s="383"/>
      <c r="FU75" s="383"/>
      <c r="FV75" s="383"/>
      <c r="FW75" s="383"/>
      <c r="FX75" s="383"/>
      <c r="FY75" s="383"/>
      <c r="FZ75" s="383"/>
      <c r="GA75" s="383"/>
      <c r="GB75" s="383"/>
      <c r="GC75" s="383"/>
      <c r="GD75" s="383"/>
      <c r="GE75" s="383"/>
      <c r="GF75" s="383"/>
      <c r="GG75" s="383"/>
      <c r="GH75" s="383"/>
      <c r="GI75" s="383"/>
      <c r="GJ75" s="383"/>
      <c r="GK75" s="383"/>
      <c r="GL75" s="383"/>
      <c r="GM75" s="383"/>
      <c r="GN75" s="383"/>
      <c r="GO75" s="383"/>
      <c r="GP75" s="383"/>
      <c r="GQ75" s="383"/>
      <c r="GR75" s="383"/>
      <c r="GS75" s="383"/>
      <c r="GT75" s="383"/>
      <c r="GU75" s="383"/>
      <c r="GV75" s="383"/>
      <c r="GW75" s="383"/>
      <c r="GX75" s="383"/>
      <c r="GY75" s="383"/>
      <c r="GZ75" s="383"/>
      <c r="HA75" s="383"/>
      <c r="HB75" s="383"/>
      <c r="HC75" s="383"/>
      <c r="HD75" s="383"/>
      <c r="HE75" s="383"/>
      <c r="HF75" s="383"/>
      <c r="HG75" s="383"/>
      <c r="HH75" s="383"/>
    </row>
    <row r="76" spans="1:216" ht="18" customHeight="1">
      <c r="A76" s="514"/>
      <c r="B76" s="314" t="s">
        <v>11110</v>
      </c>
      <c r="C76" s="398"/>
      <c r="D76" s="400" t="s">
        <v>8708</v>
      </c>
      <c r="E76" s="317"/>
      <c r="F76" s="383"/>
      <c r="G76" s="383"/>
      <c r="H76" s="384">
        <v>1</v>
      </c>
      <c r="I76" s="317" t="s">
        <v>10308</v>
      </c>
      <c r="J76" s="384"/>
      <c r="K76" s="384">
        <v>1</v>
      </c>
      <c r="L76" s="384"/>
      <c r="M76" s="384"/>
      <c r="N76" s="397">
        <v>1</v>
      </c>
      <c r="O76" s="384"/>
      <c r="P76" s="384"/>
      <c r="Q76" s="384"/>
      <c r="R76" s="397">
        <v>1</v>
      </c>
      <c r="S76" s="397">
        <v>1</v>
      </c>
      <c r="T76" s="384"/>
      <c r="U76" s="384"/>
      <c r="V76" s="384"/>
      <c r="W76" s="384"/>
      <c r="X76" s="384"/>
      <c r="Y76" s="397">
        <v>1</v>
      </c>
      <c r="Z76" s="384"/>
      <c r="AA76" s="384"/>
      <c r="AB76" s="384"/>
      <c r="AC76" s="384"/>
      <c r="AD76" s="384"/>
      <c r="AE76" s="384"/>
      <c r="AF76" s="384"/>
      <c r="AG76" s="384"/>
      <c r="AH76" s="384"/>
      <c r="AI76" s="384"/>
      <c r="AJ76" s="384"/>
      <c r="AK76" s="384"/>
      <c r="AL76" s="384"/>
      <c r="AM76" s="384"/>
      <c r="AN76" s="384"/>
      <c r="AO76" s="391"/>
      <c r="AP76" s="315"/>
      <c r="AQ76" s="315"/>
      <c r="AR76" s="315"/>
      <c r="AS76" s="315"/>
      <c r="AT76" s="315"/>
      <c r="AU76" s="315"/>
      <c r="AV76" s="315"/>
      <c r="AW76" s="315"/>
      <c r="AX76" s="315"/>
      <c r="AY76" s="315"/>
      <c r="AZ76" s="315"/>
      <c r="BA76" s="315"/>
      <c r="BB76" s="315"/>
      <c r="BC76" s="315"/>
      <c r="BD76" s="315"/>
      <c r="BE76" s="387"/>
      <c r="BF76" s="387"/>
      <c r="BG76" s="387"/>
      <c r="BH76" s="387"/>
      <c r="BI76" s="387"/>
      <c r="BJ76" s="387"/>
      <c r="BK76" s="387"/>
      <c r="BL76" s="387"/>
      <c r="BM76" s="387"/>
      <c r="BN76" s="387"/>
      <c r="BO76" s="387"/>
      <c r="BP76" s="387"/>
      <c r="BQ76" s="387"/>
      <c r="BR76" s="387"/>
      <c r="BS76" s="387"/>
      <c r="BT76" s="387"/>
      <c r="BU76" s="387"/>
      <c r="BV76" s="387"/>
      <c r="BW76" s="387"/>
      <c r="BX76" s="387"/>
      <c r="BY76" s="387"/>
      <c r="BZ76" s="387"/>
      <c r="CA76" s="387"/>
      <c r="CB76" s="387"/>
      <c r="CC76" s="387"/>
      <c r="CD76" s="387"/>
      <c r="CE76" s="387"/>
      <c r="CF76" s="387"/>
      <c r="CG76" s="387"/>
      <c r="CH76" s="387"/>
      <c r="CI76" s="387"/>
      <c r="CJ76" s="387"/>
      <c r="CK76" s="383"/>
      <c r="CL76" s="383"/>
      <c r="CM76" s="383"/>
      <c r="CN76" s="383"/>
      <c r="CO76" s="383"/>
      <c r="CP76" s="383"/>
      <c r="CQ76" s="383"/>
      <c r="CR76" s="388"/>
      <c r="CS76" s="388"/>
      <c r="CT76" s="383"/>
      <c r="CU76" s="383"/>
      <c r="CV76" s="383"/>
      <c r="CW76" s="383"/>
      <c r="CX76" s="383"/>
      <c r="CY76" s="383"/>
      <c r="CZ76" s="383"/>
      <c r="DA76" s="383"/>
      <c r="DB76" s="383"/>
      <c r="DC76" s="383"/>
      <c r="DD76" s="383"/>
      <c r="DE76" s="383"/>
      <c r="DF76" s="383"/>
      <c r="DG76" s="383"/>
      <c r="DH76" s="370"/>
      <c r="DI76" s="370"/>
      <c r="DJ76" s="370"/>
      <c r="DK76" s="370"/>
      <c r="DL76" s="383"/>
      <c r="DM76" s="383"/>
      <c r="DN76" s="383"/>
      <c r="DO76" s="383"/>
      <c r="DP76" s="383"/>
      <c r="DQ76" s="450">
        <v>1</v>
      </c>
      <c r="DR76" s="383"/>
      <c r="DS76" s="370"/>
      <c r="DT76" s="370"/>
      <c r="DU76" s="384"/>
      <c r="DV76" s="384"/>
      <c r="DW76" s="383"/>
      <c r="DX76" s="315"/>
      <c r="DY76" s="315"/>
      <c r="DZ76" s="383"/>
      <c r="EA76" s="383"/>
      <c r="EB76" s="390"/>
      <c r="EC76" s="390"/>
      <c r="ED76" s="383"/>
      <c r="EE76" s="383"/>
      <c r="EF76" s="383"/>
      <c r="EG76" s="383"/>
      <c r="EH76" s="383"/>
      <c r="EI76" s="383"/>
      <c r="EJ76" s="383"/>
      <c r="EK76" s="383"/>
      <c r="EL76" s="383"/>
      <c r="EM76" s="383"/>
      <c r="EN76" s="370"/>
      <c r="EO76" s="370"/>
      <c r="EP76" s="370"/>
      <c r="EQ76" s="370"/>
      <c r="ER76" s="370"/>
      <c r="ES76" s="370"/>
      <c r="ET76" s="383"/>
      <c r="EU76" s="383"/>
      <c r="EV76" s="383"/>
      <c r="EW76" s="383"/>
      <c r="EX76" s="383"/>
      <c r="EY76" s="383"/>
      <c r="EZ76" s="383"/>
      <c r="FA76" s="383"/>
      <c r="FB76" s="383"/>
      <c r="FC76" s="383"/>
      <c r="FD76" s="383"/>
      <c r="FE76" s="383"/>
      <c r="FF76" s="383"/>
      <c r="FG76" s="450">
        <v>1</v>
      </c>
      <c r="FH76" s="450">
        <v>1</v>
      </c>
      <c r="FI76" s="450">
        <v>1</v>
      </c>
      <c r="FJ76" s="450">
        <v>1</v>
      </c>
      <c r="FK76" s="383"/>
      <c r="FL76" s="383"/>
      <c r="FM76" s="383"/>
      <c r="FN76" s="383"/>
      <c r="FO76" s="383"/>
      <c r="FP76" s="383"/>
      <c r="FQ76" s="383"/>
      <c r="FR76" s="383"/>
      <c r="FS76" s="383"/>
      <c r="FT76" s="383"/>
      <c r="FU76" s="383"/>
      <c r="FV76" s="383"/>
      <c r="FW76" s="383"/>
      <c r="FX76" s="383"/>
      <c r="FY76" s="383"/>
      <c r="FZ76" s="383"/>
      <c r="GA76" s="383"/>
      <c r="GB76" s="383"/>
      <c r="GC76" s="383"/>
      <c r="GD76" s="383"/>
      <c r="GE76" s="383"/>
      <c r="GF76" s="383"/>
      <c r="GG76" s="383"/>
      <c r="GH76" s="383"/>
      <c r="GI76" s="383"/>
      <c r="GJ76" s="383"/>
      <c r="GK76" s="383"/>
      <c r="GL76" s="383"/>
      <c r="GM76" s="383"/>
      <c r="GN76" s="383"/>
      <c r="GO76" s="383"/>
      <c r="GP76" s="383"/>
      <c r="GQ76" s="383"/>
      <c r="GR76" s="383"/>
      <c r="GS76" s="383"/>
      <c r="GT76" s="383"/>
      <c r="GU76" s="383"/>
      <c r="GV76" s="383"/>
      <c r="GW76" s="383"/>
      <c r="GX76" s="383"/>
      <c r="GY76" s="383"/>
      <c r="GZ76" s="383"/>
      <c r="HA76" s="383"/>
      <c r="HB76" s="383"/>
      <c r="HC76" s="383"/>
      <c r="HD76" s="383"/>
      <c r="HE76" s="383"/>
      <c r="HF76" s="383"/>
      <c r="HG76" s="383"/>
      <c r="HH76" s="383"/>
    </row>
    <row r="77" spans="1:216" ht="18" customHeight="1">
      <c r="A77" s="514"/>
      <c r="B77" s="314" t="s">
        <v>11111</v>
      </c>
      <c r="C77" s="398"/>
      <c r="D77" s="400" t="s">
        <v>8711</v>
      </c>
      <c r="E77" s="317"/>
      <c r="F77" s="383"/>
      <c r="G77" s="383"/>
      <c r="H77" s="384">
        <v>1</v>
      </c>
      <c r="I77" s="317" t="s">
        <v>10308</v>
      </c>
      <c r="J77" s="384"/>
      <c r="K77" s="384">
        <v>1</v>
      </c>
      <c r="L77" s="384"/>
      <c r="M77" s="384"/>
      <c r="N77" s="384"/>
      <c r="O77" s="397">
        <v>1</v>
      </c>
      <c r="P77" s="384"/>
      <c r="Q77" s="384"/>
      <c r="R77" s="397">
        <v>1</v>
      </c>
      <c r="S77" s="397">
        <v>1</v>
      </c>
      <c r="T77" s="384"/>
      <c r="U77" s="384"/>
      <c r="V77" s="384"/>
      <c r="W77" s="384"/>
      <c r="X77" s="384"/>
      <c r="Y77" s="397">
        <v>1</v>
      </c>
      <c r="Z77" s="384"/>
      <c r="AA77" s="384"/>
      <c r="AB77" s="384"/>
      <c r="AC77" s="384"/>
      <c r="AD77" s="384"/>
      <c r="AE77" s="384"/>
      <c r="AF77" s="384"/>
      <c r="AG77" s="384"/>
      <c r="AH77" s="384"/>
      <c r="AI77" s="384"/>
      <c r="AJ77" s="384"/>
      <c r="AK77" s="384"/>
      <c r="AL77" s="384"/>
      <c r="AM77" s="384"/>
      <c r="AN77" s="384"/>
      <c r="AO77" s="391"/>
      <c r="AP77" s="315"/>
      <c r="AQ77" s="315"/>
      <c r="AR77" s="315"/>
      <c r="AS77" s="315"/>
      <c r="AT77" s="315"/>
      <c r="AU77" s="315"/>
      <c r="AV77" s="315"/>
      <c r="AW77" s="315"/>
      <c r="AX77" s="315"/>
      <c r="AY77" s="315"/>
      <c r="AZ77" s="315"/>
      <c r="BA77" s="315"/>
      <c r="BB77" s="315"/>
      <c r="BC77" s="315"/>
      <c r="BD77" s="315"/>
      <c r="BE77" s="387"/>
      <c r="BF77" s="387"/>
      <c r="BG77" s="387"/>
      <c r="BH77" s="387"/>
      <c r="BI77" s="387"/>
      <c r="BJ77" s="387"/>
      <c r="BK77" s="387"/>
      <c r="BL77" s="387"/>
      <c r="BM77" s="387"/>
      <c r="BN77" s="387"/>
      <c r="BO77" s="387"/>
      <c r="BP77" s="387"/>
      <c r="BQ77" s="387"/>
      <c r="BR77" s="387"/>
      <c r="BS77" s="387"/>
      <c r="BT77" s="387"/>
      <c r="BU77" s="387"/>
      <c r="BV77" s="387"/>
      <c r="BW77" s="387"/>
      <c r="BX77" s="387"/>
      <c r="BY77" s="387"/>
      <c r="BZ77" s="387"/>
      <c r="CA77" s="387"/>
      <c r="CB77" s="387"/>
      <c r="CC77" s="387"/>
      <c r="CD77" s="387"/>
      <c r="CE77" s="387"/>
      <c r="CF77" s="387"/>
      <c r="CG77" s="387"/>
      <c r="CH77" s="387"/>
      <c r="CI77" s="387"/>
      <c r="CJ77" s="387"/>
      <c r="CK77" s="383"/>
      <c r="CL77" s="383"/>
      <c r="CM77" s="383"/>
      <c r="CN77" s="383"/>
      <c r="CO77" s="383"/>
      <c r="CP77" s="383"/>
      <c r="CQ77" s="383"/>
      <c r="CR77" s="388"/>
      <c r="CS77" s="388"/>
      <c r="CT77" s="383"/>
      <c r="CU77" s="383"/>
      <c r="CV77" s="383"/>
      <c r="CW77" s="383"/>
      <c r="CX77" s="383"/>
      <c r="CY77" s="383"/>
      <c r="CZ77" s="383"/>
      <c r="DA77" s="383"/>
      <c r="DB77" s="383"/>
      <c r="DC77" s="383"/>
      <c r="DD77" s="383"/>
      <c r="DE77" s="383"/>
      <c r="DF77" s="383"/>
      <c r="DG77" s="383"/>
      <c r="DH77" s="370"/>
      <c r="DI77" s="370"/>
      <c r="DJ77" s="370"/>
      <c r="DK77" s="370"/>
      <c r="DL77" s="383"/>
      <c r="DM77" s="383"/>
      <c r="DN77" s="383"/>
      <c r="DO77" s="383"/>
      <c r="DP77" s="383"/>
      <c r="DQ77" s="450">
        <v>1</v>
      </c>
      <c r="DR77" s="383"/>
      <c r="DS77" s="370"/>
      <c r="DT77" s="370"/>
      <c r="DU77" s="384"/>
      <c r="DV77" s="384"/>
      <c r="DW77" s="383"/>
      <c r="DX77" s="315"/>
      <c r="DY77" s="315"/>
      <c r="DZ77" s="383"/>
      <c r="EA77" s="383"/>
      <c r="EB77" s="390"/>
      <c r="EC77" s="390"/>
      <c r="ED77" s="383"/>
      <c r="EE77" s="383"/>
      <c r="EF77" s="383"/>
      <c r="EG77" s="383"/>
      <c r="EH77" s="383"/>
      <c r="EI77" s="383"/>
      <c r="EJ77" s="383"/>
      <c r="EK77" s="383"/>
      <c r="EL77" s="383"/>
      <c r="EM77" s="383"/>
      <c r="EN77" s="370"/>
      <c r="EO77" s="370"/>
      <c r="EP77" s="370"/>
      <c r="EQ77" s="370"/>
      <c r="ER77" s="370"/>
      <c r="ES77" s="370"/>
      <c r="ET77" s="383"/>
      <c r="EU77" s="383"/>
      <c r="EV77" s="383"/>
      <c r="EW77" s="383"/>
      <c r="EX77" s="383"/>
      <c r="EY77" s="383"/>
      <c r="EZ77" s="383"/>
      <c r="FA77" s="383"/>
      <c r="FB77" s="383"/>
      <c r="FC77" s="383"/>
      <c r="FD77" s="383"/>
      <c r="FE77" s="383"/>
      <c r="FF77" s="383"/>
      <c r="FG77" s="383"/>
      <c r="FH77" s="383"/>
      <c r="FI77" s="383"/>
      <c r="FJ77" s="383"/>
      <c r="FK77" s="383"/>
      <c r="FL77" s="383"/>
      <c r="FM77" s="383"/>
      <c r="FN77" s="383"/>
      <c r="FO77" s="383"/>
      <c r="FP77" s="383"/>
      <c r="FQ77" s="383"/>
      <c r="FR77" s="383"/>
      <c r="FS77" s="383"/>
      <c r="FT77" s="383"/>
      <c r="FU77" s="383"/>
      <c r="FV77" s="383"/>
      <c r="FW77" s="383"/>
      <c r="FX77" s="383"/>
      <c r="FY77" s="383"/>
      <c r="FZ77" s="383"/>
      <c r="GA77" s="383"/>
      <c r="GB77" s="383"/>
      <c r="GC77" s="383"/>
      <c r="GD77" s="383"/>
      <c r="GE77" s="383"/>
      <c r="GF77" s="383"/>
      <c r="GG77" s="383"/>
      <c r="GH77" s="383"/>
      <c r="GI77" s="383"/>
      <c r="GJ77" s="383"/>
      <c r="GK77" s="383"/>
      <c r="GL77" s="383"/>
      <c r="GM77" s="383"/>
      <c r="GN77" s="383"/>
      <c r="GO77" s="383"/>
      <c r="GP77" s="383"/>
      <c r="GQ77" s="383"/>
      <c r="GR77" s="383"/>
      <c r="GS77" s="383"/>
      <c r="GT77" s="383"/>
      <c r="GU77" s="383"/>
      <c r="GV77" s="383"/>
      <c r="GW77" s="383"/>
      <c r="GX77" s="383"/>
      <c r="GY77" s="383"/>
      <c r="GZ77" s="383"/>
      <c r="HA77" s="383"/>
      <c r="HB77" s="383"/>
      <c r="HC77" s="383"/>
      <c r="HD77" s="383"/>
      <c r="HE77" s="383"/>
      <c r="HF77" s="383"/>
      <c r="HG77" s="383"/>
      <c r="HH77" s="383"/>
    </row>
    <row r="78" spans="1:216" ht="18" customHeight="1">
      <c r="A78" s="514"/>
      <c r="B78" s="314" t="s">
        <v>11112</v>
      </c>
      <c r="C78" s="404"/>
      <c r="D78" s="399" t="s">
        <v>8713</v>
      </c>
      <c r="E78" s="405"/>
      <c r="F78" s="383"/>
      <c r="G78" s="383"/>
      <c r="H78" s="384"/>
      <c r="I78" s="317"/>
      <c r="J78" s="384">
        <v>1</v>
      </c>
      <c r="K78" s="384"/>
      <c r="L78" s="384"/>
      <c r="M78" s="397">
        <v>1</v>
      </c>
      <c r="N78" s="384"/>
      <c r="O78" s="384"/>
      <c r="P78" s="384"/>
      <c r="Q78" s="384"/>
      <c r="R78" s="397">
        <v>1</v>
      </c>
      <c r="S78" s="397">
        <v>1</v>
      </c>
      <c r="T78" s="384"/>
      <c r="U78" s="384"/>
      <c r="V78" s="384"/>
      <c r="W78" s="384"/>
      <c r="X78" s="384"/>
      <c r="Y78" s="397">
        <v>1</v>
      </c>
      <c r="Z78" s="397">
        <v>1</v>
      </c>
      <c r="AA78" s="397">
        <v>1</v>
      </c>
      <c r="AB78" s="397">
        <v>1</v>
      </c>
      <c r="AC78" s="384"/>
      <c r="AD78" s="384"/>
      <c r="AE78" s="384"/>
      <c r="AF78" s="384"/>
      <c r="AG78" s="384"/>
      <c r="AH78" s="384"/>
      <c r="AI78" s="384"/>
      <c r="AJ78" s="383"/>
      <c r="AK78" s="383"/>
      <c r="AL78" s="384"/>
      <c r="AM78" s="384"/>
      <c r="AN78" s="384"/>
      <c r="AO78" s="391"/>
      <c r="AP78" s="315"/>
      <c r="AQ78" s="315"/>
      <c r="AR78" s="315"/>
      <c r="AS78" s="315"/>
      <c r="AT78" s="315"/>
      <c r="AU78" s="315"/>
      <c r="AV78" s="315"/>
      <c r="AW78" s="315"/>
      <c r="AX78" s="315"/>
      <c r="AY78" s="315"/>
      <c r="AZ78" s="315"/>
      <c r="BA78" s="315"/>
      <c r="BB78" s="315"/>
      <c r="BC78" s="315"/>
      <c r="BD78" s="315"/>
      <c r="BE78" s="387"/>
      <c r="BF78" s="387"/>
      <c r="BG78" s="387"/>
      <c r="BH78" s="387"/>
      <c r="BI78" s="387"/>
      <c r="BJ78" s="387"/>
      <c r="BK78" s="387"/>
      <c r="BL78" s="387"/>
      <c r="BM78" s="387"/>
      <c r="BN78" s="387"/>
      <c r="BO78" s="387"/>
      <c r="BP78" s="387"/>
      <c r="BQ78" s="387"/>
      <c r="BR78" s="387"/>
      <c r="BS78" s="387"/>
      <c r="BT78" s="387"/>
      <c r="BU78" s="387"/>
      <c r="BV78" s="387"/>
      <c r="BW78" s="387"/>
      <c r="BX78" s="387"/>
      <c r="BY78" s="387"/>
      <c r="BZ78" s="387"/>
      <c r="CA78" s="387"/>
      <c r="CB78" s="387"/>
      <c r="CC78" s="387"/>
      <c r="CD78" s="387"/>
      <c r="CE78" s="387"/>
      <c r="CF78" s="387"/>
      <c r="CG78" s="387"/>
      <c r="CH78" s="387"/>
      <c r="CI78" s="387"/>
      <c r="CJ78" s="387"/>
      <c r="CK78" s="383"/>
      <c r="CL78" s="383"/>
      <c r="CM78" s="383"/>
      <c r="CN78" s="383"/>
      <c r="CO78" s="383"/>
      <c r="CP78" s="383"/>
      <c r="CQ78" s="383"/>
      <c r="CR78" s="388"/>
      <c r="CS78" s="388"/>
      <c r="CT78" s="383"/>
      <c r="CU78" s="383"/>
      <c r="CV78" s="383"/>
      <c r="CW78" s="383"/>
      <c r="CX78" s="383"/>
      <c r="CY78" s="383"/>
      <c r="CZ78" s="383"/>
      <c r="DA78" s="383"/>
      <c r="DB78" s="383"/>
      <c r="DC78" s="383"/>
      <c r="DD78" s="383"/>
      <c r="DE78" s="383"/>
      <c r="DF78" s="383"/>
      <c r="DG78" s="383"/>
      <c r="DH78" s="370"/>
      <c r="DI78" s="370"/>
      <c r="DJ78" s="370"/>
      <c r="DK78" s="370"/>
      <c r="DL78" s="383"/>
      <c r="DM78" s="383"/>
      <c r="DN78" s="383"/>
      <c r="DO78" s="383"/>
      <c r="DP78" s="383"/>
      <c r="DQ78" s="383"/>
      <c r="DR78" s="383"/>
      <c r="DS78" s="370"/>
      <c r="DT78" s="370"/>
      <c r="DU78" s="384"/>
      <c r="DV78" s="384"/>
      <c r="DW78" s="383"/>
      <c r="DX78" s="315"/>
      <c r="DY78" s="315"/>
      <c r="DZ78" s="383"/>
      <c r="EA78" s="383"/>
      <c r="EB78" s="390"/>
      <c r="EC78" s="390"/>
      <c r="ED78" s="383"/>
      <c r="EE78" s="383"/>
      <c r="EF78" s="383"/>
      <c r="EG78" s="383"/>
      <c r="EH78" s="383"/>
      <c r="EI78" s="383"/>
      <c r="EJ78" s="383"/>
      <c r="EK78" s="383"/>
      <c r="EL78" s="383"/>
      <c r="EM78" s="383"/>
      <c r="EN78" s="370"/>
      <c r="EO78" s="370"/>
      <c r="EP78" s="370"/>
      <c r="EQ78" s="370"/>
      <c r="ER78" s="370"/>
      <c r="ES78" s="370"/>
      <c r="ET78" s="383"/>
      <c r="EU78" s="383"/>
      <c r="EV78" s="383"/>
      <c r="EW78" s="383"/>
      <c r="EX78" s="383"/>
      <c r="EY78" s="383"/>
      <c r="EZ78" s="383"/>
      <c r="FA78" s="383"/>
      <c r="FB78" s="383"/>
      <c r="FC78" s="383"/>
      <c r="FD78" s="383"/>
      <c r="FE78" s="383"/>
      <c r="FF78" s="383"/>
      <c r="FG78" s="383"/>
      <c r="FH78" s="383"/>
      <c r="FI78" s="383"/>
      <c r="FJ78" s="383"/>
      <c r="FK78" s="383"/>
      <c r="FL78" s="383"/>
      <c r="FM78" s="383"/>
      <c r="FN78" s="383"/>
      <c r="FO78" s="383"/>
      <c r="FP78" s="383"/>
      <c r="FQ78" s="383"/>
      <c r="FR78" s="383"/>
      <c r="FS78" s="383"/>
      <c r="FT78" s="383"/>
      <c r="FU78" s="383"/>
      <c r="FV78" s="383"/>
      <c r="FW78" s="383"/>
      <c r="FX78" s="383"/>
      <c r="FY78" s="383"/>
      <c r="FZ78" s="383"/>
      <c r="GA78" s="383"/>
      <c r="GB78" s="383"/>
      <c r="GC78" s="383"/>
      <c r="GD78" s="383"/>
      <c r="GE78" s="383"/>
      <c r="GF78" s="383"/>
      <c r="GG78" s="383"/>
      <c r="GH78" s="383"/>
      <c r="GI78" s="383"/>
      <c r="GJ78" s="383"/>
      <c r="GK78" s="383"/>
      <c r="GL78" s="383"/>
      <c r="GM78" s="383"/>
      <c r="GN78" s="383"/>
      <c r="GO78" s="383"/>
      <c r="GP78" s="383"/>
      <c r="GQ78" s="383"/>
      <c r="GR78" s="383"/>
      <c r="GS78" s="383"/>
      <c r="GT78" s="383"/>
      <c r="GU78" s="383"/>
      <c r="GV78" s="383"/>
      <c r="GW78" s="383"/>
      <c r="GX78" s="383"/>
      <c r="GY78" s="383"/>
      <c r="GZ78" s="383"/>
      <c r="HA78" s="383"/>
      <c r="HB78" s="383"/>
      <c r="HC78" s="383"/>
      <c r="HD78" s="383"/>
      <c r="HE78" s="383"/>
      <c r="HF78" s="383"/>
      <c r="HG78" s="383"/>
      <c r="HH78" s="383"/>
    </row>
    <row r="79" spans="1:216" ht="18" customHeight="1">
      <c r="A79" s="514"/>
      <c r="B79" s="314" t="s">
        <v>11113</v>
      </c>
      <c r="C79" s="404"/>
      <c r="D79" s="399" t="s">
        <v>8715</v>
      </c>
      <c r="E79" s="405"/>
      <c r="F79" s="383"/>
      <c r="G79" s="383"/>
      <c r="H79" s="384"/>
      <c r="I79" s="317"/>
      <c r="J79" s="384">
        <v>1</v>
      </c>
      <c r="K79" s="384"/>
      <c r="L79" s="384"/>
      <c r="M79" s="384"/>
      <c r="N79" s="397">
        <v>1</v>
      </c>
      <c r="O79" s="384"/>
      <c r="P79" s="384"/>
      <c r="Q79" s="384"/>
      <c r="R79" s="397">
        <v>1</v>
      </c>
      <c r="S79" s="397">
        <v>1</v>
      </c>
      <c r="T79" s="384"/>
      <c r="U79" s="384"/>
      <c r="V79" s="384"/>
      <c r="W79" s="384"/>
      <c r="X79" s="384"/>
      <c r="Y79" s="397">
        <v>1</v>
      </c>
      <c r="Z79" s="397">
        <v>1</v>
      </c>
      <c r="AA79" s="397">
        <v>1</v>
      </c>
      <c r="AB79" s="397">
        <v>1</v>
      </c>
      <c r="AC79" s="384"/>
      <c r="AD79" s="384"/>
      <c r="AE79" s="384"/>
      <c r="AF79" s="384"/>
      <c r="AG79" s="384"/>
      <c r="AH79" s="384"/>
      <c r="AI79" s="384"/>
      <c r="AJ79" s="383"/>
      <c r="AK79" s="383"/>
      <c r="AL79" s="384"/>
      <c r="AM79" s="384"/>
      <c r="AN79" s="384"/>
      <c r="AO79" s="391"/>
      <c r="AP79" s="315"/>
      <c r="AQ79" s="315"/>
      <c r="AR79" s="315"/>
      <c r="AS79" s="315"/>
      <c r="AT79" s="315"/>
      <c r="AU79" s="315"/>
      <c r="AV79" s="315"/>
      <c r="AW79" s="315"/>
      <c r="AX79" s="315"/>
      <c r="AY79" s="315"/>
      <c r="AZ79" s="315"/>
      <c r="BA79" s="315"/>
      <c r="BB79" s="315"/>
      <c r="BC79" s="315"/>
      <c r="BD79" s="315"/>
      <c r="BE79" s="387"/>
      <c r="BF79" s="387"/>
      <c r="BG79" s="387"/>
      <c r="BH79" s="387"/>
      <c r="BI79" s="387"/>
      <c r="BJ79" s="387"/>
      <c r="BK79" s="387"/>
      <c r="BL79" s="387"/>
      <c r="BM79" s="387"/>
      <c r="BN79" s="387"/>
      <c r="BO79" s="387"/>
      <c r="BP79" s="387"/>
      <c r="BQ79" s="387"/>
      <c r="BR79" s="387"/>
      <c r="BS79" s="387"/>
      <c r="BT79" s="387"/>
      <c r="BU79" s="387"/>
      <c r="BV79" s="387"/>
      <c r="BW79" s="387"/>
      <c r="BX79" s="387"/>
      <c r="BY79" s="387"/>
      <c r="BZ79" s="387"/>
      <c r="CA79" s="387"/>
      <c r="CB79" s="387"/>
      <c r="CC79" s="387"/>
      <c r="CD79" s="387"/>
      <c r="CE79" s="387"/>
      <c r="CF79" s="387"/>
      <c r="CG79" s="387"/>
      <c r="CH79" s="387"/>
      <c r="CI79" s="387"/>
      <c r="CJ79" s="387"/>
      <c r="CK79" s="383"/>
      <c r="CL79" s="383"/>
      <c r="CM79" s="383"/>
      <c r="CN79" s="383"/>
      <c r="CO79" s="383"/>
      <c r="CP79" s="383"/>
      <c r="CQ79" s="383"/>
      <c r="CR79" s="388"/>
      <c r="CS79" s="388"/>
      <c r="CT79" s="383"/>
      <c r="CU79" s="383"/>
      <c r="CV79" s="383"/>
      <c r="CW79" s="383"/>
      <c r="CX79" s="383"/>
      <c r="CY79" s="383"/>
      <c r="CZ79" s="383"/>
      <c r="DA79" s="383"/>
      <c r="DB79" s="383"/>
      <c r="DC79" s="383"/>
      <c r="DD79" s="383"/>
      <c r="DE79" s="383"/>
      <c r="DF79" s="383"/>
      <c r="DG79" s="383"/>
      <c r="DH79" s="370"/>
      <c r="DI79" s="370"/>
      <c r="DJ79" s="370"/>
      <c r="DK79" s="370"/>
      <c r="DL79" s="383"/>
      <c r="DM79" s="383"/>
      <c r="DN79" s="383"/>
      <c r="DO79" s="383"/>
      <c r="DP79" s="383"/>
      <c r="DQ79" s="383"/>
      <c r="DR79" s="383"/>
      <c r="DS79" s="370"/>
      <c r="DT79" s="370"/>
      <c r="DU79" s="384"/>
      <c r="DV79" s="384"/>
      <c r="DW79" s="383"/>
      <c r="DX79" s="315"/>
      <c r="DY79" s="315"/>
      <c r="DZ79" s="383"/>
      <c r="EA79" s="383"/>
      <c r="EB79" s="390"/>
      <c r="EC79" s="390"/>
      <c r="ED79" s="383"/>
      <c r="EE79" s="383"/>
      <c r="EF79" s="383"/>
      <c r="EG79" s="383"/>
      <c r="EH79" s="383"/>
      <c r="EI79" s="383"/>
      <c r="EJ79" s="383"/>
      <c r="EK79" s="383"/>
      <c r="EL79" s="383"/>
      <c r="EM79" s="383"/>
      <c r="EN79" s="370"/>
      <c r="EO79" s="370"/>
      <c r="EP79" s="370"/>
      <c r="EQ79" s="370"/>
      <c r="ER79" s="370"/>
      <c r="ES79" s="370"/>
      <c r="ET79" s="383"/>
      <c r="EU79" s="383"/>
      <c r="EV79" s="383"/>
      <c r="EW79" s="383"/>
      <c r="EX79" s="383"/>
      <c r="EY79" s="383"/>
      <c r="EZ79" s="383"/>
      <c r="FA79" s="383"/>
      <c r="FB79" s="383"/>
      <c r="FC79" s="383"/>
      <c r="FD79" s="383"/>
      <c r="FE79" s="383"/>
      <c r="FF79" s="383"/>
      <c r="FG79" s="383"/>
      <c r="FH79" s="383"/>
      <c r="FI79" s="383"/>
      <c r="FJ79" s="383"/>
      <c r="FK79" s="383"/>
      <c r="FL79" s="383"/>
      <c r="FM79" s="383"/>
      <c r="FN79" s="383"/>
      <c r="FO79" s="383"/>
      <c r="FP79" s="383"/>
      <c r="FQ79" s="383"/>
      <c r="FR79" s="383"/>
      <c r="FS79" s="383"/>
      <c r="FT79" s="383"/>
      <c r="FU79" s="383"/>
      <c r="FV79" s="383"/>
      <c r="FW79" s="383"/>
      <c r="FX79" s="383"/>
      <c r="FY79" s="383"/>
      <c r="FZ79" s="383"/>
      <c r="GA79" s="383"/>
      <c r="GB79" s="383"/>
      <c r="GC79" s="383"/>
      <c r="GD79" s="383"/>
      <c r="GE79" s="383"/>
      <c r="GF79" s="383"/>
      <c r="GG79" s="383"/>
      <c r="GH79" s="383"/>
      <c r="GI79" s="383"/>
      <c r="GJ79" s="383"/>
      <c r="GK79" s="383"/>
      <c r="GL79" s="383"/>
      <c r="GM79" s="383"/>
      <c r="GN79" s="383"/>
      <c r="GO79" s="383"/>
      <c r="GP79" s="383"/>
      <c r="GQ79" s="383"/>
      <c r="GR79" s="383"/>
      <c r="GS79" s="383"/>
      <c r="GT79" s="383"/>
      <c r="GU79" s="383"/>
      <c r="GV79" s="383"/>
      <c r="GW79" s="383"/>
      <c r="GX79" s="383"/>
      <c r="GY79" s="383"/>
      <c r="GZ79" s="383"/>
      <c r="HA79" s="383"/>
      <c r="HB79" s="383"/>
      <c r="HC79" s="383"/>
      <c r="HD79" s="383"/>
      <c r="HE79" s="383"/>
      <c r="HF79" s="383"/>
      <c r="HG79" s="383"/>
      <c r="HH79" s="383"/>
    </row>
    <row r="80" spans="1:216" ht="18" customHeight="1">
      <c r="A80" s="514"/>
      <c r="B80" s="314" t="s">
        <v>11105</v>
      </c>
      <c r="C80" s="404"/>
      <c r="D80" s="399" t="s">
        <v>8717</v>
      </c>
      <c r="E80" s="405"/>
      <c r="F80" s="383"/>
      <c r="G80" s="383"/>
      <c r="H80" s="384"/>
      <c r="I80" s="317"/>
      <c r="J80" s="384">
        <v>1</v>
      </c>
      <c r="K80" s="384"/>
      <c r="L80" s="384"/>
      <c r="M80" s="384"/>
      <c r="N80" s="384"/>
      <c r="O80" s="397">
        <v>1</v>
      </c>
      <c r="P80" s="384"/>
      <c r="Q80" s="384"/>
      <c r="R80" s="397">
        <v>1</v>
      </c>
      <c r="S80" s="397">
        <v>1</v>
      </c>
      <c r="T80" s="384"/>
      <c r="U80" s="384"/>
      <c r="V80" s="384"/>
      <c r="W80" s="384"/>
      <c r="X80" s="384"/>
      <c r="Y80" s="397">
        <v>1</v>
      </c>
      <c r="Z80" s="397">
        <v>1</v>
      </c>
      <c r="AA80" s="397">
        <v>1</v>
      </c>
      <c r="AB80" s="397">
        <v>1</v>
      </c>
      <c r="AC80" s="384"/>
      <c r="AD80" s="384"/>
      <c r="AE80" s="384"/>
      <c r="AF80" s="384"/>
      <c r="AG80" s="384"/>
      <c r="AH80" s="384"/>
      <c r="AI80" s="384"/>
      <c r="AJ80" s="383"/>
      <c r="AK80" s="383"/>
      <c r="AL80" s="384"/>
      <c r="AM80" s="384"/>
      <c r="AN80" s="384"/>
      <c r="AO80" s="391"/>
      <c r="AP80" s="315"/>
      <c r="AQ80" s="315"/>
      <c r="AR80" s="315"/>
      <c r="AS80" s="315"/>
      <c r="AT80" s="315"/>
      <c r="AU80" s="315"/>
      <c r="AV80" s="315"/>
      <c r="AW80" s="315"/>
      <c r="AX80" s="315"/>
      <c r="AY80" s="315"/>
      <c r="AZ80" s="315"/>
      <c r="BA80" s="315"/>
      <c r="BB80" s="315"/>
      <c r="BC80" s="315"/>
      <c r="BD80" s="315"/>
      <c r="BE80" s="387"/>
      <c r="BF80" s="387"/>
      <c r="BG80" s="387"/>
      <c r="BH80" s="387"/>
      <c r="BI80" s="387"/>
      <c r="BJ80" s="387"/>
      <c r="BK80" s="387"/>
      <c r="BL80" s="387"/>
      <c r="BM80" s="387"/>
      <c r="BN80" s="387"/>
      <c r="BO80" s="387"/>
      <c r="BP80" s="387"/>
      <c r="BQ80" s="387"/>
      <c r="BR80" s="387"/>
      <c r="BS80" s="387"/>
      <c r="BT80" s="387"/>
      <c r="BU80" s="387"/>
      <c r="BV80" s="387"/>
      <c r="BW80" s="387"/>
      <c r="BX80" s="387"/>
      <c r="BY80" s="387"/>
      <c r="BZ80" s="387"/>
      <c r="CA80" s="387"/>
      <c r="CB80" s="387"/>
      <c r="CC80" s="387"/>
      <c r="CD80" s="387"/>
      <c r="CE80" s="387"/>
      <c r="CF80" s="387"/>
      <c r="CG80" s="387"/>
      <c r="CH80" s="387"/>
      <c r="CI80" s="387"/>
      <c r="CJ80" s="387"/>
      <c r="CK80" s="383"/>
      <c r="CL80" s="383"/>
      <c r="CM80" s="383"/>
      <c r="CN80" s="383"/>
      <c r="CO80" s="383"/>
      <c r="CP80" s="383"/>
      <c r="CQ80" s="383"/>
      <c r="CR80" s="388"/>
      <c r="CS80" s="388"/>
      <c r="CT80" s="383"/>
      <c r="CU80" s="383"/>
      <c r="CV80" s="383"/>
      <c r="CW80" s="383"/>
      <c r="CX80" s="383"/>
      <c r="CY80" s="383"/>
      <c r="CZ80" s="383"/>
      <c r="DA80" s="383"/>
      <c r="DB80" s="383"/>
      <c r="DC80" s="383"/>
      <c r="DD80" s="383"/>
      <c r="DE80" s="383"/>
      <c r="DF80" s="383"/>
      <c r="DG80" s="383"/>
      <c r="DH80" s="370"/>
      <c r="DI80" s="370"/>
      <c r="DJ80" s="370"/>
      <c r="DK80" s="370"/>
      <c r="DL80" s="383"/>
      <c r="DM80" s="383"/>
      <c r="DN80" s="383"/>
      <c r="DO80" s="383"/>
      <c r="DP80" s="383"/>
      <c r="DQ80" s="383"/>
      <c r="DR80" s="383"/>
      <c r="DS80" s="370"/>
      <c r="DT80" s="370"/>
      <c r="DU80" s="384"/>
      <c r="DV80" s="384"/>
      <c r="DW80" s="383"/>
      <c r="DX80" s="315"/>
      <c r="DY80" s="315"/>
      <c r="DZ80" s="383"/>
      <c r="EA80" s="383"/>
      <c r="EB80" s="390"/>
      <c r="EC80" s="390"/>
      <c r="ED80" s="383"/>
      <c r="EE80" s="383"/>
      <c r="EF80" s="383"/>
      <c r="EG80" s="383"/>
      <c r="EH80" s="383"/>
      <c r="EI80" s="383"/>
      <c r="EJ80" s="383"/>
      <c r="EK80" s="383"/>
      <c r="EL80" s="383"/>
      <c r="EM80" s="383"/>
      <c r="EN80" s="370"/>
      <c r="EO80" s="370"/>
      <c r="EP80" s="370"/>
      <c r="EQ80" s="370"/>
      <c r="ER80" s="370"/>
      <c r="ES80" s="370"/>
      <c r="ET80" s="383"/>
      <c r="EU80" s="383"/>
      <c r="EV80" s="383"/>
      <c r="EW80" s="383"/>
      <c r="EX80" s="383"/>
      <c r="EY80" s="383"/>
      <c r="EZ80" s="383"/>
      <c r="FA80" s="383"/>
      <c r="FB80" s="383"/>
      <c r="FC80" s="383"/>
      <c r="FD80" s="383"/>
      <c r="FE80" s="383"/>
      <c r="FF80" s="383"/>
      <c r="FG80" s="383"/>
      <c r="FH80" s="383"/>
      <c r="FI80" s="383"/>
      <c r="FJ80" s="383"/>
      <c r="FK80" s="383"/>
      <c r="FL80" s="383"/>
      <c r="FM80" s="383"/>
      <c r="FN80" s="383"/>
      <c r="FO80" s="383"/>
      <c r="FP80" s="383"/>
      <c r="FQ80" s="383"/>
      <c r="FR80" s="383"/>
      <c r="FS80" s="383"/>
      <c r="FT80" s="383"/>
      <c r="FU80" s="383"/>
      <c r="FV80" s="383"/>
      <c r="FW80" s="383"/>
      <c r="FX80" s="383"/>
      <c r="FY80" s="383"/>
      <c r="FZ80" s="383"/>
      <c r="GA80" s="383"/>
      <c r="GB80" s="383"/>
      <c r="GC80" s="383"/>
      <c r="GD80" s="383"/>
      <c r="GE80" s="383"/>
      <c r="GF80" s="383"/>
      <c r="GG80" s="383"/>
      <c r="GH80" s="383"/>
      <c r="GI80" s="383"/>
      <c r="GJ80" s="383"/>
      <c r="GK80" s="383"/>
      <c r="GL80" s="383"/>
      <c r="GM80" s="383"/>
      <c r="GN80" s="383"/>
      <c r="GO80" s="383"/>
      <c r="GP80" s="383"/>
      <c r="GQ80" s="383"/>
      <c r="GR80" s="383"/>
      <c r="GS80" s="383"/>
      <c r="GT80" s="383"/>
      <c r="GU80" s="383"/>
      <c r="GV80" s="383"/>
      <c r="GW80" s="383"/>
      <c r="GX80" s="383"/>
      <c r="GY80" s="383"/>
      <c r="GZ80" s="383"/>
      <c r="HA80" s="383"/>
      <c r="HB80" s="383"/>
      <c r="HC80" s="383"/>
      <c r="HD80" s="383"/>
      <c r="HE80" s="383"/>
      <c r="HF80" s="383"/>
      <c r="HG80" s="383"/>
      <c r="HH80" s="383"/>
    </row>
    <row r="81" spans="1:216" ht="18" customHeight="1">
      <c r="A81" s="514"/>
      <c r="B81" s="314" t="s">
        <v>11756</v>
      </c>
      <c r="C81" s="404"/>
      <c r="D81" s="399" t="s">
        <v>11756</v>
      </c>
      <c r="E81" s="405"/>
      <c r="F81" s="383"/>
      <c r="G81" s="383"/>
      <c r="H81" s="651"/>
      <c r="I81" s="317"/>
      <c r="J81" s="651">
        <v>1</v>
      </c>
      <c r="K81" s="651"/>
      <c r="L81" s="651"/>
      <c r="M81" s="397">
        <v>1</v>
      </c>
      <c r="N81" s="397">
        <v>1</v>
      </c>
      <c r="O81" s="397">
        <v>1</v>
      </c>
      <c r="P81" s="651"/>
      <c r="Q81" s="651"/>
      <c r="R81" s="397">
        <v>1</v>
      </c>
      <c r="S81" s="397">
        <v>1</v>
      </c>
      <c r="T81" s="651"/>
      <c r="U81" s="651"/>
      <c r="V81" s="651"/>
      <c r="W81" s="651"/>
      <c r="X81" s="651"/>
      <c r="Y81" s="397">
        <v>1</v>
      </c>
      <c r="Z81" s="651"/>
      <c r="AA81" s="651"/>
      <c r="AB81" s="651"/>
      <c r="AC81" s="651"/>
      <c r="AD81" s="651"/>
      <c r="AE81" s="651"/>
      <c r="AF81" s="651"/>
      <c r="AG81" s="651"/>
      <c r="AH81" s="651"/>
      <c r="AI81" s="651"/>
      <c r="AJ81" s="383"/>
      <c r="AK81" s="383"/>
      <c r="AL81" s="651"/>
      <c r="AM81" s="651"/>
      <c r="AN81" s="651"/>
      <c r="AO81" s="391"/>
      <c r="AP81" s="652"/>
      <c r="AQ81" s="652"/>
      <c r="AR81" s="652"/>
      <c r="AS81" s="652"/>
      <c r="AT81" s="652"/>
      <c r="AU81" s="652"/>
      <c r="AV81" s="652"/>
      <c r="AW81" s="652"/>
      <c r="AX81" s="652"/>
      <c r="AY81" s="652"/>
      <c r="AZ81" s="652"/>
      <c r="BA81" s="652"/>
      <c r="BB81" s="652"/>
      <c r="BC81" s="652"/>
      <c r="BD81" s="652"/>
      <c r="BE81" s="387"/>
      <c r="BF81" s="387"/>
      <c r="BG81" s="387"/>
      <c r="BH81" s="387"/>
      <c r="BI81" s="387"/>
      <c r="BJ81" s="387"/>
      <c r="BK81" s="387"/>
      <c r="BL81" s="387"/>
      <c r="BM81" s="387"/>
      <c r="BN81" s="387"/>
      <c r="BO81" s="387"/>
      <c r="BP81" s="387"/>
      <c r="BQ81" s="387"/>
      <c r="BR81" s="387"/>
      <c r="BS81" s="387"/>
      <c r="BT81" s="387"/>
      <c r="BU81" s="387"/>
      <c r="BV81" s="387"/>
      <c r="BW81" s="387"/>
      <c r="BX81" s="387"/>
      <c r="BY81" s="387"/>
      <c r="BZ81" s="387"/>
      <c r="CA81" s="387"/>
      <c r="CB81" s="387"/>
      <c r="CC81" s="387"/>
      <c r="CD81" s="387"/>
      <c r="CE81" s="387"/>
      <c r="CF81" s="387"/>
      <c r="CG81" s="387"/>
      <c r="CH81" s="387"/>
      <c r="CI81" s="387"/>
      <c r="CJ81" s="387"/>
      <c r="CK81" s="383"/>
      <c r="CL81" s="383"/>
      <c r="CM81" s="383"/>
      <c r="CN81" s="383"/>
      <c r="CO81" s="383"/>
      <c r="CP81" s="383"/>
      <c r="CQ81" s="383"/>
      <c r="CR81" s="388"/>
      <c r="CS81" s="388"/>
      <c r="CT81" s="383"/>
      <c r="CU81" s="383"/>
      <c r="CV81" s="383"/>
      <c r="CW81" s="383"/>
      <c r="CX81" s="383"/>
      <c r="CY81" s="383"/>
      <c r="CZ81" s="383"/>
      <c r="DA81" s="383"/>
      <c r="DB81" s="383"/>
      <c r="DC81" s="383"/>
      <c r="DD81" s="383"/>
      <c r="DE81" s="383"/>
      <c r="DF81" s="383"/>
      <c r="DG81" s="383"/>
      <c r="DH81" s="370"/>
      <c r="DI81" s="370"/>
      <c r="DJ81" s="370"/>
      <c r="DK81" s="370"/>
      <c r="DL81" s="383"/>
      <c r="DM81" s="383"/>
      <c r="DN81" s="383"/>
      <c r="DO81" s="383"/>
      <c r="DP81" s="383"/>
      <c r="DQ81" s="383"/>
      <c r="DR81" s="383"/>
      <c r="DS81" s="370"/>
      <c r="DT81" s="370"/>
      <c r="DU81" s="651"/>
      <c r="DV81" s="651"/>
      <c r="DW81" s="383"/>
      <c r="DX81" s="652"/>
      <c r="DY81" s="652"/>
      <c r="DZ81" s="383"/>
      <c r="EA81" s="383"/>
      <c r="EB81" s="390"/>
      <c r="EC81" s="390"/>
      <c r="ED81" s="383"/>
      <c r="EE81" s="383"/>
      <c r="EF81" s="383"/>
      <c r="EG81" s="383"/>
      <c r="EH81" s="383"/>
      <c r="EI81" s="383"/>
      <c r="EJ81" s="383"/>
      <c r="EK81" s="383"/>
      <c r="EL81" s="383"/>
      <c r="EM81" s="383"/>
      <c r="EN81" s="370"/>
      <c r="EO81" s="370"/>
      <c r="EP81" s="370"/>
      <c r="EQ81" s="370"/>
      <c r="ER81" s="370"/>
      <c r="ES81" s="370"/>
      <c r="ET81" s="383"/>
      <c r="EU81" s="383"/>
      <c r="EV81" s="383"/>
      <c r="EW81" s="383"/>
      <c r="EX81" s="383"/>
      <c r="EY81" s="383"/>
      <c r="EZ81" s="383"/>
      <c r="FA81" s="383"/>
      <c r="FB81" s="383"/>
      <c r="FC81" s="383"/>
      <c r="FD81" s="383"/>
      <c r="FE81" s="383"/>
      <c r="FF81" s="383"/>
      <c r="FG81" s="383"/>
      <c r="FH81" s="383"/>
      <c r="FI81" s="383"/>
      <c r="FJ81" s="383"/>
      <c r="FK81" s="383"/>
      <c r="FL81" s="383"/>
      <c r="FM81" s="383"/>
      <c r="FN81" s="383"/>
      <c r="FO81" s="383"/>
      <c r="FP81" s="383"/>
      <c r="FQ81" s="383"/>
      <c r="FR81" s="383"/>
      <c r="FS81" s="383"/>
      <c r="FT81" s="383"/>
      <c r="FU81" s="383"/>
      <c r="FV81" s="383"/>
      <c r="FW81" s="383"/>
      <c r="FX81" s="383"/>
      <c r="FY81" s="383"/>
      <c r="FZ81" s="383"/>
      <c r="GA81" s="383"/>
      <c r="GB81" s="383"/>
      <c r="GC81" s="383"/>
      <c r="GD81" s="383"/>
      <c r="GE81" s="383"/>
      <c r="GF81" s="383"/>
      <c r="GG81" s="383"/>
      <c r="GH81" s="383"/>
      <c r="GI81" s="383"/>
      <c r="GJ81" s="383"/>
      <c r="GK81" s="383"/>
      <c r="GL81" s="383"/>
      <c r="GM81" s="383"/>
      <c r="GN81" s="383"/>
      <c r="GO81" s="383"/>
      <c r="GP81" s="383"/>
      <c r="GQ81" s="383"/>
      <c r="GR81" s="383"/>
      <c r="GS81" s="383"/>
      <c r="GT81" s="383"/>
      <c r="GU81" s="383"/>
      <c r="GV81" s="383"/>
      <c r="GW81" s="383"/>
      <c r="GX81" s="383"/>
      <c r="GY81" s="383"/>
      <c r="GZ81" s="383"/>
      <c r="HA81" s="383"/>
      <c r="HB81" s="383"/>
      <c r="HC81" s="383"/>
      <c r="HD81" s="383"/>
      <c r="HE81" s="383"/>
      <c r="HF81" s="383"/>
      <c r="HG81" s="383"/>
      <c r="HH81" s="383"/>
    </row>
    <row r="82" spans="1:216" ht="18" customHeight="1">
      <c r="A82" s="395"/>
      <c r="B82" s="314" t="s">
        <v>8039</v>
      </c>
      <c r="C82" s="396"/>
      <c r="D82" s="317" t="s">
        <v>10653</v>
      </c>
      <c r="E82" s="317" t="s">
        <v>1382</v>
      </c>
      <c r="F82" s="383"/>
      <c r="G82" s="383"/>
      <c r="H82" s="370"/>
      <c r="I82" s="317"/>
      <c r="J82" s="384">
        <v>1</v>
      </c>
      <c r="K82" s="384"/>
      <c r="L82" s="384"/>
      <c r="M82" s="397">
        <v>1</v>
      </c>
      <c r="N82" s="384"/>
      <c r="O82" s="384"/>
      <c r="P82" s="384"/>
      <c r="Q82" s="384"/>
      <c r="R82" s="397">
        <v>1</v>
      </c>
      <c r="S82" s="397">
        <v>1</v>
      </c>
      <c r="T82" s="384"/>
      <c r="U82" s="384"/>
      <c r="V82" s="384"/>
      <c r="W82" s="384"/>
      <c r="X82" s="384"/>
      <c r="Y82" s="397">
        <v>1</v>
      </c>
      <c r="Z82" s="384"/>
      <c r="AA82" s="384"/>
      <c r="AB82" s="384"/>
      <c r="AC82" s="384"/>
      <c r="AD82" s="384"/>
      <c r="AE82" s="384"/>
      <c r="AF82" s="384"/>
      <c r="AG82" s="384"/>
      <c r="AH82" s="384"/>
      <c r="AI82" s="384"/>
      <c r="AJ82" s="384"/>
      <c r="AK82" s="384"/>
      <c r="AL82" s="384"/>
      <c r="AM82" s="384"/>
      <c r="AN82" s="384"/>
      <c r="AO82" s="391"/>
      <c r="AP82" s="315"/>
      <c r="AQ82" s="397">
        <v>1</v>
      </c>
      <c r="AR82" s="315"/>
      <c r="AS82" s="315"/>
      <c r="AT82" s="315"/>
      <c r="AU82" s="315"/>
      <c r="AV82" s="315"/>
      <c r="AW82" s="315"/>
      <c r="AX82" s="315"/>
      <c r="AY82" s="315"/>
      <c r="AZ82" s="315"/>
      <c r="BA82" s="315"/>
      <c r="BB82" s="315"/>
      <c r="BC82" s="315"/>
      <c r="BD82" s="315"/>
      <c r="BE82" s="387"/>
      <c r="BF82" s="387"/>
      <c r="BG82" s="387"/>
      <c r="BH82" s="387"/>
      <c r="BI82" s="387"/>
      <c r="BJ82" s="387"/>
      <c r="BK82" s="387"/>
      <c r="BL82" s="387"/>
      <c r="BM82" s="387"/>
      <c r="BN82" s="387"/>
      <c r="BO82" s="387"/>
      <c r="BP82" s="387"/>
      <c r="BQ82" s="387"/>
      <c r="BR82" s="387"/>
      <c r="BS82" s="387"/>
      <c r="BT82" s="387"/>
      <c r="BU82" s="387"/>
      <c r="BV82" s="387"/>
      <c r="BW82" s="387"/>
      <c r="BX82" s="387"/>
      <c r="BY82" s="387"/>
      <c r="BZ82" s="387"/>
      <c r="CA82" s="387"/>
      <c r="CB82" s="387"/>
      <c r="CC82" s="387"/>
      <c r="CD82" s="387"/>
      <c r="CE82" s="387"/>
      <c r="CF82" s="387"/>
      <c r="CG82" s="387"/>
      <c r="CH82" s="387"/>
      <c r="CI82" s="387"/>
      <c r="CJ82" s="387"/>
      <c r="CK82" s="383"/>
      <c r="CL82" s="383"/>
      <c r="CM82" s="383"/>
      <c r="CN82" s="383"/>
      <c r="CO82" s="383"/>
      <c r="CP82" s="383"/>
      <c r="CQ82" s="383"/>
      <c r="CR82" s="390"/>
      <c r="CS82" s="390"/>
      <c r="CT82" s="383"/>
      <c r="CU82" s="383"/>
      <c r="CV82" s="383"/>
      <c r="CW82" s="383"/>
      <c r="CX82" s="383"/>
      <c r="CY82" s="383"/>
      <c r="CZ82" s="383"/>
      <c r="DA82" s="383"/>
      <c r="DB82" s="383"/>
      <c r="DC82" s="383"/>
      <c r="DD82" s="383"/>
      <c r="DE82" s="383"/>
      <c r="DF82" s="383"/>
      <c r="DG82" s="383"/>
      <c r="DH82" s="370"/>
      <c r="DI82" s="370"/>
      <c r="DJ82" s="370"/>
      <c r="DK82" s="370"/>
      <c r="DL82" s="383"/>
      <c r="DM82" s="383"/>
      <c r="DN82" s="383"/>
      <c r="DO82" s="383"/>
      <c r="DP82" s="383"/>
      <c r="DQ82" s="383"/>
      <c r="DR82" s="383"/>
      <c r="DS82" s="370"/>
      <c r="DT82" s="370"/>
      <c r="DU82" s="384"/>
      <c r="DV82" s="384"/>
      <c r="DW82" s="383"/>
      <c r="DX82" s="315"/>
      <c r="DY82" s="315"/>
      <c r="DZ82" s="383"/>
      <c r="EA82" s="383"/>
      <c r="EB82" s="390"/>
      <c r="EC82" s="390"/>
      <c r="ED82" s="383"/>
      <c r="EE82" s="383"/>
      <c r="EF82" s="383"/>
      <c r="EG82" s="383"/>
      <c r="EH82" s="383"/>
      <c r="EI82" s="383"/>
      <c r="EJ82" s="383"/>
      <c r="EK82" s="383"/>
      <c r="EL82" s="383"/>
      <c r="EM82" s="383"/>
      <c r="EN82" s="370"/>
      <c r="EO82" s="370"/>
      <c r="EP82" s="370"/>
      <c r="EQ82" s="370"/>
      <c r="ER82" s="370"/>
      <c r="ES82" s="370"/>
      <c r="ET82" s="383"/>
      <c r="EU82" s="383"/>
      <c r="EV82" s="383"/>
      <c r="EW82" s="383"/>
      <c r="EX82" s="383"/>
      <c r="EY82" s="383"/>
      <c r="EZ82" s="383"/>
      <c r="FA82" s="383"/>
      <c r="FB82" s="383"/>
      <c r="FC82" s="383"/>
      <c r="FD82" s="383"/>
      <c r="FE82" s="383"/>
      <c r="FF82" s="383"/>
      <c r="FG82" s="383"/>
      <c r="FH82" s="383"/>
      <c r="FI82" s="383"/>
      <c r="FJ82" s="383"/>
      <c r="FK82" s="383"/>
      <c r="FL82" s="383"/>
      <c r="FM82" s="383"/>
      <c r="FN82" s="383"/>
      <c r="FO82" s="383"/>
      <c r="FP82" s="383"/>
      <c r="FQ82" s="383"/>
      <c r="FR82" s="383"/>
      <c r="FS82" s="383"/>
      <c r="FT82" s="383"/>
      <c r="FU82" s="383"/>
      <c r="FV82" s="383"/>
      <c r="FW82" s="383"/>
      <c r="FX82" s="383"/>
      <c r="FY82" s="383"/>
      <c r="FZ82" s="383"/>
      <c r="GA82" s="383"/>
      <c r="GB82" s="383"/>
      <c r="GC82" s="383"/>
      <c r="GD82" s="383"/>
      <c r="GE82" s="383"/>
      <c r="GF82" s="383"/>
      <c r="GG82" s="383"/>
      <c r="GH82" s="383"/>
      <c r="GI82" s="383"/>
      <c r="GJ82" s="383"/>
      <c r="GK82" s="383"/>
      <c r="GL82" s="383"/>
      <c r="GM82" s="383"/>
      <c r="GN82" s="383"/>
      <c r="GO82" s="383"/>
      <c r="GP82" s="383"/>
      <c r="GQ82" s="383"/>
      <c r="GR82" s="383"/>
      <c r="GS82" s="383"/>
      <c r="GT82" s="383"/>
      <c r="GU82" s="383"/>
      <c r="GV82" s="383"/>
      <c r="GW82" s="383"/>
      <c r="GX82" s="383"/>
      <c r="GY82" s="383"/>
      <c r="GZ82" s="383"/>
      <c r="HA82" s="383"/>
      <c r="HB82" s="383"/>
      <c r="HC82" s="383"/>
      <c r="HD82" s="383"/>
      <c r="HE82" s="383"/>
      <c r="HF82" s="383"/>
      <c r="HG82" s="383"/>
      <c r="HH82" s="383"/>
    </row>
    <row r="83" spans="1:216" ht="18" customHeight="1">
      <c r="A83" s="395"/>
      <c r="B83" s="314" t="s">
        <v>10883</v>
      </c>
      <c r="C83" s="396"/>
      <c r="D83" s="317" t="s">
        <v>10653</v>
      </c>
      <c r="E83" s="317" t="s">
        <v>4352</v>
      </c>
      <c r="F83" s="383"/>
      <c r="G83" s="383"/>
      <c r="H83" s="370"/>
      <c r="I83" s="317"/>
      <c r="J83" s="384">
        <v>1</v>
      </c>
      <c r="K83" s="384"/>
      <c r="L83" s="384"/>
      <c r="M83" s="384"/>
      <c r="N83" s="397">
        <v>1</v>
      </c>
      <c r="O83" s="384"/>
      <c r="P83" s="384"/>
      <c r="Q83" s="384"/>
      <c r="R83" s="397">
        <v>1</v>
      </c>
      <c r="S83" s="397">
        <v>1</v>
      </c>
      <c r="T83" s="384"/>
      <c r="U83" s="384"/>
      <c r="V83" s="384"/>
      <c r="W83" s="384"/>
      <c r="X83" s="384"/>
      <c r="Y83" s="397">
        <v>1</v>
      </c>
      <c r="Z83" s="384"/>
      <c r="AA83" s="384"/>
      <c r="AB83" s="384"/>
      <c r="AC83" s="384"/>
      <c r="AD83" s="384"/>
      <c r="AE83" s="384"/>
      <c r="AF83" s="384"/>
      <c r="AG83" s="384"/>
      <c r="AH83" s="384"/>
      <c r="AI83" s="384"/>
      <c r="AJ83" s="384"/>
      <c r="AK83" s="384"/>
      <c r="AL83" s="384"/>
      <c r="AM83" s="384"/>
      <c r="AN83" s="384"/>
      <c r="AO83" s="391"/>
      <c r="AP83" s="315"/>
      <c r="AQ83" s="315"/>
      <c r="AR83" s="315"/>
      <c r="AS83" s="315"/>
      <c r="AT83" s="315"/>
      <c r="AU83" s="315"/>
      <c r="AV83" s="315"/>
      <c r="AW83" s="315"/>
      <c r="AX83" s="315"/>
      <c r="AY83" s="315"/>
      <c r="AZ83" s="315"/>
      <c r="BA83" s="315"/>
      <c r="BB83" s="315"/>
      <c r="BC83" s="315"/>
      <c r="BD83" s="315"/>
      <c r="BE83" s="387"/>
      <c r="BF83" s="387"/>
      <c r="BG83" s="387"/>
      <c r="BH83" s="387"/>
      <c r="BI83" s="387"/>
      <c r="BJ83" s="387"/>
      <c r="BK83" s="387"/>
      <c r="BL83" s="387"/>
      <c r="BM83" s="387"/>
      <c r="BN83" s="387"/>
      <c r="BO83" s="387"/>
      <c r="BP83" s="387"/>
      <c r="BQ83" s="387"/>
      <c r="BR83" s="387"/>
      <c r="BS83" s="387"/>
      <c r="BT83" s="387"/>
      <c r="BU83" s="387"/>
      <c r="BV83" s="387"/>
      <c r="BW83" s="387"/>
      <c r="BX83" s="387"/>
      <c r="BY83" s="387"/>
      <c r="BZ83" s="387"/>
      <c r="CA83" s="387"/>
      <c r="CB83" s="387"/>
      <c r="CC83" s="387"/>
      <c r="CD83" s="387"/>
      <c r="CE83" s="387"/>
      <c r="CF83" s="387"/>
      <c r="CG83" s="387"/>
      <c r="CH83" s="387"/>
      <c r="CI83" s="387"/>
      <c r="CJ83" s="387"/>
      <c r="CK83" s="383"/>
      <c r="CL83" s="383"/>
      <c r="CM83" s="383"/>
      <c r="CN83" s="383"/>
      <c r="CO83" s="383"/>
      <c r="CP83" s="383"/>
      <c r="CQ83" s="383"/>
      <c r="CR83" s="390"/>
      <c r="CS83" s="390"/>
      <c r="CT83" s="383"/>
      <c r="CU83" s="383"/>
      <c r="CV83" s="383"/>
      <c r="CW83" s="383"/>
      <c r="CX83" s="383"/>
      <c r="CY83" s="383"/>
      <c r="CZ83" s="383"/>
      <c r="DA83" s="383"/>
      <c r="DB83" s="383"/>
      <c r="DC83" s="383"/>
      <c r="DD83" s="383"/>
      <c r="DE83" s="383"/>
      <c r="DF83" s="383"/>
      <c r="DG83" s="383"/>
      <c r="DH83" s="383"/>
      <c r="DI83" s="383"/>
      <c r="DJ83" s="383"/>
      <c r="DK83" s="383"/>
      <c r="DL83" s="383"/>
      <c r="DM83" s="383"/>
      <c r="DN83" s="383"/>
      <c r="DO83" s="383"/>
      <c r="DP83" s="383"/>
      <c r="DQ83" s="383"/>
      <c r="DR83" s="383"/>
      <c r="DS83" s="370"/>
      <c r="DT83" s="370"/>
      <c r="DU83" s="384"/>
      <c r="DV83" s="384"/>
      <c r="DW83" s="383"/>
      <c r="DX83" s="315"/>
      <c r="DY83" s="315"/>
      <c r="DZ83" s="383"/>
      <c r="EA83" s="383"/>
      <c r="EB83" s="390"/>
      <c r="EC83" s="390"/>
      <c r="ED83" s="383"/>
      <c r="EE83" s="383"/>
      <c r="EF83" s="383"/>
      <c r="EG83" s="383"/>
      <c r="EH83" s="383"/>
      <c r="EI83" s="383"/>
      <c r="EJ83" s="383"/>
      <c r="EK83" s="383"/>
      <c r="EL83" s="383"/>
      <c r="EM83" s="383"/>
      <c r="EN83" s="370"/>
      <c r="EO83" s="370"/>
      <c r="EP83" s="370"/>
      <c r="EQ83" s="370"/>
      <c r="ER83" s="370"/>
      <c r="ES83" s="370"/>
      <c r="ET83" s="383"/>
      <c r="EU83" s="383"/>
      <c r="EV83" s="383"/>
      <c r="EW83" s="383"/>
      <c r="EX83" s="383"/>
      <c r="EY83" s="383"/>
      <c r="EZ83" s="383"/>
      <c r="FA83" s="383"/>
      <c r="FB83" s="383"/>
      <c r="FC83" s="383"/>
      <c r="FD83" s="383"/>
      <c r="FE83" s="383"/>
      <c r="FF83" s="383"/>
      <c r="FG83" s="383"/>
      <c r="FH83" s="383"/>
      <c r="FI83" s="383"/>
      <c r="FJ83" s="383"/>
      <c r="FK83" s="383"/>
      <c r="FL83" s="383"/>
      <c r="FM83" s="383"/>
      <c r="FN83" s="383"/>
      <c r="FO83" s="383"/>
      <c r="FP83" s="383"/>
      <c r="FQ83" s="383"/>
      <c r="FR83" s="383"/>
      <c r="FS83" s="383"/>
      <c r="FT83" s="383"/>
      <c r="FU83" s="383"/>
      <c r="FV83" s="383"/>
      <c r="FW83" s="383"/>
      <c r="FX83" s="383"/>
      <c r="FY83" s="383"/>
      <c r="FZ83" s="383"/>
      <c r="GA83" s="383"/>
      <c r="GB83" s="383"/>
      <c r="GC83" s="383"/>
      <c r="GD83" s="383"/>
      <c r="GE83" s="383"/>
      <c r="GF83" s="383"/>
      <c r="GG83" s="383"/>
      <c r="GH83" s="383"/>
      <c r="GI83" s="383"/>
      <c r="GJ83" s="383"/>
      <c r="GK83" s="383"/>
      <c r="GL83" s="383"/>
      <c r="GM83" s="383"/>
      <c r="GN83" s="383"/>
      <c r="GO83" s="383"/>
      <c r="GP83" s="383"/>
      <c r="GQ83" s="383"/>
      <c r="GR83" s="383"/>
      <c r="GS83" s="383"/>
      <c r="GT83" s="383"/>
      <c r="GU83" s="383"/>
      <c r="GV83" s="383"/>
      <c r="GW83" s="383"/>
      <c r="GX83" s="383"/>
      <c r="GY83" s="383"/>
      <c r="GZ83" s="383"/>
      <c r="HA83" s="383"/>
      <c r="HB83" s="383"/>
      <c r="HC83" s="383"/>
      <c r="HD83" s="383"/>
      <c r="HE83" s="383"/>
      <c r="HF83" s="383"/>
      <c r="HG83" s="383"/>
      <c r="HH83" s="383"/>
    </row>
    <row r="84" spans="1:216" s="393" customFormat="1" ht="18" customHeight="1">
      <c r="A84" s="395"/>
      <c r="B84" s="314" t="s">
        <v>10015</v>
      </c>
      <c r="C84" s="382"/>
      <c r="D84" s="374" t="s">
        <v>10005</v>
      </c>
      <c r="E84" s="394"/>
      <c r="F84" s="370"/>
      <c r="G84" s="370"/>
      <c r="H84" s="366"/>
      <c r="I84" s="382"/>
      <c r="J84" s="384">
        <v>1</v>
      </c>
      <c r="K84" s="352"/>
      <c r="L84" s="352"/>
      <c r="M84" s="397">
        <v>1</v>
      </c>
      <c r="N84" s="358"/>
      <c r="O84" s="358"/>
      <c r="P84" s="358"/>
      <c r="Q84" s="358"/>
      <c r="R84" s="397">
        <v>1</v>
      </c>
      <c r="S84" s="397">
        <v>1</v>
      </c>
      <c r="T84" s="384"/>
      <c r="U84" s="384"/>
      <c r="V84" s="384"/>
      <c r="W84" s="384"/>
      <c r="X84" s="384"/>
      <c r="Y84" s="397">
        <v>1</v>
      </c>
      <c r="Z84" s="397">
        <v>1</v>
      </c>
      <c r="AA84" s="397">
        <v>1</v>
      </c>
      <c r="AB84" s="397">
        <v>1</v>
      </c>
      <c r="AC84" s="384"/>
      <c r="AD84" s="384"/>
      <c r="AE84" s="384"/>
      <c r="AF84" s="384"/>
      <c r="AG84" s="384"/>
      <c r="AH84" s="384"/>
      <c r="AI84" s="384"/>
      <c r="AJ84" s="384"/>
      <c r="AK84" s="384"/>
      <c r="AL84" s="384"/>
      <c r="AM84" s="384"/>
      <c r="AN84" s="384"/>
      <c r="AO84" s="391"/>
      <c r="AP84" s="384"/>
      <c r="AQ84" s="384"/>
      <c r="AR84" s="384"/>
      <c r="AS84" s="384"/>
      <c r="AT84" s="384"/>
      <c r="AU84" s="384"/>
      <c r="AV84" s="384"/>
      <c r="AW84" s="384"/>
      <c r="AX84" s="384"/>
      <c r="AY84" s="384"/>
      <c r="AZ84" s="384"/>
      <c r="BA84" s="384"/>
      <c r="BB84" s="384"/>
      <c r="BC84" s="384"/>
      <c r="BD84" s="384"/>
      <c r="BE84" s="387"/>
      <c r="BF84" s="387"/>
      <c r="BG84" s="387"/>
      <c r="BH84" s="387"/>
      <c r="BI84" s="387"/>
      <c r="BJ84" s="387"/>
      <c r="BK84" s="387"/>
      <c r="BL84" s="387"/>
      <c r="BM84" s="387"/>
      <c r="BN84" s="387"/>
      <c r="BO84" s="387"/>
      <c r="BP84" s="387"/>
      <c r="BQ84" s="387"/>
      <c r="BR84" s="387"/>
      <c r="BS84" s="387"/>
      <c r="BT84" s="387"/>
      <c r="BU84" s="387"/>
      <c r="BV84" s="387"/>
      <c r="BW84" s="387"/>
      <c r="BX84" s="387"/>
      <c r="BY84" s="387"/>
      <c r="BZ84" s="387"/>
      <c r="CA84" s="387"/>
      <c r="CB84" s="387"/>
      <c r="CC84" s="387"/>
      <c r="CD84" s="387"/>
      <c r="CE84" s="387"/>
      <c r="CF84" s="387"/>
      <c r="CG84" s="387"/>
      <c r="CH84" s="387"/>
      <c r="CI84" s="387"/>
      <c r="CJ84" s="387"/>
      <c r="CK84" s="370"/>
      <c r="CL84" s="370"/>
      <c r="CM84" s="370"/>
      <c r="CN84" s="370"/>
      <c r="CO84" s="370"/>
      <c r="CP84" s="370"/>
      <c r="CQ84" s="370"/>
      <c r="CR84" s="390"/>
      <c r="CS84" s="390"/>
      <c r="CT84" s="370"/>
      <c r="CU84" s="370"/>
      <c r="CV84" s="370"/>
      <c r="CW84" s="370"/>
      <c r="CX84" s="370"/>
      <c r="CY84" s="370"/>
      <c r="CZ84" s="370"/>
      <c r="DA84" s="370"/>
      <c r="DB84" s="370"/>
      <c r="DC84" s="370"/>
      <c r="DD84" s="370"/>
      <c r="DE84" s="370"/>
      <c r="DF84" s="370"/>
      <c r="DG84" s="370"/>
      <c r="DH84" s="370"/>
      <c r="DI84" s="370"/>
      <c r="DJ84" s="370"/>
      <c r="DK84" s="370"/>
      <c r="DL84" s="383"/>
      <c r="DM84" s="383"/>
      <c r="DN84" s="383"/>
      <c r="DO84" s="450">
        <v>1</v>
      </c>
      <c r="DP84" s="370"/>
      <c r="DQ84" s="370"/>
      <c r="DR84" s="370"/>
      <c r="DS84" s="383"/>
      <c r="DT84" s="383"/>
      <c r="DU84" s="384"/>
      <c r="DV84" s="384"/>
      <c r="DW84" s="370"/>
      <c r="DX84" s="384"/>
      <c r="DY84" s="384"/>
      <c r="DZ84" s="370"/>
      <c r="EA84" s="370"/>
      <c r="EB84" s="390"/>
      <c r="EC84" s="390"/>
      <c r="ED84" s="370"/>
      <c r="EE84" s="370"/>
      <c r="EF84" s="370"/>
      <c r="EG84" s="370"/>
      <c r="EH84" s="370"/>
      <c r="EI84" s="370"/>
      <c r="EJ84" s="370"/>
      <c r="EK84" s="370"/>
      <c r="EL84" s="370"/>
      <c r="EM84" s="370"/>
      <c r="EN84" s="370"/>
      <c r="EO84" s="370"/>
      <c r="EP84" s="370"/>
      <c r="EQ84" s="370"/>
      <c r="ER84" s="370"/>
      <c r="ES84" s="370"/>
      <c r="ET84" s="370"/>
      <c r="EU84" s="370"/>
      <c r="EV84" s="370"/>
      <c r="EW84" s="370"/>
      <c r="EX84" s="370"/>
      <c r="EY84" s="370"/>
      <c r="EZ84" s="370"/>
      <c r="FA84" s="370"/>
      <c r="FB84" s="370"/>
      <c r="FC84" s="370"/>
      <c r="FD84" s="370"/>
      <c r="FE84" s="370"/>
      <c r="FF84" s="370"/>
      <c r="FG84" s="370"/>
      <c r="FH84" s="370"/>
      <c r="FI84" s="370"/>
      <c r="FJ84" s="370"/>
      <c r="FK84" s="370"/>
      <c r="FL84" s="370"/>
      <c r="FM84" s="370"/>
      <c r="FN84" s="370"/>
      <c r="FO84" s="370"/>
      <c r="FP84" s="370"/>
      <c r="FQ84" s="370"/>
      <c r="FR84" s="370"/>
      <c r="FS84" s="370"/>
      <c r="FT84" s="370"/>
      <c r="FU84" s="370"/>
      <c r="FV84" s="370"/>
      <c r="FW84" s="370"/>
      <c r="FX84" s="370"/>
      <c r="FY84" s="370"/>
      <c r="FZ84" s="370"/>
      <c r="GA84" s="370"/>
      <c r="GB84" s="370"/>
      <c r="GC84" s="370"/>
      <c r="GD84" s="370"/>
      <c r="GE84" s="370"/>
      <c r="GF84" s="370"/>
      <c r="GG84" s="370"/>
      <c r="GH84" s="370"/>
      <c r="GI84" s="370"/>
      <c r="GJ84" s="370"/>
      <c r="GK84" s="370"/>
      <c r="GL84" s="370"/>
      <c r="GM84" s="370"/>
      <c r="GN84" s="370"/>
      <c r="GO84" s="370"/>
      <c r="GP84" s="370"/>
      <c r="GQ84" s="370"/>
      <c r="GR84" s="370"/>
      <c r="GS84" s="370"/>
      <c r="GT84" s="370"/>
      <c r="GU84" s="370"/>
      <c r="GV84" s="370"/>
      <c r="GW84" s="370"/>
      <c r="GX84" s="370"/>
      <c r="GY84" s="370"/>
      <c r="GZ84" s="370"/>
      <c r="HA84" s="370"/>
      <c r="HB84" s="370"/>
      <c r="HC84" s="370"/>
      <c r="HD84" s="370"/>
      <c r="HE84" s="370"/>
      <c r="HF84" s="370"/>
      <c r="HG84" s="370"/>
      <c r="HH84" s="370"/>
    </row>
    <row r="85" spans="1:216" s="393" customFormat="1" ht="18" customHeight="1">
      <c r="A85" s="382"/>
      <c r="B85" s="382"/>
      <c r="C85" s="382"/>
      <c r="D85" s="374"/>
      <c r="E85" s="394"/>
      <c r="F85" s="370"/>
      <c r="G85" s="370"/>
      <c r="H85" s="366"/>
      <c r="I85" s="382"/>
      <c r="J85" s="384"/>
      <c r="K85" s="352"/>
      <c r="L85" s="352"/>
      <c r="M85" s="358"/>
      <c r="N85" s="358"/>
      <c r="O85" s="358"/>
      <c r="P85" s="358"/>
      <c r="Q85" s="358"/>
      <c r="R85" s="384"/>
      <c r="S85" s="384"/>
      <c r="T85" s="384"/>
      <c r="U85" s="384"/>
      <c r="V85" s="384"/>
      <c r="W85" s="384"/>
      <c r="X85" s="384"/>
      <c r="Y85" s="384"/>
      <c r="Z85" s="384"/>
      <c r="AA85" s="384"/>
      <c r="AB85" s="384"/>
      <c r="AC85" s="384"/>
      <c r="AD85" s="384"/>
      <c r="AE85" s="384"/>
      <c r="AF85" s="384"/>
      <c r="AG85" s="384"/>
      <c r="AH85" s="384"/>
      <c r="AI85" s="384"/>
      <c r="AJ85" s="384"/>
      <c r="AK85" s="384"/>
      <c r="AL85" s="384"/>
      <c r="AM85" s="384"/>
      <c r="AN85" s="384"/>
      <c r="AO85" s="391"/>
      <c r="AP85" s="384"/>
      <c r="AQ85" s="384"/>
      <c r="AR85" s="384"/>
      <c r="AS85" s="384"/>
      <c r="AT85" s="384"/>
      <c r="AU85" s="384"/>
      <c r="AV85" s="384"/>
      <c r="AW85" s="384"/>
      <c r="AX85" s="384"/>
      <c r="AY85" s="384"/>
      <c r="AZ85" s="384"/>
      <c r="BA85" s="384"/>
      <c r="BB85" s="384"/>
      <c r="BC85" s="384"/>
      <c r="BD85" s="384"/>
      <c r="BE85" s="387"/>
      <c r="BF85" s="387"/>
      <c r="BG85" s="387"/>
      <c r="BH85" s="387"/>
      <c r="BI85" s="387"/>
      <c r="BJ85" s="387"/>
      <c r="BK85" s="387"/>
      <c r="BL85" s="387"/>
      <c r="BM85" s="387"/>
      <c r="BN85" s="387"/>
      <c r="BO85" s="387"/>
      <c r="BP85" s="387"/>
      <c r="BQ85" s="387"/>
      <c r="BR85" s="387"/>
      <c r="BS85" s="387"/>
      <c r="BT85" s="387"/>
      <c r="BU85" s="387"/>
      <c r="BV85" s="387"/>
      <c r="BW85" s="387"/>
      <c r="BX85" s="387"/>
      <c r="BY85" s="387"/>
      <c r="BZ85" s="387"/>
      <c r="CA85" s="387"/>
      <c r="CB85" s="387"/>
      <c r="CC85" s="387"/>
      <c r="CD85" s="387"/>
      <c r="CE85" s="387"/>
      <c r="CF85" s="387"/>
      <c r="CG85" s="387"/>
      <c r="CH85" s="387"/>
      <c r="CI85" s="387"/>
      <c r="CJ85" s="387"/>
      <c r="CK85" s="370"/>
      <c r="CL85" s="370"/>
      <c r="CM85" s="370"/>
      <c r="CN85" s="370"/>
      <c r="CO85" s="370"/>
      <c r="CP85" s="370"/>
      <c r="CQ85" s="370"/>
      <c r="CR85" s="390"/>
      <c r="CS85" s="390"/>
      <c r="CT85" s="370"/>
      <c r="CU85" s="370"/>
      <c r="CV85" s="370"/>
      <c r="CW85" s="370"/>
      <c r="CX85" s="370"/>
      <c r="CY85" s="370"/>
      <c r="CZ85" s="370"/>
      <c r="DA85" s="370"/>
      <c r="DB85" s="370"/>
      <c r="DC85" s="370"/>
      <c r="DD85" s="370"/>
      <c r="DE85" s="370"/>
      <c r="DF85" s="370"/>
      <c r="DG85" s="370"/>
      <c r="DH85" s="370"/>
      <c r="DI85" s="370"/>
      <c r="DJ85" s="370"/>
      <c r="DK85" s="370"/>
      <c r="DL85" s="383"/>
      <c r="DM85" s="383"/>
      <c r="DN85" s="383"/>
      <c r="DO85" s="370"/>
      <c r="DP85" s="370"/>
      <c r="DQ85" s="370"/>
      <c r="DR85" s="370"/>
      <c r="DS85" s="383"/>
      <c r="DT85" s="383"/>
      <c r="DU85" s="384"/>
      <c r="DV85" s="384"/>
      <c r="DW85" s="370"/>
      <c r="DX85" s="384"/>
      <c r="DY85" s="384"/>
      <c r="DZ85" s="370"/>
      <c r="EA85" s="370"/>
      <c r="EB85" s="390"/>
      <c r="EC85" s="390"/>
      <c r="ED85" s="370"/>
      <c r="EE85" s="370"/>
      <c r="EF85" s="370"/>
      <c r="EG85" s="370"/>
      <c r="EH85" s="370"/>
      <c r="EI85" s="370"/>
      <c r="EJ85" s="370"/>
      <c r="EK85" s="370"/>
      <c r="EL85" s="370"/>
      <c r="EM85" s="370"/>
      <c r="EN85" s="370"/>
      <c r="EO85" s="370"/>
      <c r="EP85" s="370"/>
      <c r="EQ85" s="370"/>
      <c r="ER85" s="370"/>
      <c r="ES85" s="370"/>
      <c r="ET85" s="370"/>
      <c r="EU85" s="370"/>
      <c r="EV85" s="370"/>
      <c r="EW85" s="370"/>
      <c r="EX85" s="370"/>
      <c r="EY85" s="370"/>
      <c r="EZ85" s="370"/>
      <c r="FA85" s="370"/>
      <c r="FB85" s="370"/>
      <c r="FC85" s="370"/>
      <c r="FD85" s="370"/>
      <c r="FE85" s="370"/>
      <c r="FF85" s="370"/>
      <c r="FG85" s="370"/>
      <c r="FH85" s="370"/>
      <c r="FI85" s="370"/>
      <c r="FJ85" s="370"/>
      <c r="FK85" s="370"/>
      <c r="FL85" s="370"/>
      <c r="FM85" s="370"/>
      <c r="FN85" s="370"/>
      <c r="FO85" s="370"/>
      <c r="FP85" s="370"/>
      <c r="FQ85" s="370"/>
      <c r="FR85" s="370"/>
      <c r="FS85" s="370"/>
      <c r="FT85" s="370"/>
      <c r="FU85" s="370"/>
      <c r="FV85" s="370"/>
      <c r="FW85" s="370"/>
      <c r="FX85" s="370"/>
      <c r="FY85" s="370"/>
      <c r="FZ85" s="370"/>
      <c r="GA85" s="370"/>
      <c r="GB85" s="370"/>
      <c r="GC85" s="370"/>
      <c r="GD85" s="370"/>
      <c r="GE85" s="370"/>
      <c r="GF85" s="370"/>
      <c r="GG85" s="370"/>
      <c r="GH85" s="370"/>
      <c r="GI85" s="370"/>
      <c r="GJ85" s="370"/>
      <c r="GK85" s="370"/>
      <c r="GL85" s="370"/>
      <c r="GM85" s="370"/>
      <c r="GN85" s="370"/>
      <c r="GO85" s="370"/>
      <c r="GP85" s="370"/>
      <c r="GQ85" s="370"/>
      <c r="GR85" s="370"/>
      <c r="GS85" s="370"/>
      <c r="GT85" s="370"/>
      <c r="GU85" s="370"/>
      <c r="GV85" s="370"/>
      <c r="GW85" s="370"/>
      <c r="GX85" s="370"/>
      <c r="GY85" s="370"/>
      <c r="GZ85" s="370"/>
      <c r="HA85" s="370"/>
      <c r="HB85" s="370"/>
      <c r="HC85" s="370"/>
      <c r="HD85" s="370"/>
      <c r="HE85" s="370"/>
      <c r="HF85" s="370"/>
      <c r="HG85" s="370"/>
      <c r="HH85" s="370"/>
    </row>
    <row r="86" spans="1:216" ht="18" customHeight="1">
      <c r="A86" s="395"/>
      <c r="B86" s="314" t="s">
        <v>10006</v>
      </c>
      <c r="C86" s="396"/>
      <c r="D86" s="317" t="s">
        <v>8718</v>
      </c>
      <c r="E86" s="317"/>
      <c r="F86" s="383"/>
      <c r="G86" s="383"/>
      <c r="H86" s="370"/>
      <c r="I86" s="317"/>
      <c r="J86" s="384">
        <v>1</v>
      </c>
      <c r="K86" s="384"/>
      <c r="L86" s="384"/>
      <c r="M86" s="397">
        <v>1</v>
      </c>
      <c r="N86" s="384"/>
      <c r="O86" s="384"/>
      <c r="P86" s="384"/>
      <c r="Q86" s="384"/>
      <c r="R86" s="384"/>
      <c r="S86" s="384"/>
      <c r="T86" s="397">
        <v>1</v>
      </c>
      <c r="U86" s="384"/>
      <c r="V86" s="384"/>
      <c r="W86" s="384"/>
      <c r="X86" s="397">
        <v>1</v>
      </c>
      <c r="Y86" s="384"/>
      <c r="Z86" s="384"/>
      <c r="AA86" s="384"/>
      <c r="AB86" s="384"/>
      <c r="AC86" s="384"/>
      <c r="AD86" s="384"/>
      <c r="AE86" s="384"/>
      <c r="AF86" s="384"/>
      <c r="AG86" s="384"/>
      <c r="AH86" s="384"/>
      <c r="AI86" s="384"/>
      <c r="AJ86" s="383"/>
      <c r="AK86" s="383"/>
      <c r="AL86" s="384"/>
      <c r="AM86" s="384"/>
      <c r="AN86" s="384"/>
      <c r="AO86" s="391"/>
      <c r="AP86" s="315"/>
      <c r="AQ86" s="315"/>
      <c r="AR86" s="315"/>
      <c r="AS86" s="315"/>
      <c r="AT86" s="315"/>
      <c r="AU86" s="315"/>
      <c r="AV86" s="315"/>
      <c r="AW86" s="315"/>
      <c r="AX86" s="315"/>
      <c r="AY86" s="315"/>
      <c r="AZ86" s="315"/>
      <c r="BA86" s="315"/>
      <c r="BB86" s="315"/>
      <c r="BC86" s="315"/>
      <c r="BD86" s="315"/>
      <c r="BE86" s="387"/>
      <c r="BF86" s="387"/>
      <c r="BG86" s="387"/>
      <c r="BH86" s="387"/>
      <c r="BI86" s="387"/>
      <c r="BJ86" s="387"/>
      <c r="BK86" s="387"/>
      <c r="BL86" s="387"/>
      <c r="BM86" s="387"/>
      <c r="BN86" s="387"/>
      <c r="BO86" s="387"/>
      <c r="BP86" s="387"/>
      <c r="BQ86" s="387"/>
      <c r="BR86" s="387"/>
      <c r="BS86" s="387"/>
      <c r="BT86" s="387"/>
      <c r="BU86" s="387"/>
      <c r="BV86" s="387"/>
      <c r="BW86" s="387"/>
      <c r="BX86" s="387"/>
      <c r="BY86" s="387"/>
      <c r="BZ86" s="387"/>
      <c r="CA86" s="387"/>
      <c r="CB86" s="387"/>
      <c r="CC86" s="387"/>
      <c r="CD86" s="387"/>
      <c r="CE86" s="387"/>
      <c r="CF86" s="387"/>
      <c r="CG86" s="387"/>
      <c r="CH86" s="387"/>
      <c r="CI86" s="387"/>
      <c r="CJ86" s="387"/>
      <c r="CK86" s="383"/>
      <c r="CL86" s="383"/>
      <c r="CM86" s="383"/>
      <c r="CN86" s="383"/>
      <c r="CO86" s="383"/>
      <c r="CP86" s="383"/>
      <c r="CQ86" s="383"/>
      <c r="CR86" s="388"/>
      <c r="CS86" s="388"/>
      <c r="CT86" s="383"/>
      <c r="CU86" s="383"/>
      <c r="CV86" s="383"/>
      <c r="CW86" s="383"/>
      <c r="CX86" s="383"/>
      <c r="CY86" s="383"/>
      <c r="CZ86" s="383"/>
      <c r="DA86" s="383"/>
      <c r="DB86" s="383"/>
      <c r="DC86" s="383"/>
      <c r="DD86" s="383"/>
      <c r="DE86" s="383"/>
      <c r="DF86" s="383"/>
      <c r="DG86" s="383"/>
      <c r="DH86" s="383"/>
      <c r="DI86" s="383"/>
      <c r="DJ86" s="383"/>
      <c r="DK86" s="383"/>
      <c r="DL86" s="383"/>
      <c r="DM86" s="383"/>
      <c r="DN86" s="383"/>
      <c r="DO86" s="383"/>
      <c r="DP86" s="383"/>
      <c r="DQ86" s="383"/>
      <c r="DR86" s="383"/>
      <c r="DS86" s="370"/>
      <c r="DT86" s="370"/>
      <c r="DU86" s="384"/>
      <c r="DV86" s="384"/>
      <c r="DW86" s="383"/>
      <c r="DX86" s="315"/>
      <c r="DY86" s="315"/>
      <c r="DZ86" s="383"/>
      <c r="EA86" s="383"/>
      <c r="EB86" s="390"/>
      <c r="EC86" s="390"/>
      <c r="ED86" s="383"/>
      <c r="EE86" s="383"/>
      <c r="EF86" s="383"/>
      <c r="EG86" s="383"/>
      <c r="EH86" s="383"/>
      <c r="EI86" s="383"/>
      <c r="EJ86" s="383"/>
      <c r="EK86" s="383"/>
      <c r="EL86" s="383"/>
      <c r="EM86" s="383"/>
      <c r="EN86" s="370"/>
      <c r="EO86" s="370"/>
      <c r="EP86" s="370"/>
      <c r="EQ86" s="370"/>
      <c r="ER86" s="370"/>
      <c r="ES86" s="370"/>
      <c r="ET86" s="383"/>
      <c r="EU86" s="383"/>
      <c r="EV86" s="383"/>
      <c r="EW86" s="383"/>
      <c r="EX86" s="383"/>
      <c r="EY86" s="383"/>
      <c r="EZ86" s="383"/>
      <c r="FA86" s="383"/>
      <c r="FB86" s="383"/>
      <c r="FC86" s="383"/>
      <c r="FD86" s="383"/>
      <c r="FE86" s="383"/>
      <c r="FF86" s="383"/>
      <c r="FG86" s="383"/>
      <c r="FH86" s="383"/>
      <c r="FI86" s="383"/>
      <c r="FJ86" s="383"/>
      <c r="FK86" s="383"/>
      <c r="FL86" s="383"/>
      <c r="FM86" s="383"/>
      <c r="FN86" s="383"/>
      <c r="FO86" s="383"/>
      <c r="FP86" s="383"/>
      <c r="FQ86" s="383"/>
      <c r="FR86" s="383"/>
      <c r="FS86" s="383"/>
      <c r="FT86" s="383"/>
      <c r="FU86" s="383"/>
      <c r="FV86" s="383"/>
      <c r="FW86" s="383"/>
      <c r="FX86" s="383"/>
      <c r="FY86" s="383"/>
      <c r="FZ86" s="383"/>
      <c r="GA86" s="383"/>
      <c r="GB86" s="383"/>
      <c r="GC86" s="383"/>
      <c r="GD86" s="383"/>
      <c r="GE86" s="383"/>
      <c r="GF86" s="383"/>
      <c r="GG86" s="383"/>
      <c r="GH86" s="383"/>
      <c r="GI86" s="383"/>
      <c r="GJ86" s="383"/>
      <c r="GK86" s="383"/>
      <c r="GL86" s="383"/>
      <c r="GM86" s="383"/>
      <c r="GN86" s="383"/>
      <c r="GO86" s="383"/>
      <c r="GP86" s="383"/>
      <c r="GQ86" s="383"/>
      <c r="GR86" s="383"/>
      <c r="GS86" s="383"/>
      <c r="GT86" s="383"/>
      <c r="GU86" s="383"/>
      <c r="GV86" s="383"/>
      <c r="GW86" s="383"/>
      <c r="GX86" s="383"/>
      <c r="GY86" s="383"/>
      <c r="GZ86" s="383"/>
      <c r="HA86" s="383"/>
      <c r="HB86" s="383"/>
      <c r="HC86" s="383"/>
      <c r="HD86" s="383"/>
      <c r="HE86" s="383"/>
      <c r="HF86" s="383"/>
      <c r="HG86" s="383"/>
      <c r="HH86" s="383"/>
    </row>
    <row r="87" spans="1:216" ht="18" customHeight="1">
      <c r="A87" s="395"/>
      <c r="B87" s="314" t="s">
        <v>8721</v>
      </c>
      <c r="C87" s="406"/>
      <c r="D87" s="317" t="s">
        <v>8722</v>
      </c>
      <c r="E87" s="317"/>
      <c r="F87" s="383"/>
      <c r="G87" s="383"/>
      <c r="H87" s="370"/>
      <c r="I87" s="317"/>
      <c r="J87" s="384">
        <v>1</v>
      </c>
      <c r="K87" s="384"/>
      <c r="L87" s="384"/>
      <c r="M87" s="397">
        <v>1</v>
      </c>
      <c r="N87" s="384"/>
      <c r="O87" s="384"/>
      <c r="P87" s="384"/>
      <c r="Q87" s="384"/>
      <c r="R87" s="384"/>
      <c r="S87" s="384"/>
      <c r="T87" s="397">
        <v>1</v>
      </c>
      <c r="U87" s="384"/>
      <c r="V87" s="384"/>
      <c r="W87" s="384"/>
      <c r="X87" s="397">
        <v>1</v>
      </c>
      <c r="Y87" s="384"/>
      <c r="Z87" s="384"/>
      <c r="AA87" s="384"/>
      <c r="AB87" s="384"/>
      <c r="AC87" s="384"/>
      <c r="AD87" s="384"/>
      <c r="AE87" s="384"/>
      <c r="AF87" s="384"/>
      <c r="AG87" s="384"/>
      <c r="AH87" s="384"/>
      <c r="AI87" s="384"/>
      <c r="AJ87" s="383"/>
      <c r="AK87" s="383"/>
      <c r="AL87" s="384"/>
      <c r="AM87" s="384"/>
      <c r="AN87" s="384"/>
      <c r="AO87" s="391"/>
      <c r="AP87" s="315"/>
      <c r="AQ87" s="315"/>
      <c r="AR87" s="315"/>
      <c r="AS87" s="315"/>
      <c r="AT87" s="315"/>
      <c r="AU87" s="315"/>
      <c r="AV87" s="315"/>
      <c r="AW87" s="315"/>
      <c r="AX87" s="315"/>
      <c r="AY87" s="315"/>
      <c r="AZ87" s="315"/>
      <c r="BA87" s="315"/>
      <c r="BB87" s="315"/>
      <c r="BC87" s="315"/>
      <c r="BD87" s="315"/>
      <c r="BE87" s="387"/>
      <c r="BF87" s="387"/>
      <c r="BG87" s="387"/>
      <c r="BH87" s="387"/>
      <c r="BI87" s="387"/>
      <c r="BJ87" s="387"/>
      <c r="BK87" s="387"/>
      <c r="BL87" s="387"/>
      <c r="BM87" s="387"/>
      <c r="BN87" s="387"/>
      <c r="BO87" s="387"/>
      <c r="BP87" s="387"/>
      <c r="BQ87" s="387"/>
      <c r="BR87" s="387"/>
      <c r="BS87" s="387"/>
      <c r="BT87" s="387"/>
      <c r="BU87" s="387"/>
      <c r="BV87" s="387"/>
      <c r="BW87" s="387"/>
      <c r="BX87" s="387"/>
      <c r="BY87" s="387"/>
      <c r="BZ87" s="387"/>
      <c r="CA87" s="387"/>
      <c r="CB87" s="387"/>
      <c r="CC87" s="387"/>
      <c r="CD87" s="387"/>
      <c r="CE87" s="387"/>
      <c r="CF87" s="387"/>
      <c r="CG87" s="387"/>
      <c r="CH87" s="387"/>
      <c r="CI87" s="387"/>
      <c r="CJ87" s="387"/>
      <c r="CK87" s="383"/>
      <c r="CL87" s="383"/>
      <c r="CM87" s="383"/>
      <c r="CN87" s="383"/>
      <c r="CO87" s="383"/>
      <c r="CP87" s="383"/>
      <c r="CQ87" s="383"/>
      <c r="CR87" s="388"/>
      <c r="CS87" s="388"/>
      <c r="CT87" s="383"/>
      <c r="CU87" s="383"/>
      <c r="CV87" s="383"/>
      <c r="CW87" s="383"/>
      <c r="CX87" s="383"/>
      <c r="CY87" s="383"/>
      <c r="CZ87" s="383"/>
      <c r="DA87" s="383"/>
      <c r="DB87" s="383"/>
      <c r="DC87" s="383"/>
      <c r="DD87" s="383"/>
      <c r="DE87" s="383"/>
      <c r="DF87" s="383"/>
      <c r="DG87" s="383"/>
      <c r="DH87" s="383"/>
      <c r="DI87" s="383"/>
      <c r="DJ87" s="383"/>
      <c r="DK87" s="383"/>
      <c r="DL87" s="383"/>
      <c r="DM87" s="383"/>
      <c r="DN87" s="383"/>
      <c r="DO87" s="383"/>
      <c r="DP87" s="383"/>
      <c r="DQ87" s="383"/>
      <c r="DR87" s="383"/>
      <c r="DS87" s="370"/>
      <c r="DT87" s="370"/>
      <c r="DU87" s="384"/>
      <c r="DV87" s="384"/>
      <c r="DW87" s="383"/>
      <c r="DX87" s="315"/>
      <c r="DY87" s="315"/>
      <c r="DZ87" s="383"/>
      <c r="EA87" s="383"/>
      <c r="EB87" s="390"/>
      <c r="EC87" s="390"/>
      <c r="ED87" s="383"/>
      <c r="EE87" s="383"/>
      <c r="EF87" s="383"/>
      <c r="EG87" s="383"/>
      <c r="EH87" s="383"/>
      <c r="EI87" s="383"/>
      <c r="EJ87" s="383"/>
      <c r="EK87" s="383"/>
      <c r="EL87" s="383"/>
      <c r="EM87" s="383"/>
      <c r="EN87" s="370"/>
      <c r="EO87" s="370"/>
      <c r="EP87" s="370"/>
      <c r="EQ87" s="370"/>
      <c r="ER87" s="370"/>
      <c r="ES87" s="370"/>
      <c r="ET87" s="383"/>
      <c r="EU87" s="383"/>
      <c r="EV87" s="383"/>
      <c r="EW87" s="383"/>
      <c r="EX87" s="383"/>
      <c r="EY87" s="383"/>
      <c r="EZ87" s="383"/>
      <c r="FA87" s="383"/>
      <c r="FB87" s="383"/>
      <c r="FC87" s="383"/>
      <c r="FD87" s="383"/>
      <c r="FE87" s="383"/>
      <c r="FF87" s="383"/>
      <c r="FG87" s="383"/>
      <c r="FH87" s="383"/>
      <c r="FI87" s="383"/>
      <c r="FJ87" s="383"/>
      <c r="FK87" s="383"/>
      <c r="FL87" s="383"/>
      <c r="FM87" s="383"/>
      <c r="FN87" s="383"/>
      <c r="FO87" s="383"/>
      <c r="FP87" s="383"/>
      <c r="FQ87" s="383"/>
      <c r="FR87" s="383"/>
      <c r="FS87" s="383"/>
      <c r="FT87" s="383"/>
      <c r="FU87" s="383"/>
      <c r="FV87" s="383"/>
      <c r="FW87" s="383"/>
      <c r="FX87" s="383"/>
      <c r="FY87" s="383"/>
      <c r="FZ87" s="383"/>
      <c r="GA87" s="383"/>
      <c r="GB87" s="383"/>
      <c r="GC87" s="383"/>
      <c r="GD87" s="383"/>
      <c r="GE87" s="383"/>
      <c r="GF87" s="383"/>
      <c r="GG87" s="383"/>
      <c r="GH87" s="383"/>
      <c r="GI87" s="383"/>
      <c r="GJ87" s="383"/>
      <c r="GK87" s="383"/>
      <c r="GL87" s="383"/>
      <c r="GM87" s="383"/>
      <c r="GN87" s="383"/>
      <c r="GO87" s="383"/>
      <c r="GP87" s="383"/>
      <c r="GQ87" s="383"/>
      <c r="GR87" s="383"/>
      <c r="GS87" s="383"/>
      <c r="GT87" s="383"/>
      <c r="GU87" s="383"/>
      <c r="GV87" s="383"/>
      <c r="GW87" s="383"/>
      <c r="GX87" s="383"/>
      <c r="GY87" s="383"/>
      <c r="GZ87" s="383"/>
      <c r="HA87" s="383"/>
      <c r="HB87" s="383"/>
      <c r="HC87" s="383"/>
      <c r="HD87" s="383"/>
      <c r="HE87" s="383"/>
      <c r="HF87" s="383"/>
      <c r="HG87" s="383"/>
      <c r="HH87" s="383"/>
    </row>
    <row r="88" spans="1:216" s="393" customFormat="1" ht="18" customHeight="1">
      <c r="A88" s="395"/>
      <c r="B88" s="314" t="s">
        <v>10688</v>
      </c>
      <c r="C88" s="382"/>
      <c r="D88" s="374"/>
      <c r="E88" s="394"/>
      <c r="F88" s="370"/>
      <c r="G88" s="370"/>
      <c r="H88" s="366"/>
      <c r="I88" s="382"/>
      <c r="J88" s="384">
        <v>1</v>
      </c>
      <c r="K88" s="352"/>
      <c r="L88" s="352"/>
      <c r="M88" s="397">
        <v>1</v>
      </c>
      <c r="N88" s="358"/>
      <c r="O88" s="358"/>
      <c r="P88" s="358"/>
      <c r="Q88" s="358"/>
      <c r="R88" s="384"/>
      <c r="S88" s="384"/>
      <c r="T88" s="397">
        <v>1</v>
      </c>
      <c r="U88" s="384"/>
      <c r="V88" s="384"/>
      <c r="W88" s="384"/>
      <c r="X88" s="397">
        <v>1</v>
      </c>
      <c r="Y88" s="384"/>
      <c r="Z88" s="384"/>
      <c r="AA88" s="384"/>
      <c r="AB88" s="384"/>
      <c r="AC88" s="384"/>
      <c r="AD88" s="384"/>
      <c r="AE88" s="384"/>
      <c r="AF88" s="384"/>
      <c r="AG88" s="384"/>
      <c r="AH88" s="384"/>
      <c r="AI88" s="384"/>
      <c r="AJ88" s="384"/>
      <c r="AK88" s="384"/>
      <c r="AL88" s="384"/>
      <c r="AM88" s="384"/>
      <c r="AN88" s="384"/>
      <c r="AO88" s="391"/>
      <c r="AP88" s="384"/>
      <c r="AQ88" s="384"/>
      <c r="AR88" s="384"/>
      <c r="AS88" s="384"/>
      <c r="AT88" s="384"/>
      <c r="AU88" s="384"/>
      <c r="AV88" s="384"/>
      <c r="AW88" s="384"/>
      <c r="AX88" s="384"/>
      <c r="AY88" s="384"/>
      <c r="AZ88" s="384"/>
      <c r="BA88" s="384"/>
      <c r="BB88" s="384"/>
      <c r="BC88" s="384"/>
      <c r="BD88" s="384"/>
      <c r="BE88" s="387"/>
      <c r="BF88" s="387"/>
      <c r="BG88" s="387"/>
      <c r="BH88" s="387"/>
      <c r="BI88" s="387"/>
      <c r="BJ88" s="387"/>
      <c r="BK88" s="387"/>
      <c r="BL88" s="387"/>
      <c r="BM88" s="387"/>
      <c r="BN88" s="387"/>
      <c r="BO88" s="387"/>
      <c r="BP88" s="387"/>
      <c r="BQ88" s="387"/>
      <c r="BR88" s="387"/>
      <c r="BS88" s="387"/>
      <c r="BT88" s="387"/>
      <c r="BU88" s="387"/>
      <c r="BV88" s="387"/>
      <c r="BW88" s="387"/>
      <c r="BX88" s="387"/>
      <c r="BY88" s="387"/>
      <c r="BZ88" s="387"/>
      <c r="CA88" s="387"/>
      <c r="CB88" s="387"/>
      <c r="CC88" s="387"/>
      <c r="CD88" s="387"/>
      <c r="CE88" s="387"/>
      <c r="CF88" s="387"/>
      <c r="CG88" s="387"/>
      <c r="CH88" s="387"/>
      <c r="CI88" s="387"/>
      <c r="CJ88" s="387"/>
      <c r="CK88" s="370"/>
      <c r="CL88" s="370"/>
      <c r="CM88" s="370"/>
      <c r="CN88" s="370"/>
      <c r="CO88" s="370"/>
      <c r="CP88" s="370"/>
      <c r="CQ88" s="370"/>
      <c r="CR88" s="390"/>
      <c r="CS88" s="390"/>
      <c r="CT88" s="370"/>
      <c r="CU88" s="370"/>
      <c r="CV88" s="370"/>
      <c r="CW88" s="370"/>
      <c r="CX88" s="370"/>
      <c r="CY88" s="370"/>
      <c r="CZ88" s="370"/>
      <c r="DA88" s="370"/>
      <c r="DB88" s="370"/>
      <c r="DC88" s="370"/>
      <c r="DD88" s="370"/>
      <c r="DE88" s="370"/>
      <c r="DF88" s="370"/>
      <c r="DG88" s="370"/>
      <c r="DH88" s="370"/>
      <c r="DI88" s="370"/>
      <c r="DJ88" s="370"/>
      <c r="DK88" s="370"/>
      <c r="DL88" s="383"/>
      <c r="DM88" s="383"/>
      <c r="DN88" s="383"/>
      <c r="DO88" s="370"/>
      <c r="DP88" s="370"/>
      <c r="DQ88" s="370"/>
      <c r="DR88" s="370"/>
      <c r="DS88" s="383"/>
      <c r="DT88" s="383"/>
      <c r="DU88" s="384"/>
      <c r="DV88" s="384"/>
      <c r="DW88" s="370"/>
      <c r="DX88" s="384"/>
      <c r="DY88" s="384"/>
      <c r="DZ88" s="370"/>
      <c r="EA88" s="370"/>
      <c r="EB88" s="390"/>
      <c r="EC88" s="390"/>
      <c r="ED88" s="370"/>
      <c r="EE88" s="370"/>
      <c r="EF88" s="370"/>
      <c r="EG88" s="370"/>
      <c r="EH88" s="370"/>
      <c r="EI88" s="370"/>
      <c r="EJ88" s="370"/>
      <c r="EK88" s="370"/>
      <c r="EL88" s="370"/>
      <c r="EM88" s="370"/>
      <c r="EN88" s="370"/>
      <c r="EO88" s="370"/>
      <c r="EP88" s="370"/>
      <c r="EQ88" s="370"/>
      <c r="ER88" s="370"/>
      <c r="ES88" s="370"/>
      <c r="ET88" s="370"/>
      <c r="EU88" s="370"/>
      <c r="EV88" s="370"/>
      <c r="EW88" s="370"/>
      <c r="EX88" s="370"/>
      <c r="EY88" s="370"/>
      <c r="EZ88" s="370"/>
      <c r="FA88" s="370"/>
      <c r="FB88" s="370"/>
      <c r="FC88" s="370"/>
      <c r="FD88" s="370"/>
      <c r="FE88" s="370"/>
      <c r="FF88" s="370"/>
      <c r="FG88" s="370"/>
      <c r="FH88" s="370"/>
      <c r="FI88" s="370"/>
      <c r="FJ88" s="370"/>
      <c r="FK88" s="370"/>
      <c r="FL88" s="370"/>
      <c r="FM88" s="370"/>
      <c r="FN88" s="370"/>
      <c r="FO88" s="370"/>
      <c r="FP88" s="370"/>
      <c r="FQ88" s="370"/>
      <c r="FR88" s="370"/>
      <c r="FS88" s="370"/>
      <c r="FT88" s="370"/>
      <c r="FU88" s="370"/>
      <c r="FV88" s="370"/>
      <c r="FW88" s="370"/>
      <c r="FX88" s="370"/>
      <c r="FY88" s="370"/>
      <c r="FZ88" s="370"/>
      <c r="GA88" s="370"/>
      <c r="GB88" s="370"/>
      <c r="GC88" s="370"/>
      <c r="GD88" s="370"/>
      <c r="GE88" s="370"/>
      <c r="GF88" s="370"/>
      <c r="GG88" s="370"/>
      <c r="GH88" s="370"/>
      <c r="GI88" s="370"/>
      <c r="GJ88" s="370"/>
      <c r="GK88" s="370"/>
      <c r="GL88" s="370"/>
      <c r="GM88" s="370"/>
      <c r="GN88" s="370"/>
      <c r="GO88" s="370"/>
      <c r="GP88" s="370"/>
      <c r="GQ88" s="370"/>
      <c r="GR88" s="370"/>
      <c r="GS88" s="370"/>
      <c r="GT88" s="370"/>
      <c r="GU88" s="370"/>
      <c r="GV88" s="370"/>
      <c r="GW88" s="370"/>
      <c r="GX88" s="370"/>
      <c r="GY88" s="370"/>
      <c r="GZ88" s="370"/>
      <c r="HA88" s="370"/>
      <c r="HB88" s="370"/>
      <c r="HC88" s="370"/>
      <c r="HD88" s="370"/>
      <c r="HE88" s="370"/>
      <c r="HF88" s="370"/>
      <c r="HG88" s="370"/>
      <c r="HH88" s="370"/>
    </row>
    <row r="89" spans="1:216" s="393" customFormat="1" ht="18" customHeight="1">
      <c r="A89" s="395"/>
      <c r="B89" s="314" t="s">
        <v>322</v>
      </c>
      <c r="C89" s="382"/>
      <c r="D89" s="374"/>
      <c r="E89" s="394"/>
      <c r="F89" s="370"/>
      <c r="G89" s="370"/>
      <c r="H89" s="366"/>
      <c r="I89" s="382"/>
      <c r="J89" s="384">
        <v>1</v>
      </c>
      <c r="K89" s="352"/>
      <c r="L89" s="352"/>
      <c r="M89" s="397">
        <v>1</v>
      </c>
      <c r="N89" s="358"/>
      <c r="O89" s="358"/>
      <c r="P89" s="358"/>
      <c r="Q89" s="358"/>
      <c r="R89" s="358"/>
      <c r="S89" s="358"/>
      <c r="T89" s="397">
        <v>1</v>
      </c>
      <c r="U89" s="384"/>
      <c r="V89" s="384"/>
      <c r="W89" s="384"/>
      <c r="X89" s="397">
        <v>1</v>
      </c>
      <c r="Y89" s="384"/>
      <c r="Z89" s="384"/>
      <c r="AA89" s="384"/>
      <c r="AB89" s="384"/>
      <c r="AC89" s="384"/>
      <c r="AD89" s="384"/>
      <c r="AE89" s="384"/>
      <c r="AF89" s="384"/>
      <c r="AG89" s="384"/>
      <c r="AH89" s="384"/>
      <c r="AI89" s="384"/>
      <c r="AJ89" s="384"/>
      <c r="AK89" s="384"/>
      <c r="AL89" s="384"/>
      <c r="AM89" s="384"/>
      <c r="AN89" s="384"/>
      <c r="AO89" s="391"/>
      <c r="AP89" s="384"/>
      <c r="AQ89" s="384"/>
      <c r="AR89" s="384"/>
      <c r="AS89" s="384"/>
      <c r="AT89" s="384"/>
      <c r="AU89" s="384"/>
      <c r="AV89" s="384"/>
      <c r="AW89" s="384"/>
      <c r="AX89" s="384"/>
      <c r="AY89" s="384"/>
      <c r="AZ89" s="384"/>
      <c r="BA89" s="384"/>
      <c r="BB89" s="384"/>
      <c r="BC89" s="384"/>
      <c r="BD89" s="384"/>
      <c r="BE89" s="387"/>
      <c r="BF89" s="387"/>
      <c r="BG89" s="387"/>
      <c r="BH89" s="387"/>
      <c r="BI89" s="387"/>
      <c r="BJ89" s="387"/>
      <c r="BK89" s="387"/>
      <c r="BL89" s="387"/>
      <c r="BM89" s="387"/>
      <c r="BN89" s="387"/>
      <c r="BO89" s="387"/>
      <c r="BP89" s="387"/>
      <c r="BQ89" s="387"/>
      <c r="BR89" s="387"/>
      <c r="BS89" s="387"/>
      <c r="BT89" s="387"/>
      <c r="BU89" s="387"/>
      <c r="BV89" s="387"/>
      <c r="BW89" s="387"/>
      <c r="BX89" s="387"/>
      <c r="BY89" s="387"/>
      <c r="BZ89" s="387"/>
      <c r="CA89" s="387"/>
      <c r="CB89" s="387"/>
      <c r="CC89" s="387"/>
      <c r="CD89" s="387"/>
      <c r="CE89" s="387"/>
      <c r="CF89" s="387"/>
      <c r="CG89" s="387"/>
      <c r="CH89" s="387"/>
      <c r="CI89" s="387"/>
      <c r="CJ89" s="387"/>
      <c r="CK89" s="370"/>
      <c r="CL89" s="370"/>
      <c r="CM89" s="370"/>
      <c r="CN89" s="370"/>
      <c r="CO89" s="370"/>
      <c r="CP89" s="370"/>
      <c r="CQ89" s="370"/>
      <c r="CR89" s="390"/>
      <c r="CS89" s="390"/>
      <c r="CT89" s="370"/>
      <c r="CU89" s="370"/>
      <c r="CV89" s="370"/>
      <c r="CW89" s="370"/>
      <c r="CX89" s="370"/>
      <c r="CY89" s="370"/>
      <c r="CZ89" s="370"/>
      <c r="DA89" s="370"/>
      <c r="DB89" s="370"/>
      <c r="DC89" s="370"/>
      <c r="DD89" s="370"/>
      <c r="DE89" s="370"/>
      <c r="DF89" s="370"/>
      <c r="DG89" s="370"/>
      <c r="DH89" s="370"/>
      <c r="DI89" s="370"/>
      <c r="DJ89" s="370"/>
      <c r="DK89" s="370"/>
      <c r="DL89" s="383"/>
      <c r="DM89" s="383"/>
      <c r="DN89" s="383"/>
      <c r="DO89" s="370"/>
      <c r="DP89" s="370"/>
      <c r="DQ89" s="370"/>
      <c r="DR89" s="370"/>
      <c r="DS89" s="383"/>
      <c r="DT89" s="383"/>
      <c r="DU89" s="384"/>
      <c r="DV89" s="384"/>
      <c r="DW89" s="370"/>
      <c r="DX89" s="384"/>
      <c r="DY89" s="384"/>
      <c r="DZ89" s="370"/>
      <c r="EA89" s="370"/>
      <c r="EB89" s="390"/>
      <c r="EC89" s="390"/>
      <c r="ED89" s="370"/>
      <c r="EE89" s="370"/>
      <c r="EF89" s="370"/>
      <c r="EG89" s="370"/>
      <c r="EH89" s="370"/>
      <c r="EI89" s="370"/>
      <c r="EJ89" s="370"/>
      <c r="EK89" s="370"/>
      <c r="EL89" s="370"/>
      <c r="EM89" s="370"/>
      <c r="EN89" s="370"/>
      <c r="EO89" s="370"/>
      <c r="EP89" s="370"/>
      <c r="EQ89" s="370"/>
      <c r="ER89" s="370"/>
      <c r="ES89" s="370"/>
      <c r="ET89" s="370"/>
      <c r="EU89" s="370"/>
      <c r="EV89" s="370"/>
      <c r="EW89" s="370"/>
      <c r="EX89" s="370"/>
      <c r="EY89" s="370"/>
      <c r="EZ89" s="370"/>
      <c r="FA89" s="370"/>
      <c r="FB89" s="370"/>
      <c r="FC89" s="370"/>
      <c r="FD89" s="370"/>
      <c r="FE89" s="370"/>
      <c r="FF89" s="450">
        <v>1</v>
      </c>
      <c r="FG89" s="370"/>
      <c r="FH89" s="370"/>
      <c r="FI89" s="370"/>
      <c r="FJ89" s="370"/>
      <c r="FK89" s="370"/>
      <c r="FL89" s="370"/>
      <c r="FM89" s="370"/>
      <c r="FN89" s="370"/>
      <c r="FO89" s="370"/>
      <c r="FP89" s="370"/>
      <c r="FQ89" s="370"/>
      <c r="FR89" s="370"/>
      <c r="FS89" s="370"/>
      <c r="FT89" s="370"/>
      <c r="FU89" s="370"/>
      <c r="FV89" s="370"/>
      <c r="FW89" s="370"/>
      <c r="FX89" s="370"/>
      <c r="FY89" s="370"/>
      <c r="FZ89" s="370"/>
      <c r="GA89" s="370"/>
      <c r="GB89" s="370"/>
      <c r="GC89" s="370"/>
      <c r="GD89" s="370"/>
      <c r="GE89" s="370"/>
      <c r="GF89" s="370"/>
      <c r="GG89" s="370"/>
      <c r="GH89" s="370"/>
      <c r="GI89" s="370"/>
      <c r="GJ89" s="370"/>
      <c r="GK89" s="370"/>
      <c r="GL89" s="370"/>
      <c r="GM89" s="370"/>
      <c r="GN89" s="370"/>
      <c r="GO89" s="370"/>
      <c r="GP89" s="370"/>
      <c r="GQ89" s="370"/>
      <c r="GR89" s="370"/>
      <c r="GS89" s="370"/>
      <c r="GT89" s="370"/>
      <c r="GU89" s="370"/>
      <c r="GV89" s="370"/>
      <c r="GW89" s="370"/>
      <c r="GX89" s="370"/>
      <c r="GY89" s="370"/>
      <c r="GZ89" s="370"/>
      <c r="HA89" s="370"/>
      <c r="HB89" s="370"/>
      <c r="HC89" s="370"/>
      <c r="HD89" s="370"/>
      <c r="HE89" s="370"/>
      <c r="HF89" s="370"/>
      <c r="HG89" s="370"/>
      <c r="HH89" s="370"/>
    </row>
    <row r="90" spans="1:216" s="393" customFormat="1" ht="18" customHeight="1">
      <c r="A90" s="395"/>
      <c r="B90" s="314" t="s">
        <v>329</v>
      </c>
      <c r="C90" s="382"/>
      <c r="D90" s="374"/>
      <c r="E90" s="394"/>
      <c r="F90" s="370"/>
      <c r="G90" s="370"/>
      <c r="H90" s="366"/>
      <c r="I90" s="382"/>
      <c r="J90" s="384">
        <v>1</v>
      </c>
      <c r="K90" s="352"/>
      <c r="L90" s="352"/>
      <c r="M90" s="397">
        <v>1</v>
      </c>
      <c r="N90" s="358"/>
      <c r="O90" s="358"/>
      <c r="P90" s="358"/>
      <c r="Q90" s="358"/>
      <c r="R90" s="384"/>
      <c r="S90" s="384"/>
      <c r="T90" s="397">
        <v>1</v>
      </c>
      <c r="U90" s="384"/>
      <c r="V90" s="384"/>
      <c r="W90" s="384"/>
      <c r="X90" s="397">
        <v>1</v>
      </c>
      <c r="Y90" s="384"/>
      <c r="Z90" s="384"/>
      <c r="AA90" s="384"/>
      <c r="AB90" s="384"/>
      <c r="AC90" s="384"/>
      <c r="AD90" s="384"/>
      <c r="AE90" s="384"/>
      <c r="AF90" s="384"/>
      <c r="AG90" s="384"/>
      <c r="AH90" s="384"/>
      <c r="AI90" s="384"/>
      <c r="AJ90" s="384"/>
      <c r="AK90" s="384"/>
      <c r="AL90" s="384"/>
      <c r="AM90" s="384"/>
      <c r="AN90" s="384"/>
      <c r="AO90" s="391"/>
      <c r="AP90" s="384"/>
      <c r="AQ90" s="384"/>
      <c r="AR90" s="384"/>
      <c r="AS90" s="384"/>
      <c r="AT90" s="384"/>
      <c r="AU90" s="384"/>
      <c r="AV90" s="384"/>
      <c r="AW90" s="384"/>
      <c r="AX90" s="384"/>
      <c r="AY90" s="384"/>
      <c r="AZ90" s="384"/>
      <c r="BA90" s="384"/>
      <c r="BB90" s="384"/>
      <c r="BC90" s="384"/>
      <c r="BD90" s="384"/>
      <c r="BE90" s="387"/>
      <c r="BF90" s="387"/>
      <c r="BG90" s="387"/>
      <c r="BH90" s="387"/>
      <c r="BI90" s="387"/>
      <c r="BJ90" s="387"/>
      <c r="BK90" s="387"/>
      <c r="BL90" s="387"/>
      <c r="BM90" s="387"/>
      <c r="BN90" s="387"/>
      <c r="BO90" s="387"/>
      <c r="BP90" s="387"/>
      <c r="BQ90" s="387"/>
      <c r="BR90" s="387"/>
      <c r="BS90" s="387"/>
      <c r="BT90" s="387"/>
      <c r="BU90" s="387"/>
      <c r="BV90" s="387"/>
      <c r="BW90" s="387"/>
      <c r="BX90" s="387"/>
      <c r="BY90" s="387"/>
      <c r="BZ90" s="387"/>
      <c r="CA90" s="387"/>
      <c r="CB90" s="387"/>
      <c r="CC90" s="387"/>
      <c r="CD90" s="387"/>
      <c r="CE90" s="387"/>
      <c r="CF90" s="387"/>
      <c r="CG90" s="387"/>
      <c r="CH90" s="387"/>
      <c r="CI90" s="387"/>
      <c r="CJ90" s="387"/>
      <c r="CK90" s="370"/>
      <c r="CL90" s="370"/>
      <c r="CM90" s="370"/>
      <c r="CN90" s="370"/>
      <c r="CO90" s="370"/>
      <c r="CP90" s="370"/>
      <c r="CQ90" s="370"/>
      <c r="CR90" s="390"/>
      <c r="CS90" s="390"/>
      <c r="CT90" s="370"/>
      <c r="CU90" s="370"/>
      <c r="CV90" s="370"/>
      <c r="CW90" s="370"/>
      <c r="CX90" s="370"/>
      <c r="CY90" s="370"/>
      <c r="CZ90" s="370"/>
      <c r="DA90" s="370"/>
      <c r="DB90" s="370"/>
      <c r="DC90" s="370"/>
      <c r="DD90" s="370"/>
      <c r="DE90" s="370"/>
      <c r="DF90" s="370"/>
      <c r="DG90" s="370"/>
      <c r="DH90" s="450">
        <v>1</v>
      </c>
      <c r="DI90" s="450">
        <v>1</v>
      </c>
      <c r="DJ90" s="370"/>
      <c r="DK90" s="370"/>
      <c r="DL90" s="383"/>
      <c r="DM90" s="383"/>
      <c r="DN90" s="383"/>
      <c r="DO90" s="370"/>
      <c r="DP90" s="370"/>
      <c r="DQ90" s="370"/>
      <c r="DR90" s="370"/>
      <c r="DS90" s="383"/>
      <c r="DT90" s="383"/>
      <c r="DU90" s="384"/>
      <c r="DV90" s="384"/>
      <c r="DW90" s="370"/>
      <c r="DX90" s="384"/>
      <c r="DY90" s="384"/>
      <c r="DZ90" s="370"/>
      <c r="EA90" s="370"/>
      <c r="EB90" s="390"/>
      <c r="EC90" s="390"/>
      <c r="ED90" s="370"/>
      <c r="EE90" s="370"/>
      <c r="EF90" s="370"/>
      <c r="EG90" s="370"/>
      <c r="EH90" s="370"/>
      <c r="EI90" s="370"/>
      <c r="EJ90" s="370"/>
      <c r="EK90" s="370"/>
      <c r="EL90" s="370"/>
      <c r="EM90" s="370"/>
      <c r="EN90" s="370"/>
      <c r="EO90" s="370"/>
      <c r="EP90" s="370"/>
      <c r="EQ90" s="370"/>
      <c r="ER90" s="370"/>
      <c r="ES90" s="370"/>
      <c r="ET90" s="370"/>
      <c r="EU90" s="370"/>
      <c r="EV90" s="370"/>
      <c r="EW90" s="370"/>
      <c r="EX90" s="370"/>
      <c r="EY90" s="370"/>
      <c r="EZ90" s="370"/>
      <c r="FA90" s="370"/>
      <c r="FB90" s="370"/>
      <c r="FC90" s="370"/>
      <c r="FD90" s="370"/>
      <c r="FE90" s="370"/>
      <c r="FF90" s="370"/>
      <c r="FG90" s="450">
        <v>1</v>
      </c>
      <c r="FH90" s="450">
        <v>1</v>
      </c>
      <c r="FI90" s="450">
        <v>1</v>
      </c>
      <c r="FJ90" s="450">
        <v>1</v>
      </c>
      <c r="FK90" s="370"/>
      <c r="FL90" s="370"/>
      <c r="FM90" s="370"/>
      <c r="FN90" s="370"/>
      <c r="FO90" s="370"/>
      <c r="FP90" s="370"/>
      <c r="FQ90" s="370"/>
      <c r="FR90" s="370"/>
      <c r="FS90" s="370"/>
      <c r="FT90" s="370"/>
      <c r="FU90" s="370"/>
      <c r="FV90" s="370"/>
      <c r="FW90" s="370"/>
      <c r="FX90" s="370"/>
      <c r="FY90" s="370"/>
      <c r="FZ90" s="370"/>
      <c r="GA90" s="370"/>
      <c r="GB90" s="370"/>
      <c r="GC90" s="370"/>
      <c r="GD90" s="370"/>
      <c r="GE90" s="370"/>
      <c r="GF90" s="370"/>
      <c r="GG90" s="370"/>
      <c r="GH90" s="370"/>
      <c r="GI90" s="370"/>
      <c r="GJ90" s="370"/>
      <c r="GK90" s="370"/>
      <c r="GL90" s="370"/>
      <c r="GM90" s="370"/>
      <c r="GN90" s="370"/>
      <c r="GO90" s="370"/>
      <c r="GP90" s="370"/>
      <c r="GQ90" s="370"/>
      <c r="GR90" s="370"/>
      <c r="GS90" s="370"/>
      <c r="GT90" s="370"/>
      <c r="GU90" s="370"/>
      <c r="GV90" s="370"/>
      <c r="GW90" s="370"/>
      <c r="GX90" s="370"/>
      <c r="GY90" s="370"/>
      <c r="GZ90" s="370"/>
      <c r="HA90" s="370"/>
      <c r="HB90" s="370"/>
      <c r="HC90" s="370"/>
      <c r="HD90" s="370"/>
      <c r="HE90" s="370"/>
      <c r="HF90" s="370"/>
      <c r="HG90" s="370"/>
      <c r="HH90" s="370"/>
    </row>
    <row r="91" spans="1:216" s="393" customFormat="1" ht="18" customHeight="1">
      <c r="A91" s="395"/>
      <c r="B91" s="314" t="s">
        <v>359</v>
      </c>
      <c r="C91" s="382"/>
      <c r="D91" s="374"/>
      <c r="E91" s="394"/>
      <c r="F91" s="370"/>
      <c r="G91" s="370"/>
      <c r="H91" s="366"/>
      <c r="I91" s="382" t="s">
        <v>363</v>
      </c>
      <c r="J91" s="384">
        <v>1</v>
      </c>
      <c r="K91" s="352"/>
      <c r="L91" s="352"/>
      <c r="M91" s="397">
        <v>1</v>
      </c>
      <c r="N91" s="358"/>
      <c r="O91" s="358"/>
      <c r="P91" s="358"/>
      <c r="Q91" s="358"/>
      <c r="R91" s="384"/>
      <c r="S91" s="384"/>
      <c r="T91" s="397">
        <v>1</v>
      </c>
      <c r="U91" s="384"/>
      <c r="V91" s="384"/>
      <c r="W91" s="384"/>
      <c r="X91" s="397">
        <v>1</v>
      </c>
      <c r="Y91" s="384"/>
      <c r="Z91" s="384"/>
      <c r="AA91" s="384"/>
      <c r="AB91" s="384"/>
      <c r="AC91" s="384"/>
      <c r="AD91" s="384"/>
      <c r="AE91" s="384"/>
      <c r="AF91" s="384"/>
      <c r="AG91" s="384"/>
      <c r="AH91" s="384"/>
      <c r="AI91" s="384"/>
      <c r="AJ91" s="384"/>
      <c r="AK91" s="384"/>
      <c r="AL91" s="384"/>
      <c r="AM91" s="384"/>
      <c r="AN91" s="384"/>
      <c r="AO91" s="391"/>
      <c r="AP91" s="384"/>
      <c r="AQ91" s="384"/>
      <c r="AR91" s="384"/>
      <c r="AS91" s="384"/>
      <c r="AT91" s="384"/>
      <c r="AU91" s="384"/>
      <c r="AV91" s="384"/>
      <c r="AW91" s="384"/>
      <c r="AX91" s="384"/>
      <c r="AY91" s="384"/>
      <c r="AZ91" s="384"/>
      <c r="BA91" s="384"/>
      <c r="BB91" s="384"/>
      <c r="BC91" s="384"/>
      <c r="BD91" s="384"/>
      <c r="BE91" s="387"/>
      <c r="BF91" s="387"/>
      <c r="BG91" s="387"/>
      <c r="BH91" s="387"/>
      <c r="BI91" s="387"/>
      <c r="BJ91" s="387"/>
      <c r="BK91" s="387"/>
      <c r="BL91" s="387"/>
      <c r="BM91" s="387"/>
      <c r="BN91" s="387"/>
      <c r="BO91" s="387"/>
      <c r="BP91" s="387"/>
      <c r="BQ91" s="387"/>
      <c r="BR91" s="387"/>
      <c r="BS91" s="387"/>
      <c r="BT91" s="387"/>
      <c r="BU91" s="387"/>
      <c r="BV91" s="387"/>
      <c r="BW91" s="387"/>
      <c r="BX91" s="387"/>
      <c r="BY91" s="387"/>
      <c r="BZ91" s="387"/>
      <c r="CA91" s="387"/>
      <c r="CB91" s="387"/>
      <c r="CC91" s="387"/>
      <c r="CD91" s="387"/>
      <c r="CE91" s="387"/>
      <c r="CF91" s="387"/>
      <c r="CG91" s="387"/>
      <c r="CH91" s="387"/>
      <c r="CI91" s="387"/>
      <c r="CJ91" s="387"/>
      <c r="CK91" s="370"/>
      <c r="CL91" s="370"/>
      <c r="CM91" s="370"/>
      <c r="CN91" s="370"/>
      <c r="CO91" s="370"/>
      <c r="CP91" s="370"/>
      <c r="CQ91" s="370"/>
      <c r="CR91" s="390"/>
      <c r="CS91" s="390"/>
      <c r="CT91" s="370"/>
      <c r="CU91" s="370"/>
      <c r="CV91" s="370"/>
      <c r="CW91" s="370"/>
      <c r="CX91" s="370"/>
      <c r="CY91" s="370"/>
      <c r="CZ91" s="370"/>
      <c r="DA91" s="370"/>
      <c r="DB91" s="370"/>
      <c r="DC91" s="370"/>
      <c r="DD91" s="370"/>
      <c r="DE91" s="370"/>
      <c r="DF91" s="370"/>
      <c r="DG91" s="370"/>
      <c r="DH91" s="450">
        <v>1</v>
      </c>
      <c r="DI91" s="450">
        <v>1</v>
      </c>
      <c r="DJ91" s="370"/>
      <c r="DK91" s="370"/>
      <c r="DL91" s="383"/>
      <c r="DM91" s="383"/>
      <c r="DN91" s="383"/>
      <c r="DO91" s="370"/>
      <c r="DP91" s="370"/>
      <c r="DQ91" s="370"/>
      <c r="DR91" s="370"/>
      <c r="DS91" s="383"/>
      <c r="DT91" s="383"/>
      <c r="DU91" s="384"/>
      <c r="DV91" s="384"/>
      <c r="DW91" s="370"/>
      <c r="DX91" s="384"/>
      <c r="DY91" s="384"/>
      <c r="DZ91" s="370"/>
      <c r="EA91" s="370"/>
      <c r="EB91" s="390"/>
      <c r="EC91" s="390"/>
      <c r="ED91" s="370"/>
      <c r="EE91" s="370"/>
      <c r="EF91" s="370"/>
      <c r="EG91" s="370"/>
      <c r="EH91" s="370"/>
      <c r="EI91" s="370"/>
      <c r="EJ91" s="370"/>
      <c r="EK91" s="370"/>
      <c r="EL91" s="370"/>
      <c r="EM91" s="370"/>
      <c r="EN91" s="370"/>
      <c r="EO91" s="370"/>
      <c r="EP91" s="370"/>
      <c r="EQ91" s="370"/>
      <c r="ER91" s="370"/>
      <c r="ES91" s="370"/>
      <c r="ET91" s="370"/>
      <c r="EU91" s="370"/>
      <c r="EV91" s="370"/>
      <c r="EW91" s="370"/>
      <c r="EX91" s="370"/>
      <c r="EY91" s="370"/>
      <c r="EZ91" s="370"/>
      <c r="FA91" s="370"/>
      <c r="FB91" s="370"/>
      <c r="FC91" s="370"/>
      <c r="FD91" s="370"/>
      <c r="FE91" s="370"/>
      <c r="FF91" s="450">
        <v>1</v>
      </c>
      <c r="FG91" s="370"/>
      <c r="FH91" s="370"/>
      <c r="FI91" s="654"/>
      <c r="FJ91" s="370"/>
      <c r="FK91" s="370"/>
      <c r="FL91" s="370"/>
      <c r="FM91" s="370"/>
      <c r="FN91" s="370"/>
      <c r="FO91" s="370"/>
      <c r="FP91" s="370"/>
      <c r="FQ91" s="370"/>
      <c r="FR91" s="370"/>
      <c r="FS91" s="370"/>
      <c r="FT91" s="370"/>
      <c r="FU91" s="370"/>
      <c r="FV91" s="370"/>
      <c r="FW91" s="370"/>
      <c r="FX91" s="370"/>
      <c r="FY91" s="370"/>
      <c r="FZ91" s="370"/>
      <c r="GA91" s="370"/>
      <c r="GB91" s="370"/>
      <c r="GC91" s="370"/>
      <c r="GD91" s="370"/>
      <c r="GE91" s="370"/>
      <c r="GF91" s="370"/>
      <c r="GG91" s="370"/>
      <c r="GH91" s="370"/>
      <c r="GI91" s="370"/>
      <c r="GJ91" s="370"/>
      <c r="GK91" s="370"/>
      <c r="GL91" s="370"/>
      <c r="GM91" s="370"/>
      <c r="GN91" s="370"/>
      <c r="GO91" s="370"/>
      <c r="GP91" s="370"/>
      <c r="GQ91" s="370"/>
      <c r="GR91" s="370"/>
      <c r="GS91" s="370"/>
      <c r="GT91" s="370"/>
      <c r="GU91" s="370"/>
      <c r="GV91" s="370"/>
      <c r="GW91" s="370"/>
      <c r="GX91" s="370"/>
      <c r="GY91" s="370"/>
      <c r="GZ91" s="370"/>
      <c r="HA91" s="370"/>
      <c r="HB91" s="370"/>
      <c r="HC91" s="370"/>
      <c r="HD91" s="370"/>
      <c r="HE91" s="370"/>
      <c r="HF91" s="370"/>
      <c r="HG91" s="370"/>
      <c r="HH91" s="370"/>
    </row>
    <row r="92" spans="1:216" s="393" customFormat="1" ht="18" customHeight="1">
      <c r="A92" s="395"/>
      <c r="B92" s="314" t="s">
        <v>11746</v>
      </c>
      <c r="C92" s="382"/>
      <c r="D92" s="374"/>
      <c r="E92" s="394"/>
      <c r="F92" s="370"/>
      <c r="G92" s="370"/>
      <c r="H92" s="366"/>
      <c r="I92" s="382"/>
      <c r="J92" s="650">
        <v>1</v>
      </c>
      <c r="K92" s="649"/>
      <c r="L92" s="649"/>
      <c r="M92" s="397">
        <v>1</v>
      </c>
      <c r="N92" s="358"/>
      <c r="O92" s="358"/>
      <c r="P92" s="358"/>
      <c r="Q92" s="358"/>
      <c r="R92" s="650"/>
      <c r="S92" s="650"/>
      <c r="T92" s="397">
        <v>1</v>
      </c>
      <c r="U92" s="650"/>
      <c r="V92" s="650"/>
      <c r="W92" s="650"/>
      <c r="X92" s="397">
        <v>1</v>
      </c>
      <c r="Y92" s="650"/>
      <c r="Z92" s="650"/>
      <c r="AA92" s="650"/>
      <c r="AB92" s="650"/>
      <c r="AC92" s="650"/>
      <c r="AD92" s="650"/>
      <c r="AE92" s="650"/>
      <c r="AF92" s="650"/>
      <c r="AG92" s="650"/>
      <c r="AH92" s="650"/>
      <c r="AI92" s="650"/>
      <c r="AJ92" s="650"/>
      <c r="AK92" s="650"/>
      <c r="AL92" s="650"/>
      <c r="AM92" s="650"/>
      <c r="AN92" s="650"/>
      <c r="AO92" s="391"/>
      <c r="AP92" s="650"/>
      <c r="AQ92" s="650"/>
      <c r="AR92" s="650"/>
      <c r="AS92" s="650"/>
      <c r="AT92" s="650"/>
      <c r="AU92" s="650"/>
      <c r="AV92" s="650"/>
      <c r="AW92" s="650"/>
      <c r="AX92" s="650"/>
      <c r="AY92" s="650"/>
      <c r="AZ92" s="650"/>
      <c r="BA92" s="650"/>
      <c r="BB92" s="650"/>
      <c r="BC92" s="650"/>
      <c r="BD92" s="650"/>
      <c r="BE92" s="387"/>
      <c r="BF92" s="387"/>
      <c r="BG92" s="387"/>
      <c r="BH92" s="387"/>
      <c r="BI92" s="387"/>
      <c r="BJ92" s="387"/>
      <c r="BK92" s="387"/>
      <c r="BL92" s="387"/>
      <c r="BM92" s="387"/>
      <c r="BN92" s="387"/>
      <c r="BO92" s="387"/>
      <c r="BP92" s="387"/>
      <c r="BQ92" s="387"/>
      <c r="BR92" s="387"/>
      <c r="BS92" s="387"/>
      <c r="BT92" s="387"/>
      <c r="BU92" s="387"/>
      <c r="BV92" s="387"/>
      <c r="BW92" s="387"/>
      <c r="BX92" s="387"/>
      <c r="BY92" s="387"/>
      <c r="BZ92" s="387"/>
      <c r="CA92" s="387"/>
      <c r="CB92" s="387"/>
      <c r="CC92" s="387"/>
      <c r="CD92" s="387"/>
      <c r="CE92" s="387"/>
      <c r="CF92" s="387"/>
      <c r="CG92" s="387"/>
      <c r="CH92" s="387"/>
      <c r="CI92" s="387"/>
      <c r="CJ92" s="387"/>
      <c r="CK92" s="370"/>
      <c r="CL92" s="370"/>
      <c r="CM92" s="370"/>
      <c r="CN92" s="370"/>
      <c r="CO92" s="370"/>
      <c r="CP92" s="370"/>
      <c r="CQ92" s="370"/>
      <c r="CR92" s="390"/>
      <c r="CS92" s="390"/>
      <c r="CT92" s="370"/>
      <c r="CU92" s="370"/>
      <c r="CV92" s="370"/>
      <c r="CW92" s="370"/>
      <c r="CX92" s="370"/>
      <c r="CY92" s="370"/>
      <c r="CZ92" s="370"/>
      <c r="DA92" s="370"/>
      <c r="DB92" s="370"/>
      <c r="DC92" s="370"/>
      <c r="DD92" s="370"/>
      <c r="DE92" s="370"/>
      <c r="DF92" s="370"/>
      <c r="DG92" s="370"/>
      <c r="DH92" s="370"/>
      <c r="DI92" s="370"/>
      <c r="DJ92" s="450">
        <v>1</v>
      </c>
      <c r="DK92" s="450">
        <v>1</v>
      </c>
      <c r="DL92" s="383"/>
      <c r="DM92" s="383"/>
      <c r="DN92" s="383"/>
      <c r="DO92" s="370"/>
      <c r="DP92" s="370"/>
      <c r="DQ92" s="370"/>
      <c r="DR92" s="370"/>
      <c r="DS92" s="383"/>
      <c r="DT92" s="383"/>
      <c r="DU92" s="650"/>
      <c r="DV92" s="650"/>
      <c r="DW92" s="370"/>
      <c r="DX92" s="650"/>
      <c r="DY92" s="650"/>
      <c r="DZ92" s="370"/>
      <c r="EA92" s="370"/>
      <c r="EB92" s="390"/>
      <c r="EC92" s="390"/>
      <c r="ED92" s="370"/>
      <c r="EE92" s="370"/>
      <c r="EF92" s="370"/>
      <c r="EG92" s="370"/>
      <c r="EH92" s="370"/>
      <c r="EI92" s="370"/>
      <c r="EJ92" s="370"/>
      <c r="EK92" s="370"/>
      <c r="EL92" s="370"/>
      <c r="EM92" s="370"/>
      <c r="EN92" s="370"/>
      <c r="EO92" s="370"/>
      <c r="EP92" s="370"/>
      <c r="EQ92" s="370"/>
      <c r="ER92" s="370"/>
      <c r="ES92" s="370"/>
      <c r="ET92" s="370"/>
      <c r="EU92" s="370"/>
      <c r="EV92" s="370"/>
      <c r="EW92" s="370"/>
      <c r="EX92" s="370"/>
      <c r="EY92" s="370"/>
      <c r="EZ92" s="370"/>
      <c r="FA92" s="370"/>
      <c r="FB92" s="370"/>
      <c r="FC92" s="370"/>
      <c r="FD92" s="370"/>
      <c r="FE92" s="370"/>
      <c r="FG92" s="450">
        <v>1</v>
      </c>
      <c r="FH92" s="370"/>
      <c r="FI92" s="450">
        <v>1</v>
      </c>
      <c r="FJ92" s="450">
        <v>1</v>
      </c>
      <c r="FK92" s="370"/>
      <c r="FL92" s="370"/>
      <c r="FM92" s="370"/>
      <c r="FN92" s="370"/>
      <c r="FO92" s="370"/>
      <c r="FP92" s="370"/>
      <c r="FQ92" s="370"/>
      <c r="FR92" s="370"/>
      <c r="FS92" s="370"/>
      <c r="FT92" s="370"/>
      <c r="FU92" s="370"/>
      <c r="FV92" s="370"/>
      <c r="FW92" s="370"/>
      <c r="FX92" s="370"/>
      <c r="FY92" s="370"/>
      <c r="FZ92" s="370"/>
      <c r="GA92" s="370"/>
      <c r="GB92" s="370"/>
      <c r="GC92" s="370"/>
      <c r="GD92" s="370"/>
      <c r="GE92" s="370"/>
      <c r="GF92" s="370"/>
      <c r="GG92" s="370"/>
      <c r="GH92" s="370"/>
      <c r="GI92" s="370"/>
      <c r="GJ92" s="370"/>
      <c r="GK92" s="370"/>
      <c r="GL92" s="370"/>
      <c r="GM92" s="370"/>
      <c r="GN92" s="370"/>
      <c r="GO92" s="370"/>
      <c r="GP92" s="370"/>
      <c r="GQ92" s="370"/>
      <c r="GR92" s="370"/>
      <c r="GS92" s="370"/>
      <c r="GT92" s="370"/>
      <c r="GU92" s="370"/>
      <c r="GV92" s="370"/>
      <c r="GW92" s="370"/>
      <c r="GX92" s="370"/>
      <c r="GY92" s="370"/>
      <c r="GZ92" s="370"/>
      <c r="HA92" s="370"/>
      <c r="HB92" s="370"/>
      <c r="HC92" s="370"/>
      <c r="HD92" s="370"/>
      <c r="HE92" s="370"/>
      <c r="HF92" s="370"/>
      <c r="HG92" s="370"/>
      <c r="HH92" s="370"/>
    </row>
    <row r="93" spans="1:216" s="393" customFormat="1" ht="18" customHeight="1">
      <c r="A93" s="395"/>
      <c r="B93" s="314" t="s">
        <v>11747</v>
      </c>
      <c r="C93" s="382"/>
      <c r="D93" s="374"/>
      <c r="E93" s="394"/>
      <c r="F93" s="370"/>
      <c r="G93" s="370"/>
      <c r="H93" s="366"/>
      <c r="I93" s="382" t="s">
        <v>363</v>
      </c>
      <c r="J93" s="650">
        <v>1</v>
      </c>
      <c r="K93" s="649"/>
      <c r="L93" s="649"/>
      <c r="M93" s="397">
        <v>1</v>
      </c>
      <c r="N93" s="358"/>
      <c r="O93" s="358"/>
      <c r="P93" s="358"/>
      <c r="Q93" s="358"/>
      <c r="R93" s="650"/>
      <c r="S93" s="650"/>
      <c r="T93" s="397">
        <v>1</v>
      </c>
      <c r="U93" s="650"/>
      <c r="V93" s="650"/>
      <c r="W93" s="650"/>
      <c r="X93" s="397">
        <v>1</v>
      </c>
      <c r="Y93" s="650"/>
      <c r="Z93" s="650"/>
      <c r="AA93" s="650"/>
      <c r="AB93" s="650"/>
      <c r="AC93" s="650"/>
      <c r="AD93" s="650"/>
      <c r="AE93" s="650"/>
      <c r="AF93" s="650"/>
      <c r="AG93" s="650"/>
      <c r="AH93" s="650"/>
      <c r="AI93" s="650"/>
      <c r="AJ93" s="650"/>
      <c r="AK93" s="650"/>
      <c r="AL93" s="650"/>
      <c r="AM93" s="650"/>
      <c r="AN93" s="650"/>
      <c r="AO93" s="391"/>
      <c r="AP93" s="650"/>
      <c r="AQ93" s="650"/>
      <c r="AR93" s="650"/>
      <c r="AS93" s="650"/>
      <c r="AT93" s="650"/>
      <c r="AU93" s="650"/>
      <c r="AV93" s="650"/>
      <c r="AW93" s="650"/>
      <c r="AX93" s="650"/>
      <c r="AY93" s="650"/>
      <c r="AZ93" s="650"/>
      <c r="BA93" s="650"/>
      <c r="BB93" s="650"/>
      <c r="BC93" s="650"/>
      <c r="BD93" s="650"/>
      <c r="BE93" s="387"/>
      <c r="BF93" s="387"/>
      <c r="BG93" s="387"/>
      <c r="BH93" s="387"/>
      <c r="BI93" s="387"/>
      <c r="BJ93" s="387"/>
      <c r="BK93" s="387"/>
      <c r="BL93" s="387"/>
      <c r="BM93" s="387"/>
      <c r="BN93" s="387"/>
      <c r="BO93" s="387"/>
      <c r="BP93" s="387"/>
      <c r="BQ93" s="387"/>
      <c r="BR93" s="387"/>
      <c r="BS93" s="387"/>
      <c r="BT93" s="387"/>
      <c r="BU93" s="387"/>
      <c r="BV93" s="387"/>
      <c r="BW93" s="387"/>
      <c r="BX93" s="387"/>
      <c r="BY93" s="387"/>
      <c r="BZ93" s="387"/>
      <c r="CA93" s="387"/>
      <c r="CB93" s="387"/>
      <c r="CC93" s="387"/>
      <c r="CD93" s="387"/>
      <c r="CE93" s="387"/>
      <c r="CF93" s="387"/>
      <c r="CG93" s="387"/>
      <c r="CH93" s="387"/>
      <c r="CI93" s="387"/>
      <c r="CJ93" s="387"/>
      <c r="CK93" s="370"/>
      <c r="CL93" s="370"/>
      <c r="CM93" s="370"/>
      <c r="CN93" s="370"/>
      <c r="CO93" s="370"/>
      <c r="CP93" s="370"/>
      <c r="CQ93" s="370"/>
      <c r="CR93" s="390"/>
      <c r="CS93" s="390"/>
      <c r="CT93" s="370"/>
      <c r="CU93" s="370"/>
      <c r="CV93" s="370"/>
      <c r="CW93" s="370"/>
      <c r="CX93" s="370"/>
      <c r="CY93" s="370"/>
      <c r="CZ93" s="370"/>
      <c r="DA93" s="370"/>
      <c r="DB93" s="370"/>
      <c r="DC93" s="370"/>
      <c r="DD93" s="370"/>
      <c r="DE93" s="370"/>
      <c r="DF93" s="370"/>
      <c r="DG93" s="370"/>
      <c r="DH93" s="370"/>
      <c r="DI93" s="370"/>
      <c r="DJ93" s="450">
        <v>1</v>
      </c>
      <c r="DK93" s="450">
        <v>1</v>
      </c>
      <c r="DL93" s="383"/>
      <c r="DM93" s="383"/>
      <c r="DN93" s="383"/>
      <c r="DO93" s="370"/>
      <c r="DP93" s="370"/>
      <c r="DQ93" s="370"/>
      <c r="DR93" s="370"/>
      <c r="DS93" s="383"/>
      <c r="DT93" s="383"/>
      <c r="DU93" s="650"/>
      <c r="DV93" s="650"/>
      <c r="DW93" s="370"/>
      <c r="DX93" s="650"/>
      <c r="DY93" s="650"/>
      <c r="DZ93" s="370"/>
      <c r="EA93" s="370"/>
      <c r="EB93" s="390"/>
      <c r="EC93" s="390"/>
      <c r="ED93" s="370"/>
      <c r="EE93" s="370"/>
      <c r="EF93" s="370"/>
      <c r="EG93" s="370"/>
      <c r="EH93" s="370"/>
      <c r="EI93" s="370"/>
      <c r="EJ93" s="370"/>
      <c r="EK93" s="370"/>
      <c r="EL93" s="370"/>
      <c r="EM93" s="370"/>
      <c r="EN93" s="370"/>
      <c r="EO93" s="370"/>
      <c r="EP93" s="370"/>
      <c r="EQ93" s="370"/>
      <c r="ER93" s="370"/>
      <c r="ES93" s="370"/>
      <c r="ET93" s="370"/>
      <c r="EU93" s="370"/>
      <c r="EV93" s="370"/>
      <c r="EW93" s="370"/>
      <c r="EX93" s="370"/>
      <c r="EY93" s="370"/>
      <c r="EZ93" s="370"/>
      <c r="FA93" s="370"/>
      <c r="FB93" s="370"/>
      <c r="FC93" s="370"/>
      <c r="FD93" s="370"/>
      <c r="FE93" s="370"/>
      <c r="FF93" s="450">
        <v>1</v>
      </c>
      <c r="FG93" s="370"/>
      <c r="FH93" s="370"/>
      <c r="FI93" s="654"/>
      <c r="FJ93" s="370"/>
      <c r="FK93" s="370"/>
      <c r="FL93" s="370"/>
      <c r="FM93" s="370"/>
      <c r="FN93" s="370"/>
      <c r="FO93" s="370"/>
      <c r="FP93" s="370"/>
      <c r="FQ93" s="370"/>
      <c r="FR93" s="370"/>
      <c r="FS93" s="370"/>
      <c r="FT93" s="370"/>
      <c r="FU93" s="370"/>
      <c r="FV93" s="370"/>
      <c r="FW93" s="370"/>
      <c r="FX93" s="370"/>
      <c r="FY93" s="370"/>
      <c r="FZ93" s="370"/>
      <c r="GA93" s="370"/>
      <c r="GB93" s="370"/>
      <c r="GC93" s="370"/>
      <c r="GD93" s="370"/>
      <c r="GE93" s="370"/>
      <c r="GF93" s="370"/>
      <c r="GG93" s="370"/>
      <c r="GH93" s="370"/>
      <c r="GI93" s="370"/>
      <c r="GJ93" s="370"/>
      <c r="GK93" s="370"/>
      <c r="GL93" s="370"/>
      <c r="GM93" s="370"/>
      <c r="GN93" s="370"/>
      <c r="GO93" s="370"/>
      <c r="GP93" s="370"/>
      <c r="GQ93" s="370"/>
      <c r="GR93" s="370"/>
      <c r="GS93" s="370"/>
      <c r="GT93" s="370"/>
      <c r="GU93" s="370"/>
      <c r="GV93" s="370"/>
      <c r="GW93" s="370"/>
      <c r="GX93" s="370"/>
      <c r="GY93" s="370"/>
      <c r="GZ93" s="370"/>
      <c r="HA93" s="370"/>
      <c r="HB93" s="370"/>
      <c r="HC93" s="370"/>
      <c r="HD93" s="370"/>
      <c r="HE93" s="370"/>
      <c r="HF93" s="370"/>
      <c r="HG93" s="370"/>
      <c r="HH93" s="370"/>
    </row>
    <row r="94" spans="1:216" ht="18" customHeight="1">
      <c r="A94" s="395"/>
      <c r="B94" s="314" t="s">
        <v>8719</v>
      </c>
      <c r="C94" s="396"/>
      <c r="D94" s="317" t="s">
        <v>8720</v>
      </c>
      <c r="E94" s="317"/>
      <c r="F94" s="383"/>
      <c r="G94" s="383"/>
      <c r="H94" s="370"/>
      <c r="I94" s="317"/>
      <c r="J94" s="384">
        <v>1</v>
      </c>
      <c r="K94" s="384"/>
      <c r="L94" s="384"/>
      <c r="M94" s="397">
        <v>1</v>
      </c>
      <c r="N94" s="397">
        <v>1</v>
      </c>
      <c r="O94" s="397">
        <v>1</v>
      </c>
      <c r="P94" s="384"/>
      <c r="Q94" s="384"/>
      <c r="R94" s="384"/>
      <c r="S94" s="384"/>
      <c r="T94" s="397">
        <v>1</v>
      </c>
      <c r="U94" s="384"/>
      <c r="V94" s="384"/>
      <c r="W94" s="384"/>
      <c r="X94" s="397">
        <v>1</v>
      </c>
      <c r="Y94" s="384"/>
      <c r="Z94" s="384"/>
      <c r="AA94" s="384"/>
      <c r="AB94" s="384"/>
      <c r="AC94" s="384"/>
      <c r="AD94" s="384"/>
      <c r="AE94" s="384"/>
      <c r="AF94" s="384"/>
      <c r="AG94" s="384"/>
      <c r="AH94" s="384"/>
      <c r="AI94" s="384"/>
      <c r="AJ94" s="384"/>
      <c r="AK94" s="384"/>
      <c r="AL94" s="384"/>
      <c r="AM94" s="384"/>
      <c r="AN94" s="384"/>
      <c r="AO94" s="391"/>
      <c r="AP94" s="315"/>
      <c r="AQ94" s="315"/>
      <c r="AR94" s="315"/>
      <c r="AS94" s="315"/>
      <c r="AT94" s="315"/>
      <c r="AU94" s="315"/>
      <c r="AV94" s="315"/>
      <c r="AW94" s="315"/>
      <c r="AX94" s="315"/>
      <c r="AY94" s="315"/>
      <c r="AZ94" s="315"/>
      <c r="BA94" s="315"/>
      <c r="BB94" s="315"/>
      <c r="BC94" s="315"/>
      <c r="BD94" s="315"/>
      <c r="BE94" s="387"/>
      <c r="BF94" s="387"/>
      <c r="BG94" s="387"/>
      <c r="BH94" s="387"/>
      <c r="BI94" s="387"/>
      <c r="BJ94" s="387"/>
      <c r="BK94" s="387"/>
      <c r="BL94" s="387"/>
      <c r="BM94" s="387"/>
      <c r="BN94" s="387"/>
      <c r="BO94" s="387"/>
      <c r="BP94" s="387"/>
      <c r="BQ94" s="387"/>
      <c r="BR94" s="387"/>
      <c r="BS94" s="387"/>
      <c r="BT94" s="387"/>
      <c r="BU94" s="387"/>
      <c r="BV94" s="387"/>
      <c r="BW94" s="387"/>
      <c r="BX94" s="387"/>
      <c r="BY94" s="387"/>
      <c r="BZ94" s="387"/>
      <c r="CA94" s="387"/>
      <c r="CB94" s="387"/>
      <c r="CC94" s="387"/>
      <c r="CD94" s="387"/>
      <c r="CE94" s="387"/>
      <c r="CF94" s="387"/>
      <c r="CG94" s="387"/>
      <c r="CH94" s="387"/>
      <c r="CI94" s="387"/>
      <c r="CJ94" s="387"/>
      <c r="CK94" s="383"/>
      <c r="CL94" s="383"/>
      <c r="CM94" s="383"/>
      <c r="CN94" s="383"/>
      <c r="CO94" s="383"/>
      <c r="CP94" s="383"/>
      <c r="CQ94" s="383"/>
      <c r="CR94" s="390"/>
      <c r="CS94" s="390"/>
      <c r="CT94" s="383"/>
      <c r="CU94" s="383"/>
      <c r="CV94" s="383"/>
      <c r="CW94" s="383"/>
      <c r="CX94" s="383"/>
      <c r="CY94" s="383"/>
      <c r="CZ94" s="383"/>
      <c r="DA94" s="383"/>
      <c r="DB94" s="383"/>
      <c r="DC94" s="383"/>
      <c r="DD94" s="383"/>
      <c r="DE94" s="383"/>
      <c r="DF94" s="383"/>
      <c r="DG94" s="383"/>
      <c r="DH94" s="383"/>
      <c r="DI94" s="383"/>
      <c r="DJ94" s="383"/>
      <c r="DK94" s="383"/>
      <c r="DL94" s="383"/>
      <c r="DM94" s="383"/>
      <c r="DN94" s="383"/>
      <c r="DO94" s="383"/>
      <c r="DP94" s="383"/>
      <c r="DQ94" s="383"/>
      <c r="DR94" s="383"/>
      <c r="DS94" s="370"/>
      <c r="DT94" s="370"/>
      <c r="DU94" s="384"/>
      <c r="DV94" s="384"/>
      <c r="DW94" s="383"/>
      <c r="DX94" s="315"/>
      <c r="DY94" s="315"/>
      <c r="DZ94" s="383"/>
      <c r="EA94" s="383"/>
      <c r="EB94" s="390"/>
      <c r="EC94" s="390"/>
      <c r="ED94" s="383"/>
      <c r="EE94" s="383"/>
      <c r="EF94" s="383"/>
      <c r="EG94" s="383"/>
      <c r="EH94" s="383"/>
      <c r="EI94" s="383"/>
      <c r="EJ94" s="383"/>
      <c r="EK94" s="383"/>
      <c r="EL94" s="383"/>
      <c r="EM94" s="383"/>
      <c r="EN94" s="370"/>
      <c r="EO94" s="370"/>
      <c r="EP94" s="370"/>
      <c r="EQ94" s="370"/>
      <c r="ER94" s="370"/>
      <c r="ES94" s="370"/>
      <c r="ET94" s="383"/>
      <c r="EU94" s="383"/>
      <c r="EV94" s="383"/>
      <c r="EW94" s="383"/>
      <c r="EX94" s="383"/>
      <c r="EY94" s="383"/>
      <c r="EZ94" s="383"/>
      <c r="FA94" s="383"/>
      <c r="FB94" s="383"/>
      <c r="FC94" s="383"/>
      <c r="FD94" s="383"/>
      <c r="FE94" s="383"/>
      <c r="FF94" s="383"/>
      <c r="FG94" s="383"/>
      <c r="FH94" s="383"/>
      <c r="FI94" s="383"/>
      <c r="FJ94" s="383"/>
      <c r="FK94" s="383"/>
      <c r="FL94" s="383"/>
      <c r="FM94" s="383"/>
      <c r="FN94" s="383"/>
      <c r="FO94" s="383"/>
      <c r="FP94" s="383"/>
      <c r="FQ94" s="383"/>
      <c r="FR94" s="383"/>
      <c r="FS94" s="383"/>
      <c r="FT94" s="383"/>
      <c r="FU94" s="383"/>
      <c r="FV94" s="383"/>
      <c r="FW94" s="383"/>
      <c r="FX94" s="383"/>
      <c r="FY94" s="383"/>
      <c r="FZ94" s="383"/>
      <c r="GA94" s="383"/>
      <c r="GB94" s="383"/>
      <c r="GC94" s="383"/>
      <c r="GD94" s="383"/>
      <c r="GE94" s="383"/>
      <c r="GF94" s="383"/>
      <c r="GG94" s="383"/>
      <c r="GH94" s="383"/>
      <c r="GI94" s="383"/>
      <c r="GJ94" s="383"/>
      <c r="GK94" s="383"/>
      <c r="GL94" s="383"/>
      <c r="GM94" s="383"/>
      <c r="GN94" s="383"/>
      <c r="GO94" s="383"/>
      <c r="GP94" s="383"/>
      <c r="GQ94" s="383"/>
      <c r="GR94" s="383"/>
      <c r="GS94" s="383"/>
      <c r="GT94" s="383"/>
      <c r="GU94" s="383"/>
      <c r="GV94" s="383"/>
      <c r="GW94" s="383"/>
      <c r="GX94" s="383"/>
      <c r="GY94" s="383"/>
      <c r="GZ94" s="383"/>
      <c r="HA94" s="383"/>
      <c r="HB94" s="383"/>
      <c r="HC94" s="383"/>
      <c r="HD94" s="383"/>
      <c r="HE94" s="383"/>
      <c r="HF94" s="383"/>
      <c r="HG94" s="383"/>
      <c r="HH94" s="383"/>
    </row>
    <row r="95" spans="1:216" ht="18" customHeight="1">
      <c r="A95" s="395"/>
      <c r="B95" s="314" t="s">
        <v>8723</v>
      </c>
      <c r="C95" s="404"/>
      <c r="D95" s="399" t="s">
        <v>8724</v>
      </c>
      <c r="E95" s="317" t="s">
        <v>8043</v>
      </c>
      <c r="F95" s="383"/>
      <c r="G95" s="383"/>
      <c r="H95" s="384"/>
      <c r="I95" s="317"/>
      <c r="J95" s="384">
        <v>1</v>
      </c>
      <c r="K95" s="384"/>
      <c r="L95" s="384"/>
      <c r="M95" s="397">
        <v>1</v>
      </c>
      <c r="N95" s="384"/>
      <c r="O95" s="384"/>
      <c r="P95" s="384"/>
      <c r="Q95" s="384"/>
      <c r="R95" s="384"/>
      <c r="S95" s="384"/>
      <c r="T95" s="397">
        <v>1</v>
      </c>
      <c r="U95" s="384"/>
      <c r="V95" s="384"/>
      <c r="W95" s="384"/>
      <c r="X95" s="384"/>
      <c r="Y95" s="384"/>
      <c r="Z95" s="384"/>
      <c r="AA95" s="384"/>
      <c r="AB95" s="397">
        <v>1</v>
      </c>
      <c r="AC95" s="397">
        <v>1</v>
      </c>
      <c r="AD95" s="384"/>
      <c r="AE95" s="384"/>
      <c r="AF95" s="384"/>
      <c r="AG95" s="384"/>
      <c r="AH95" s="384"/>
      <c r="AI95" s="384"/>
      <c r="AJ95" s="383"/>
      <c r="AK95" s="383"/>
      <c r="AL95" s="384"/>
      <c r="AM95" s="384"/>
      <c r="AN95" s="384"/>
      <c r="AO95" s="391"/>
      <c r="AP95" s="315"/>
      <c r="AQ95" s="315"/>
      <c r="AR95" s="315"/>
      <c r="AS95" s="315"/>
      <c r="AT95" s="315"/>
      <c r="AU95" s="315"/>
      <c r="AV95" s="315"/>
      <c r="AW95" s="315"/>
      <c r="AX95" s="315"/>
      <c r="AY95" s="315"/>
      <c r="AZ95" s="315"/>
      <c r="BA95" s="315"/>
      <c r="BB95" s="315"/>
      <c r="BC95" s="315"/>
      <c r="BD95" s="315"/>
      <c r="BE95" s="387"/>
      <c r="BF95" s="387"/>
      <c r="BG95" s="387"/>
      <c r="BH95" s="387"/>
      <c r="BI95" s="387"/>
      <c r="BJ95" s="387"/>
      <c r="BK95" s="387"/>
      <c r="BL95" s="387"/>
      <c r="BM95" s="387"/>
      <c r="BN95" s="387"/>
      <c r="BO95" s="387"/>
      <c r="BP95" s="387"/>
      <c r="BQ95" s="387"/>
      <c r="BR95" s="387"/>
      <c r="BS95" s="387"/>
      <c r="BT95" s="387"/>
      <c r="BU95" s="387"/>
      <c r="BV95" s="387"/>
      <c r="BW95" s="387"/>
      <c r="BX95" s="387"/>
      <c r="BY95" s="387"/>
      <c r="BZ95" s="387"/>
      <c r="CA95" s="387"/>
      <c r="CB95" s="387"/>
      <c r="CC95" s="387"/>
      <c r="CD95" s="387"/>
      <c r="CE95" s="387"/>
      <c r="CF95" s="387"/>
      <c r="CG95" s="387"/>
      <c r="CH95" s="387"/>
      <c r="CI95" s="387"/>
      <c r="CJ95" s="387"/>
      <c r="CK95" s="383"/>
      <c r="CL95" s="383"/>
      <c r="CM95" s="383"/>
      <c r="CN95" s="383"/>
      <c r="CO95" s="383"/>
      <c r="CP95" s="383"/>
      <c r="CQ95" s="383"/>
      <c r="CR95" s="388"/>
      <c r="CS95" s="388"/>
      <c r="CT95" s="383"/>
      <c r="CU95" s="383"/>
      <c r="CV95" s="383"/>
      <c r="CW95" s="383"/>
      <c r="CX95" s="383"/>
      <c r="CY95" s="383"/>
      <c r="CZ95" s="383"/>
      <c r="DA95" s="383"/>
      <c r="DB95" s="383"/>
      <c r="DC95" s="383"/>
      <c r="DD95" s="383"/>
      <c r="DE95" s="383"/>
      <c r="DF95" s="383"/>
      <c r="DG95" s="383"/>
      <c r="DH95" s="370"/>
      <c r="DI95" s="370"/>
      <c r="DJ95" s="370"/>
      <c r="DK95" s="370"/>
      <c r="DL95" s="370"/>
      <c r="DM95" s="383"/>
      <c r="DN95" s="383"/>
      <c r="DO95" s="383"/>
      <c r="DP95" s="383"/>
      <c r="DQ95" s="383"/>
      <c r="DR95" s="383"/>
      <c r="DS95" s="370"/>
      <c r="DT95" s="370"/>
      <c r="DU95" s="384"/>
      <c r="DV95" s="384"/>
      <c r="DW95" s="383"/>
      <c r="DX95" s="315"/>
      <c r="DY95" s="315"/>
      <c r="DZ95" s="383"/>
      <c r="EA95" s="383"/>
      <c r="EB95" s="390"/>
      <c r="EC95" s="390"/>
      <c r="ED95" s="383"/>
      <c r="EE95" s="383"/>
      <c r="EF95" s="383"/>
      <c r="EG95" s="383"/>
      <c r="EH95" s="383"/>
      <c r="EI95" s="383"/>
      <c r="EJ95" s="383"/>
      <c r="EK95" s="383"/>
      <c r="EL95" s="383"/>
      <c r="EM95" s="383"/>
      <c r="EN95" s="370"/>
      <c r="EO95" s="370"/>
      <c r="EP95" s="370"/>
      <c r="EQ95" s="370"/>
      <c r="ER95" s="370"/>
      <c r="ES95" s="370"/>
      <c r="ET95" s="383"/>
      <c r="EU95" s="383"/>
      <c r="EV95" s="383"/>
      <c r="EW95" s="383"/>
      <c r="EX95" s="383"/>
      <c r="EY95" s="383"/>
      <c r="EZ95" s="383"/>
      <c r="FA95" s="383"/>
      <c r="FB95" s="383"/>
      <c r="FC95" s="383"/>
      <c r="FD95" s="383"/>
      <c r="FE95" s="383"/>
      <c r="FF95" s="383"/>
      <c r="FG95" s="383"/>
      <c r="FH95" s="383"/>
      <c r="FI95" s="383"/>
      <c r="FJ95" s="383"/>
      <c r="FK95" s="383"/>
      <c r="FL95" s="383"/>
      <c r="FM95" s="383"/>
      <c r="FN95" s="383"/>
      <c r="FO95" s="383"/>
      <c r="FP95" s="383"/>
      <c r="FQ95" s="383"/>
      <c r="FR95" s="383"/>
      <c r="FS95" s="383"/>
      <c r="FT95" s="383"/>
      <c r="FU95" s="383"/>
      <c r="FV95" s="383"/>
      <c r="FW95" s="383"/>
      <c r="FX95" s="383"/>
      <c r="FY95" s="383"/>
      <c r="FZ95" s="383"/>
      <c r="GA95" s="383"/>
      <c r="GB95" s="383"/>
      <c r="GC95" s="383"/>
      <c r="GD95" s="383"/>
      <c r="GE95" s="383"/>
      <c r="GF95" s="383"/>
      <c r="GG95" s="383"/>
      <c r="GH95" s="383"/>
      <c r="GI95" s="383"/>
      <c r="GJ95" s="383"/>
      <c r="GK95" s="383"/>
      <c r="GL95" s="383"/>
      <c r="GM95" s="383"/>
      <c r="GN95" s="383"/>
      <c r="GO95" s="383"/>
      <c r="GP95" s="383"/>
      <c r="GQ95" s="383"/>
      <c r="GR95" s="383"/>
      <c r="GS95" s="383"/>
      <c r="GT95" s="383"/>
      <c r="GU95" s="383"/>
      <c r="GV95" s="383"/>
      <c r="GW95" s="383"/>
      <c r="GX95" s="383"/>
      <c r="GY95" s="383"/>
      <c r="GZ95" s="383"/>
      <c r="HA95" s="383"/>
      <c r="HB95" s="383"/>
      <c r="HC95" s="383"/>
      <c r="HD95" s="383"/>
      <c r="HE95" s="383"/>
      <c r="HF95" s="383"/>
      <c r="HG95" s="383"/>
      <c r="HH95" s="383"/>
    </row>
    <row r="96" spans="1:216" ht="18" customHeight="1">
      <c r="A96" s="514"/>
      <c r="B96" s="314" t="s">
        <v>11104</v>
      </c>
      <c r="C96" s="404"/>
      <c r="D96" s="399" t="s">
        <v>8726</v>
      </c>
      <c r="E96" s="317"/>
      <c r="F96" s="383"/>
      <c r="G96" s="383"/>
      <c r="H96" s="384">
        <v>1</v>
      </c>
      <c r="I96" s="317" t="s">
        <v>8727</v>
      </c>
      <c r="J96" s="384"/>
      <c r="K96" s="384">
        <v>1</v>
      </c>
      <c r="L96" s="384"/>
      <c r="M96" s="397">
        <v>1</v>
      </c>
      <c r="N96" s="384"/>
      <c r="O96" s="384"/>
      <c r="P96" s="384"/>
      <c r="Q96" s="384"/>
      <c r="R96" s="384"/>
      <c r="S96" s="384"/>
      <c r="T96" s="397">
        <v>1</v>
      </c>
      <c r="U96" s="384"/>
      <c r="V96" s="384"/>
      <c r="W96" s="384"/>
      <c r="X96" s="384"/>
      <c r="Y96" s="397">
        <v>1</v>
      </c>
      <c r="Z96" s="384"/>
      <c r="AA96" s="384"/>
      <c r="AB96" s="384"/>
      <c r="AC96" s="384"/>
      <c r="AD96" s="384"/>
      <c r="AE96" s="384"/>
      <c r="AF96" s="384"/>
      <c r="AG96" s="384"/>
      <c r="AH96" s="384"/>
      <c r="AI96" s="384"/>
      <c r="AJ96" s="383"/>
      <c r="AK96" s="383"/>
      <c r="AL96" s="384"/>
      <c r="AM96" s="384"/>
      <c r="AN96" s="384"/>
      <c r="AO96" s="391"/>
      <c r="AP96" s="315"/>
      <c r="AQ96" s="315"/>
      <c r="AR96" s="315"/>
      <c r="AS96" s="315"/>
      <c r="AT96" s="315"/>
      <c r="AU96" s="315"/>
      <c r="AV96" s="315"/>
      <c r="AW96" s="315"/>
      <c r="AX96" s="315"/>
      <c r="AY96" s="315"/>
      <c r="AZ96" s="315"/>
      <c r="BA96" s="315"/>
      <c r="BB96" s="315"/>
      <c r="BC96" s="315"/>
      <c r="BD96" s="315"/>
      <c r="BE96" s="387"/>
      <c r="BF96" s="387"/>
      <c r="BG96" s="387"/>
      <c r="BH96" s="387"/>
      <c r="BI96" s="387"/>
      <c r="BJ96" s="387"/>
      <c r="BK96" s="387"/>
      <c r="BL96" s="387"/>
      <c r="BM96" s="387"/>
      <c r="BN96" s="387"/>
      <c r="BO96" s="387"/>
      <c r="BP96" s="387"/>
      <c r="BQ96" s="387"/>
      <c r="BR96" s="387"/>
      <c r="BS96" s="387"/>
      <c r="BT96" s="387"/>
      <c r="BU96" s="387"/>
      <c r="BV96" s="387"/>
      <c r="BW96" s="387"/>
      <c r="BX96" s="387"/>
      <c r="BY96" s="387"/>
      <c r="BZ96" s="387"/>
      <c r="CA96" s="387"/>
      <c r="CB96" s="387"/>
      <c r="CC96" s="387"/>
      <c r="CD96" s="387"/>
      <c r="CE96" s="387"/>
      <c r="CF96" s="387"/>
      <c r="CG96" s="387"/>
      <c r="CH96" s="387"/>
      <c r="CI96" s="387"/>
      <c r="CJ96" s="387"/>
      <c r="CK96" s="383"/>
      <c r="CL96" s="383"/>
      <c r="CM96" s="383"/>
      <c r="CN96" s="383"/>
      <c r="CO96" s="383"/>
      <c r="CP96" s="383"/>
      <c r="CQ96" s="450">
        <v>1</v>
      </c>
      <c r="CR96" s="451">
        <v>1</v>
      </c>
      <c r="CS96" s="451">
        <v>1</v>
      </c>
      <c r="CT96" s="450">
        <v>1</v>
      </c>
      <c r="CU96" s="450">
        <v>1</v>
      </c>
      <c r="CV96" s="450">
        <v>1</v>
      </c>
      <c r="CW96" s="450">
        <v>1</v>
      </c>
      <c r="CX96" s="383"/>
      <c r="CY96" s="383"/>
      <c r="CZ96" s="383"/>
      <c r="DA96" s="383"/>
      <c r="DB96" s="383"/>
      <c r="DC96" s="383"/>
      <c r="DD96" s="383"/>
      <c r="DE96" s="383"/>
      <c r="DF96" s="383"/>
      <c r="DG96" s="383"/>
      <c r="DH96" s="370"/>
      <c r="DI96" s="370"/>
      <c r="DJ96" s="370"/>
      <c r="DK96" s="370"/>
      <c r="DL96" s="370"/>
      <c r="DM96" s="383"/>
      <c r="DN96" s="383"/>
      <c r="DO96" s="383"/>
      <c r="DP96" s="383"/>
      <c r="DQ96" s="450">
        <v>1</v>
      </c>
      <c r="DR96" s="383"/>
      <c r="DS96" s="370"/>
      <c r="DT96" s="370"/>
      <c r="DU96" s="384"/>
      <c r="DV96" s="384"/>
      <c r="DW96" s="383"/>
      <c r="DX96" s="315"/>
      <c r="DY96" s="315"/>
      <c r="DZ96" s="383"/>
      <c r="EA96" s="383"/>
      <c r="EB96" s="390"/>
      <c r="EC96" s="390"/>
      <c r="ED96" s="383"/>
      <c r="EE96" s="383"/>
      <c r="EF96" s="383"/>
      <c r="EG96" s="383"/>
      <c r="EH96" s="383"/>
      <c r="EI96" s="383"/>
      <c r="EJ96" s="383"/>
      <c r="EK96" s="383"/>
      <c r="EL96" s="383"/>
      <c r="EM96" s="383"/>
      <c r="EN96" s="370"/>
      <c r="EO96" s="370"/>
      <c r="EP96" s="370"/>
      <c r="EQ96" s="370"/>
      <c r="ER96" s="370"/>
      <c r="ES96" s="370"/>
      <c r="ET96" s="383"/>
      <c r="EU96" s="383"/>
      <c r="EV96" s="383"/>
      <c r="EW96" s="383"/>
      <c r="EX96" s="383"/>
      <c r="EY96" s="383"/>
      <c r="EZ96" s="383"/>
      <c r="FA96" s="383"/>
      <c r="FB96" s="383"/>
      <c r="FC96" s="383"/>
      <c r="FD96" s="383"/>
      <c r="FE96" s="383"/>
      <c r="FF96" s="383"/>
      <c r="FG96" s="383"/>
      <c r="FH96" s="383"/>
      <c r="FI96" s="383"/>
      <c r="FJ96" s="383"/>
      <c r="FK96" s="383"/>
      <c r="FL96" s="383"/>
      <c r="FM96" s="383"/>
      <c r="FN96" s="383"/>
      <c r="FO96" s="383"/>
      <c r="FP96" s="383"/>
      <c r="FQ96" s="383"/>
      <c r="FR96" s="383"/>
      <c r="FS96" s="383"/>
      <c r="FT96" s="383"/>
      <c r="FU96" s="383"/>
      <c r="FV96" s="383"/>
      <c r="FW96" s="383"/>
      <c r="FX96" s="383"/>
      <c r="FY96" s="383"/>
      <c r="FZ96" s="383"/>
      <c r="GA96" s="383"/>
      <c r="GB96" s="383"/>
      <c r="GC96" s="383"/>
      <c r="GD96" s="383"/>
      <c r="GE96" s="383"/>
      <c r="GF96" s="383"/>
      <c r="GG96" s="383"/>
      <c r="GH96" s="383"/>
      <c r="GI96" s="383"/>
      <c r="GJ96" s="383"/>
      <c r="GK96" s="383"/>
      <c r="GL96" s="383"/>
      <c r="GM96" s="383"/>
      <c r="GN96" s="383"/>
      <c r="GO96" s="383"/>
      <c r="GP96" s="383"/>
      <c r="GQ96" s="383"/>
      <c r="GR96" s="383"/>
      <c r="GS96" s="383"/>
      <c r="GT96" s="383"/>
      <c r="GU96" s="383"/>
      <c r="GV96" s="383"/>
      <c r="GW96" s="383"/>
      <c r="GX96" s="383"/>
      <c r="GY96" s="383"/>
      <c r="GZ96" s="383"/>
      <c r="HA96" s="383"/>
      <c r="HB96" s="383"/>
      <c r="HC96" s="383"/>
      <c r="HD96" s="383"/>
      <c r="HE96" s="383"/>
      <c r="HF96" s="383"/>
      <c r="HG96" s="383"/>
      <c r="HH96" s="383"/>
    </row>
    <row r="97" spans="1:216" ht="18" customHeight="1">
      <c r="A97" s="395"/>
      <c r="B97" s="314" t="s">
        <v>8728</v>
      </c>
      <c r="C97" s="404"/>
      <c r="D97" s="399" t="s">
        <v>8729</v>
      </c>
      <c r="E97" s="317"/>
      <c r="F97" s="383"/>
      <c r="G97" s="383"/>
      <c r="H97" s="370"/>
      <c r="I97" s="317"/>
      <c r="J97" s="384">
        <v>1</v>
      </c>
      <c r="K97" s="384"/>
      <c r="L97" s="384"/>
      <c r="M97" s="397">
        <v>1</v>
      </c>
      <c r="N97" s="384"/>
      <c r="O97" s="384"/>
      <c r="P97" s="384"/>
      <c r="Q97" s="384"/>
      <c r="R97" s="384"/>
      <c r="S97" s="384"/>
      <c r="T97" s="397">
        <v>1</v>
      </c>
      <c r="U97" s="384"/>
      <c r="V97" s="384"/>
      <c r="W97" s="384"/>
      <c r="X97" s="384"/>
      <c r="Y97" s="397">
        <v>1</v>
      </c>
      <c r="Z97" s="384"/>
      <c r="AA97" s="384"/>
      <c r="AB97" s="397">
        <v>1</v>
      </c>
      <c r="AC97" s="397">
        <v>1</v>
      </c>
      <c r="AD97" s="384"/>
      <c r="AE97" s="384"/>
      <c r="AF97" s="384"/>
      <c r="AG97" s="384"/>
      <c r="AH97" s="384"/>
      <c r="AI97" s="384"/>
      <c r="AJ97" s="383"/>
      <c r="AK97" s="383"/>
      <c r="AL97" s="384"/>
      <c r="AM97" s="384"/>
      <c r="AN97" s="384"/>
      <c r="AO97" s="391"/>
      <c r="AP97" s="315"/>
      <c r="AQ97" s="315"/>
      <c r="AR97" s="315"/>
      <c r="AS97" s="315"/>
      <c r="AT97" s="315"/>
      <c r="AU97" s="315"/>
      <c r="AV97" s="315"/>
      <c r="AW97" s="315"/>
      <c r="AX97" s="315"/>
      <c r="AY97" s="315"/>
      <c r="AZ97" s="315"/>
      <c r="BA97" s="315"/>
      <c r="BB97" s="315"/>
      <c r="BC97" s="315"/>
      <c r="BD97" s="315"/>
      <c r="BE97" s="387"/>
      <c r="BF97" s="387"/>
      <c r="BG97" s="387"/>
      <c r="BH97" s="387"/>
      <c r="BI97" s="387"/>
      <c r="BJ97" s="387"/>
      <c r="BK97" s="387"/>
      <c r="BL97" s="387"/>
      <c r="BM97" s="387"/>
      <c r="BN97" s="387"/>
      <c r="BO97" s="387"/>
      <c r="BP97" s="387"/>
      <c r="BQ97" s="387"/>
      <c r="BR97" s="387"/>
      <c r="BS97" s="387"/>
      <c r="BT97" s="387"/>
      <c r="BU97" s="387"/>
      <c r="BV97" s="387"/>
      <c r="BW97" s="387"/>
      <c r="BX97" s="387"/>
      <c r="BY97" s="387"/>
      <c r="BZ97" s="387"/>
      <c r="CA97" s="387"/>
      <c r="CB97" s="387"/>
      <c r="CC97" s="387"/>
      <c r="CD97" s="387"/>
      <c r="CE97" s="387"/>
      <c r="CF97" s="387"/>
      <c r="CG97" s="387"/>
      <c r="CH97" s="387"/>
      <c r="CI97" s="387"/>
      <c r="CJ97" s="387"/>
      <c r="CK97" s="383"/>
      <c r="CL97" s="383"/>
      <c r="CM97" s="383"/>
      <c r="CN97" s="383"/>
      <c r="CO97" s="383"/>
      <c r="CP97" s="383"/>
      <c r="CQ97" s="383"/>
      <c r="CR97" s="388"/>
      <c r="CS97" s="388"/>
      <c r="CT97" s="383"/>
      <c r="CU97" s="383"/>
      <c r="CV97" s="383"/>
      <c r="CW97" s="383"/>
      <c r="CX97" s="383"/>
      <c r="CY97" s="383"/>
      <c r="CZ97" s="383"/>
      <c r="DA97" s="383"/>
      <c r="DB97" s="383"/>
      <c r="DC97" s="383"/>
      <c r="DD97" s="383"/>
      <c r="DE97" s="383"/>
      <c r="DF97" s="383"/>
      <c r="DG97" s="383"/>
      <c r="DH97" s="370"/>
      <c r="DI97" s="370"/>
      <c r="DJ97" s="370"/>
      <c r="DK97" s="370"/>
      <c r="DL97" s="370"/>
      <c r="DM97" s="383"/>
      <c r="DN97" s="383"/>
      <c r="DO97" s="383"/>
      <c r="DP97" s="383"/>
      <c r="DQ97" s="383"/>
      <c r="DR97" s="383"/>
      <c r="DS97" s="370"/>
      <c r="DT97" s="370"/>
      <c r="DU97" s="384"/>
      <c r="DV97" s="384"/>
      <c r="DW97" s="383"/>
      <c r="DX97" s="315"/>
      <c r="DY97" s="315"/>
      <c r="DZ97" s="383"/>
      <c r="EA97" s="383"/>
      <c r="EB97" s="390"/>
      <c r="EC97" s="390"/>
      <c r="ED97" s="383"/>
      <c r="EE97" s="383"/>
      <c r="EF97" s="383"/>
      <c r="EG97" s="383"/>
      <c r="EH97" s="383"/>
      <c r="EI97" s="383"/>
      <c r="EJ97" s="383"/>
      <c r="EK97" s="383"/>
      <c r="EL97" s="383"/>
      <c r="EM97" s="383"/>
      <c r="EN97" s="370"/>
      <c r="EO97" s="370"/>
      <c r="EP97" s="370"/>
      <c r="EQ97" s="370"/>
      <c r="ER97" s="370"/>
      <c r="ES97" s="370"/>
      <c r="ET97" s="383"/>
      <c r="EU97" s="383"/>
      <c r="EV97" s="383"/>
      <c r="EW97" s="383"/>
      <c r="EX97" s="383"/>
      <c r="EY97" s="383"/>
      <c r="EZ97" s="383"/>
      <c r="FA97" s="383"/>
      <c r="FB97" s="383"/>
      <c r="FC97" s="383"/>
      <c r="FD97" s="383"/>
      <c r="FE97" s="383"/>
      <c r="FF97" s="383"/>
      <c r="FG97" s="383"/>
      <c r="FH97" s="383"/>
      <c r="FI97" s="383"/>
      <c r="FJ97" s="383"/>
      <c r="FK97" s="383"/>
      <c r="FL97" s="383"/>
      <c r="FM97" s="383"/>
      <c r="FN97" s="383"/>
      <c r="FO97" s="383"/>
      <c r="FP97" s="383"/>
      <c r="FQ97" s="383"/>
      <c r="FR97" s="383"/>
      <c r="FS97" s="383"/>
      <c r="FT97" s="383"/>
      <c r="FU97" s="383"/>
      <c r="FV97" s="383"/>
      <c r="FW97" s="383"/>
      <c r="FX97" s="383"/>
      <c r="FY97" s="383"/>
      <c r="FZ97" s="383"/>
      <c r="GA97" s="383"/>
      <c r="GB97" s="383"/>
      <c r="GC97" s="383"/>
      <c r="GD97" s="383"/>
      <c r="GE97" s="383"/>
      <c r="GF97" s="383"/>
      <c r="GG97" s="383"/>
      <c r="GH97" s="383"/>
      <c r="GI97" s="383"/>
      <c r="GJ97" s="383"/>
      <c r="GK97" s="383"/>
      <c r="GL97" s="383"/>
      <c r="GM97" s="383"/>
      <c r="GN97" s="383"/>
      <c r="GO97" s="383"/>
      <c r="GP97" s="383"/>
      <c r="GQ97" s="383"/>
      <c r="GR97" s="383"/>
      <c r="GS97" s="383"/>
      <c r="GT97" s="383"/>
      <c r="GU97" s="383"/>
      <c r="GV97" s="383"/>
      <c r="GW97" s="383"/>
      <c r="GX97" s="383"/>
      <c r="GY97" s="383"/>
      <c r="GZ97" s="383"/>
      <c r="HA97" s="383"/>
      <c r="HB97" s="383"/>
      <c r="HC97" s="383"/>
      <c r="HD97" s="383"/>
      <c r="HE97" s="383"/>
      <c r="HF97" s="383"/>
      <c r="HG97" s="383"/>
      <c r="HH97" s="383"/>
    </row>
    <row r="98" spans="1:216" ht="18" customHeight="1">
      <c r="A98" s="395"/>
      <c r="B98" s="314" t="s">
        <v>11757</v>
      </c>
      <c r="C98" s="404"/>
      <c r="D98" s="399" t="s">
        <v>11757</v>
      </c>
      <c r="E98" s="317"/>
      <c r="F98" s="383"/>
      <c r="G98" s="383"/>
      <c r="H98" s="370"/>
      <c r="I98" s="317"/>
      <c r="J98" s="651">
        <v>1</v>
      </c>
      <c r="K98" s="651"/>
      <c r="L98" s="651"/>
      <c r="M98" s="397">
        <v>1</v>
      </c>
      <c r="N98" s="651"/>
      <c r="O98" s="651"/>
      <c r="P98" s="651"/>
      <c r="Q98" s="651"/>
      <c r="R98" s="651"/>
      <c r="S98" s="651"/>
      <c r="T98" s="397">
        <v>1</v>
      </c>
      <c r="U98" s="651"/>
      <c r="V98" s="651"/>
      <c r="W98" s="651"/>
      <c r="X98" s="651"/>
      <c r="Y98" s="397">
        <v>1</v>
      </c>
      <c r="Z98" s="651"/>
      <c r="AA98" s="651"/>
      <c r="AB98" s="651"/>
      <c r="AC98" s="651"/>
      <c r="AD98" s="651"/>
      <c r="AE98" s="651"/>
      <c r="AF98" s="651"/>
      <c r="AG98" s="651"/>
      <c r="AH98" s="651"/>
      <c r="AI98" s="651"/>
      <c r="AJ98" s="383"/>
      <c r="AK98" s="383"/>
      <c r="AL98" s="651"/>
      <c r="AM98" s="651"/>
      <c r="AN98" s="651"/>
      <c r="AO98" s="391"/>
      <c r="AP98" s="652"/>
      <c r="AQ98" s="652"/>
      <c r="AR98" s="652"/>
      <c r="AS98" s="652"/>
      <c r="AT98" s="652"/>
      <c r="AU98" s="652"/>
      <c r="AV98" s="652"/>
      <c r="AW98" s="652"/>
      <c r="AX98" s="652"/>
      <c r="AY98" s="652"/>
      <c r="AZ98" s="652"/>
      <c r="BA98" s="652"/>
      <c r="BB98" s="652"/>
      <c r="BC98" s="652"/>
      <c r="BD98" s="652"/>
      <c r="BE98" s="387"/>
      <c r="BF98" s="387"/>
      <c r="BG98" s="387"/>
      <c r="BH98" s="387"/>
      <c r="BI98" s="387"/>
      <c r="BJ98" s="387"/>
      <c r="BK98" s="387"/>
      <c r="BL98" s="387"/>
      <c r="BM98" s="387"/>
      <c r="BN98" s="387"/>
      <c r="BO98" s="387"/>
      <c r="BP98" s="387"/>
      <c r="BQ98" s="387"/>
      <c r="BR98" s="387"/>
      <c r="BS98" s="387"/>
      <c r="BT98" s="387"/>
      <c r="BU98" s="387"/>
      <c r="BV98" s="387"/>
      <c r="BW98" s="387"/>
      <c r="BX98" s="387"/>
      <c r="BY98" s="387"/>
      <c r="BZ98" s="387"/>
      <c r="CA98" s="387"/>
      <c r="CB98" s="387"/>
      <c r="CC98" s="387"/>
      <c r="CD98" s="387"/>
      <c r="CE98" s="387"/>
      <c r="CF98" s="387"/>
      <c r="CG98" s="387"/>
      <c r="CH98" s="387"/>
      <c r="CI98" s="387"/>
      <c r="CJ98" s="387"/>
      <c r="CK98" s="383"/>
      <c r="CL98" s="383"/>
      <c r="CM98" s="383"/>
      <c r="CN98" s="383"/>
      <c r="CO98" s="383"/>
      <c r="CP98" s="383"/>
      <c r="CQ98" s="383"/>
      <c r="CR98" s="388"/>
      <c r="CS98" s="388"/>
      <c r="CT98" s="383"/>
      <c r="CU98" s="383"/>
      <c r="CV98" s="383"/>
      <c r="CW98" s="383"/>
      <c r="CX98" s="383"/>
      <c r="CY98" s="383"/>
      <c r="CZ98" s="383"/>
      <c r="DA98" s="383"/>
      <c r="DB98" s="383"/>
      <c r="DC98" s="383"/>
      <c r="DD98" s="383"/>
      <c r="DE98" s="383"/>
      <c r="DF98" s="383"/>
      <c r="DG98" s="383"/>
      <c r="DH98" s="370"/>
      <c r="DI98" s="370"/>
      <c r="DJ98" s="370"/>
      <c r="DK98" s="370"/>
      <c r="DL98" s="370"/>
      <c r="DM98" s="383"/>
      <c r="DN98" s="383"/>
      <c r="DO98" s="383"/>
      <c r="DP98" s="383"/>
      <c r="DQ98" s="383"/>
      <c r="DR98" s="383"/>
      <c r="DS98" s="370"/>
      <c r="DT98" s="370"/>
      <c r="DU98" s="651"/>
      <c r="DV98" s="651"/>
      <c r="DW98" s="383"/>
      <c r="DX98" s="652"/>
      <c r="DY98" s="652"/>
      <c r="DZ98" s="383"/>
      <c r="EA98" s="383"/>
      <c r="EB98" s="390"/>
      <c r="EC98" s="390"/>
      <c r="ED98" s="383"/>
      <c r="EE98" s="383"/>
      <c r="EF98" s="383"/>
      <c r="EG98" s="383"/>
      <c r="EH98" s="383"/>
      <c r="EI98" s="383"/>
      <c r="EJ98" s="383"/>
      <c r="EK98" s="383"/>
      <c r="EL98" s="383"/>
      <c r="EM98" s="383"/>
      <c r="EN98" s="370"/>
      <c r="EO98" s="370"/>
      <c r="EP98" s="370"/>
      <c r="EQ98" s="370"/>
      <c r="ER98" s="370"/>
      <c r="ES98" s="370"/>
      <c r="ET98" s="383"/>
      <c r="EU98" s="383"/>
      <c r="EV98" s="383"/>
      <c r="EW98" s="383"/>
      <c r="EX98" s="383"/>
      <c r="EY98" s="383"/>
      <c r="EZ98" s="383"/>
      <c r="FA98" s="383"/>
      <c r="FB98" s="383"/>
      <c r="FC98" s="383"/>
      <c r="FD98" s="383"/>
      <c r="FE98" s="383"/>
      <c r="FF98" s="383"/>
      <c r="FG98" s="383"/>
      <c r="FH98" s="383"/>
      <c r="FI98" s="383"/>
      <c r="FJ98" s="383"/>
      <c r="FK98" s="383"/>
      <c r="FL98" s="383"/>
      <c r="FM98" s="383"/>
      <c r="FN98" s="383"/>
      <c r="FO98" s="383"/>
      <c r="FP98" s="383"/>
      <c r="FQ98" s="383"/>
      <c r="FR98" s="383"/>
      <c r="FS98" s="383"/>
      <c r="FT98" s="383"/>
      <c r="FU98" s="383"/>
      <c r="FV98" s="383"/>
      <c r="FW98" s="383"/>
      <c r="FX98" s="383"/>
      <c r="FY98" s="383"/>
      <c r="FZ98" s="383"/>
      <c r="GA98" s="383"/>
      <c r="GB98" s="383"/>
      <c r="GC98" s="383"/>
      <c r="GD98" s="383"/>
      <c r="GE98" s="383"/>
      <c r="GF98" s="383"/>
      <c r="GG98" s="383"/>
      <c r="GH98" s="383"/>
      <c r="GI98" s="383"/>
      <c r="GJ98" s="383"/>
      <c r="GK98" s="383"/>
      <c r="GL98" s="383"/>
      <c r="GM98" s="383"/>
      <c r="GN98" s="383"/>
      <c r="GO98" s="383"/>
      <c r="GP98" s="383"/>
      <c r="GQ98" s="383"/>
      <c r="GR98" s="383"/>
      <c r="GS98" s="383"/>
      <c r="GT98" s="383"/>
      <c r="GU98" s="383"/>
      <c r="GV98" s="383"/>
      <c r="GW98" s="383"/>
      <c r="GX98" s="383"/>
      <c r="GY98" s="383"/>
      <c r="GZ98" s="383"/>
      <c r="HA98" s="383"/>
      <c r="HB98" s="383"/>
      <c r="HC98" s="383"/>
      <c r="HD98" s="383"/>
      <c r="HE98" s="383"/>
      <c r="HF98" s="383"/>
      <c r="HG98" s="383"/>
      <c r="HH98" s="383"/>
    </row>
    <row r="99" spans="1:216" s="393" customFormat="1" ht="18" customHeight="1">
      <c r="A99" s="382"/>
      <c r="B99" s="382"/>
      <c r="C99" s="382"/>
      <c r="D99" s="374"/>
      <c r="E99" s="394"/>
      <c r="F99" s="370"/>
      <c r="G99" s="370"/>
      <c r="H99" s="366"/>
      <c r="I99" s="382"/>
      <c r="J99" s="384"/>
      <c r="K99" s="352"/>
      <c r="L99" s="352"/>
      <c r="M99" s="358"/>
      <c r="N99" s="358"/>
      <c r="O99" s="358"/>
      <c r="P99" s="358"/>
      <c r="Q99" s="358"/>
      <c r="R99" s="384"/>
      <c r="S99" s="384"/>
      <c r="T99" s="384"/>
      <c r="U99" s="384"/>
      <c r="V99" s="384"/>
      <c r="W99" s="384"/>
      <c r="X99" s="384"/>
      <c r="Y99" s="384"/>
      <c r="Z99" s="384"/>
      <c r="AA99" s="384"/>
      <c r="AB99" s="384"/>
      <c r="AC99" s="384"/>
      <c r="AD99" s="384"/>
      <c r="AE99" s="384"/>
      <c r="AF99" s="384"/>
      <c r="AG99" s="384"/>
      <c r="AH99" s="384"/>
      <c r="AI99" s="384"/>
      <c r="AJ99" s="384"/>
      <c r="AK99" s="384"/>
      <c r="AL99" s="384"/>
      <c r="AM99" s="384"/>
      <c r="AN99" s="384"/>
      <c r="AO99" s="391"/>
      <c r="AP99" s="384"/>
      <c r="AQ99" s="384"/>
      <c r="AR99" s="384"/>
      <c r="AS99" s="384"/>
      <c r="AT99" s="384"/>
      <c r="AU99" s="384"/>
      <c r="AV99" s="384"/>
      <c r="AW99" s="384"/>
      <c r="AX99" s="384"/>
      <c r="AY99" s="384"/>
      <c r="AZ99" s="384"/>
      <c r="BA99" s="384"/>
      <c r="BB99" s="384"/>
      <c r="BC99" s="384"/>
      <c r="BD99" s="384"/>
      <c r="BE99" s="387"/>
      <c r="BF99" s="387"/>
      <c r="BG99" s="387"/>
      <c r="BH99" s="387"/>
      <c r="BI99" s="387"/>
      <c r="BJ99" s="387"/>
      <c r="BK99" s="387"/>
      <c r="BL99" s="387"/>
      <c r="BM99" s="387"/>
      <c r="BN99" s="387"/>
      <c r="BO99" s="387"/>
      <c r="BP99" s="387"/>
      <c r="BQ99" s="387"/>
      <c r="BR99" s="387"/>
      <c r="BS99" s="387"/>
      <c r="BT99" s="387"/>
      <c r="BU99" s="387"/>
      <c r="BV99" s="387"/>
      <c r="BW99" s="387"/>
      <c r="BX99" s="387"/>
      <c r="BY99" s="387"/>
      <c r="BZ99" s="387"/>
      <c r="CA99" s="387"/>
      <c r="CB99" s="387"/>
      <c r="CC99" s="387"/>
      <c r="CD99" s="387"/>
      <c r="CE99" s="387"/>
      <c r="CF99" s="387"/>
      <c r="CG99" s="387"/>
      <c r="CH99" s="387"/>
      <c r="CI99" s="387"/>
      <c r="CJ99" s="387"/>
      <c r="CK99" s="370"/>
      <c r="CL99" s="370"/>
      <c r="CM99" s="370"/>
      <c r="CN99" s="370"/>
      <c r="CO99" s="370"/>
      <c r="CP99" s="370"/>
      <c r="CQ99" s="370"/>
      <c r="CR99" s="390"/>
      <c r="CS99" s="390"/>
      <c r="CT99" s="370"/>
      <c r="CU99" s="370"/>
      <c r="CV99" s="370"/>
      <c r="CW99" s="370"/>
      <c r="CX99" s="370"/>
      <c r="CY99" s="370"/>
      <c r="CZ99" s="370"/>
      <c r="DA99" s="370"/>
      <c r="DB99" s="370"/>
      <c r="DC99" s="370"/>
      <c r="DD99" s="370"/>
      <c r="DE99" s="370"/>
      <c r="DF99" s="370"/>
      <c r="DG99" s="370"/>
      <c r="DH99" s="370"/>
      <c r="DI99" s="370"/>
      <c r="DJ99" s="370"/>
      <c r="DK99" s="370"/>
      <c r="DL99" s="370"/>
      <c r="DM99" s="383"/>
      <c r="DN99" s="383"/>
      <c r="DO99" s="370"/>
      <c r="DP99" s="370"/>
      <c r="DQ99" s="370"/>
      <c r="DR99" s="370"/>
      <c r="DS99" s="383"/>
      <c r="DT99" s="383"/>
      <c r="DU99" s="384"/>
      <c r="DV99" s="384"/>
      <c r="DW99" s="370"/>
      <c r="DX99" s="384"/>
      <c r="DY99" s="384"/>
      <c r="DZ99" s="370"/>
      <c r="EA99" s="370"/>
      <c r="EB99" s="390"/>
      <c r="EC99" s="390"/>
      <c r="ED99" s="370"/>
      <c r="EE99" s="370"/>
      <c r="EF99" s="370"/>
      <c r="EG99" s="370"/>
      <c r="EH99" s="370"/>
      <c r="EI99" s="370"/>
      <c r="EJ99" s="370"/>
      <c r="EK99" s="370"/>
      <c r="EL99" s="370"/>
      <c r="EM99" s="370"/>
      <c r="EN99" s="370"/>
      <c r="EO99" s="370"/>
      <c r="EP99" s="370"/>
      <c r="EQ99" s="370"/>
      <c r="ER99" s="370"/>
      <c r="ES99" s="370"/>
      <c r="ET99" s="370"/>
      <c r="EU99" s="370"/>
      <c r="EV99" s="370"/>
      <c r="EW99" s="370"/>
      <c r="EX99" s="370"/>
      <c r="EY99" s="370"/>
      <c r="EZ99" s="370"/>
      <c r="FA99" s="370"/>
      <c r="FB99" s="370"/>
      <c r="FC99" s="370"/>
      <c r="FD99" s="370"/>
      <c r="FE99" s="370"/>
      <c r="FF99" s="370"/>
      <c r="FG99" s="370"/>
      <c r="FH99" s="370"/>
      <c r="FI99" s="370"/>
      <c r="FJ99" s="370"/>
      <c r="FK99" s="370"/>
      <c r="FL99" s="370"/>
      <c r="FM99" s="370"/>
      <c r="FN99" s="370"/>
      <c r="FO99" s="370"/>
      <c r="FP99" s="370"/>
      <c r="FQ99" s="370"/>
      <c r="FR99" s="370"/>
      <c r="FS99" s="370"/>
      <c r="FT99" s="370"/>
      <c r="FU99" s="370"/>
      <c r="FV99" s="370"/>
      <c r="FW99" s="370"/>
      <c r="FX99" s="370"/>
      <c r="FY99" s="370"/>
      <c r="FZ99" s="370"/>
      <c r="GA99" s="370"/>
      <c r="GB99" s="370"/>
      <c r="GC99" s="370"/>
      <c r="GD99" s="370"/>
      <c r="GE99" s="370"/>
      <c r="GF99" s="370"/>
      <c r="GG99" s="370"/>
      <c r="GH99" s="370"/>
      <c r="GI99" s="370"/>
      <c r="GJ99" s="370"/>
      <c r="GK99" s="370"/>
      <c r="GL99" s="370"/>
      <c r="GM99" s="370"/>
      <c r="GN99" s="370"/>
      <c r="GO99" s="370"/>
      <c r="GP99" s="370"/>
      <c r="GQ99" s="370"/>
      <c r="GR99" s="370"/>
      <c r="GS99" s="370"/>
      <c r="GT99" s="370"/>
      <c r="GU99" s="370"/>
      <c r="GV99" s="370"/>
      <c r="GW99" s="370"/>
      <c r="GX99" s="370"/>
      <c r="GY99" s="370"/>
      <c r="GZ99" s="370"/>
      <c r="HA99" s="370"/>
      <c r="HB99" s="370"/>
      <c r="HC99" s="370"/>
      <c r="HD99" s="370"/>
      <c r="HE99" s="370"/>
      <c r="HF99" s="370"/>
      <c r="HG99" s="370"/>
      <c r="HH99" s="370"/>
    </row>
    <row r="100" spans="1:216" ht="18" customHeight="1">
      <c r="A100" s="395"/>
      <c r="B100" s="314" t="s">
        <v>8730</v>
      </c>
      <c r="C100" s="406"/>
      <c r="D100" s="317" t="s">
        <v>8731</v>
      </c>
      <c r="E100" s="317"/>
      <c r="F100" s="383"/>
      <c r="G100" s="383"/>
      <c r="H100" s="370"/>
      <c r="I100" s="317"/>
      <c r="J100" s="384">
        <v>1</v>
      </c>
      <c r="K100" s="384"/>
      <c r="L100" s="384"/>
      <c r="M100" s="397">
        <v>1</v>
      </c>
      <c r="N100" s="397">
        <v>1</v>
      </c>
      <c r="O100" s="397">
        <v>1</v>
      </c>
      <c r="P100" s="384"/>
      <c r="Q100" s="384"/>
      <c r="R100" s="384"/>
      <c r="S100" s="384"/>
      <c r="T100" s="384"/>
      <c r="U100" s="397">
        <v>1</v>
      </c>
      <c r="V100" s="384"/>
      <c r="W100" s="384"/>
      <c r="X100" s="397">
        <v>1</v>
      </c>
      <c r="Y100" s="384"/>
      <c r="Z100" s="384"/>
      <c r="AA100" s="384"/>
      <c r="AB100" s="384"/>
      <c r="AC100" s="384"/>
      <c r="AD100" s="384"/>
      <c r="AE100" s="384"/>
      <c r="AF100" s="384"/>
      <c r="AG100" s="384"/>
      <c r="AH100" s="384"/>
      <c r="AI100" s="384"/>
      <c r="AJ100" s="383"/>
      <c r="AK100" s="383"/>
      <c r="AL100" s="384"/>
      <c r="AM100" s="384"/>
      <c r="AN100" s="384"/>
      <c r="AO100" s="391"/>
      <c r="AP100" s="315"/>
      <c r="AQ100" s="315"/>
      <c r="AR100" s="315"/>
      <c r="AS100" s="315"/>
      <c r="AT100" s="315"/>
      <c r="AU100" s="315"/>
      <c r="AV100" s="315"/>
      <c r="AW100" s="315"/>
      <c r="AX100" s="315"/>
      <c r="AY100" s="315"/>
      <c r="AZ100" s="315"/>
      <c r="BA100" s="315"/>
      <c r="BB100" s="315"/>
      <c r="BC100" s="315"/>
      <c r="BD100" s="315"/>
      <c r="BE100" s="387"/>
      <c r="BF100" s="387"/>
      <c r="BG100" s="387"/>
      <c r="BH100" s="387"/>
      <c r="BI100" s="387"/>
      <c r="BJ100" s="387"/>
      <c r="BK100" s="387"/>
      <c r="BL100" s="387"/>
      <c r="BM100" s="387"/>
      <c r="BN100" s="387"/>
      <c r="BO100" s="387"/>
      <c r="BP100" s="387"/>
      <c r="BQ100" s="387"/>
      <c r="BR100" s="387"/>
      <c r="BS100" s="387"/>
      <c r="BT100" s="387"/>
      <c r="BU100" s="387"/>
      <c r="BV100" s="387"/>
      <c r="BW100" s="387"/>
      <c r="BX100" s="387"/>
      <c r="BY100" s="387"/>
      <c r="BZ100" s="387"/>
      <c r="CA100" s="387"/>
      <c r="CB100" s="387"/>
      <c r="CC100" s="387"/>
      <c r="CD100" s="387"/>
      <c r="CE100" s="387"/>
      <c r="CF100" s="387"/>
      <c r="CG100" s="387"/>
      <c r="CH100" s="387"/>
      <c r="CI100" s="387"/>
      <c r="CJ100" s="387"/>
      <c r="CK100" s="383"/>
      <c r="CL100" s="383"/>
      <c r="CM100" s="383"/>
      <c r="CN100" s="383"/>
      <c r="CO100" s="383"/>
      <c r="CP100" s="383"/>
      <c r="CQ100" s="383"/>
      <c r="CR100" s="388"/>
      <c r="CS100" s="388"/>
      <c r="CT100" s="383"/>
      <c r="CU100" s="383"/>
      <c r="CV100" s="383"/>
      <c r="CW100" s="383"/>
      <c r="CX100" s="383"/>
      <c r="CY100" s="383"/>
      <c r="CZ100" s="383"/>
      <c r="DA100" s="383"/>
      <c r="DB100" s="383"/>
      <c r="DC100" s="383"/>
      <c r="DD100" s="383"/>
      <c r="DE100" s="383"/>
      <c r="DF100" s="383"/>
      <c r="DG100" s="383"/>
      <c r="DH100" s="370"/>
      <c r="DI100" s="370"/>
      <c r="DJ100" s="370"/>
      <c r="DK100" s="370"/>
      <c r="DL100" s="370"/>
      <c r="DM100" s="383"/>
      <c r="DN100" s="383"/>
      <c r="DO100" s="383"/>
      <c r="DP100" s="383"/>
      <c r="DQ100" s="383"/>
      <c r="DR100" s="383"/>
      <c r="DS100" s="370"/>
      <c r="DT100" s="370"/>
      <c r="DU100" s="384"/>
      <c r="DV100" s="384"/>
      <c r="DW100" s="383"/>
      <c r="DX100" s="315"/>
      <c r="DY100" s="315"/>
      <c r="DZ100" s="383"/>
      <c r="EA100" s="383"/>
      <c r="EB100" s="390"/>
      <c r="EC100" s="390"/>
      <c r="ED100" s="383"/>
      <c r="EE100" s="383"/>
      <c r="EF100" s="383"/>
      <c r="EG100" s="383"/>
      <c r="EH100" s="383"/>
      <c r="EI100" s="383"/>
      <c r="EJ100" s="383"/>
      <c r="EK100" s="383"/>
      <c r="EL100" s="383"/>
      <c r="EM100" s="383"/>
      <c r="EN100" s="370"/>
      <c r="EO100" s="370"/>
      <c r="EP100" s="370"/>
      <c r="EQ100" s="370"/>
      <c r="ER100" s="370"/>
      <c r="ES100" s="370"/>
      <c r="ET100" s="383"/>
      <c r="EU100" s="383"/>
      <c r="EV100" s="383"/>
      <c r="EW100" s="383"/>
      <c r="EX100" s="383"/>
      <c r="EY100" s="383"/>
      <c r="EZ100" s="383"/>
      <c r="FA100" s="383"/>
      <c r="FB100" s="383"/>
      <c r="FC100" s="383"/>
      <c r="FD100" s="383"/>
      <c r="FE100" s="383"/>
      <c r="FF100" s="383"/>
      <c r="FG100" s="383"/>
      <c r="FH100" s="383"/>
      <c r="FI100" s="383"/>
      <c r="FJ100" s="383"/>
      <c r="FK100" s="383"/>
      <c r="FL100" s="383"/>
      <c r="FM100" s="383"/>
      <c r="FN100" s="383"/>
      <c r="FO100" s="383"/>
      <c r="FP100" s="383"/>
      <c r="FQ100" s="383"/>
      <c r="FR100" s="383"/>
      <c r="FS100" s="383"/>
      <c r="FT100" s="383"/>
      <c r="FU100" s="383"/>
      <c r="FV100" s="383"/>
      <c r="FW100" s="383"/>
      <c r="FX100" s="383"/>
      <c r="FY100" s="383"/>
      <c r="FZ100" s="383"/>
      <c r="GA100" s="383"/>
      <c r="GB100" s="383"/>
      <c r="GC100" s="383"/>
      <c r="GD100" s="383"/>
      <c r="GE100" s="383"/>
      <c r="GF100" s="383"/>
      <c r="GG100" s="383"/>
      <c r="GH100" s="383"/>
      <c r="GI100" s="383"/>
      <c r="GJ100" s="383"/>
      <c r="GK100" s="383"/>
      <c r="GL100" s="383"/>
      <c r="GM100" s="383"/>
      <c r="GN100" s="383"/>
      <c r="GO100" s="383"/>
      <c r="GP100" s="383"/>
      <c r="GQ100" s="383"/>
      <c r="GR100" s="383"/>
      <c r="GS100" s="383"/>
      <c r="GT100" s="383"/>
      <c r="GU100" s="383"/>
      <c r="GV100" s="383"/>
      <c r="GW100" s="383"/>
      <c r="GX100" s="383"/>
      <c r="GY100" s="383"/>
      <c r="GZ100" s="383"/>
      <c r="HA100" s="383"/>
      <c r="HB100" s="383"/>
      <c r="HC100" s="383"/>
      <c r="HD100" s="383"/>
      <c r="HE100" s="383"/>
      <c r="HF100" s="383"/>
      <c r="HG100" s="383"/>
      <c r="HH100" s="383"/>
    </row>
    <row r="101" spans="1:216" ht="18" customHeight="1">
      <c r="A101" s="395"/>
      <c r="B101" s="423" t="s">
        <v>10008</v>
      </c>
      <c r="C101" s="406"/>
      <c r="D101" s="317" t="s">
        <v>8731</v>
      </c>
      <c r="E101" s="317" t="s">
        <v>10016</v>
      </c>
      <c r="F101" s="383">
        <v>1</v>
      </c>
      <c r="G101" s="383"/>
      <c r="H101" s="370"/>
      <c r="I101" s="317"/>
      <c r="J101" s="384">
        <v>1</v>
      </c>
      <c r="K101" s="384"/>
      <c r="L101" s="384"/>
      <c r="M101" s="397">
        <v>1</v>
      </c>
      <c r="N101" s="397">
        <v>1</v>
      </c>
      <c r="O101" s="397">
        <v>1</v>
      </c>
      <c r="P101" s="384"/>
      <c r="Q101" s="384"/>
      <c r="R101" s="384"/>
      <c r="S101" s="384"/>
      <c r="T101" s="384"/>
      <c r="U101" s="397">
        <v>1</v>
      </c>
      <c r="V101" s="384"/>
      <c r="W101" s="384"/>
      <c r="X101" s="397">
        <v>1</v>
      </c>
      <c r="Y101" s="384"/>
      <c r="Z101" s="384"/>
      <c r="AA101" s="384"/>
      <c r="AB101" s="384"/>
      <c r="AC101" s="384"/>
      <c r="AD101" s="384"/>
      <c r="AE101" s="384"/>
      <c r="AF101" s="384"/>
      <c r="AG101" s="384"/>
      <c r="AH101" s="384"/>
      <c r="AI101" s="384"/>
      <c r="AJ101" s="383"/>
      <c r="AK101" s="383"/>
      <c r="AL101" s="384"/>
      <c r="AM101" s="384"/>
      <c r="AN101" s="384"/>
      <c r="AO101" s="391"/>
      <c r="AP101" s="315"/>
      <c r="AQ101" s="315"/>
      <c r="AR101" s="315"/>
      <c r="AS101" s="315"/>
      <c r="AT101" s="315"/>
      <c r="AU101" s="315"/>
      <c r="AV101" s="315"/>
      <c r="AW101" s="315"/>
      <c r="AX101" s="315"/>
      <c r="AY101" s="315"/>
      <c r="AZ101" s="315"/>
      <c r="BA101" s="315"/>
      <c r="BB101" s="315"/>
      <c r="BC101" s="315"/>
      <c r="BD101" s="315"/>
      <c r="BE101" s="387"/>
      <c r="BF101" s="387"/>
      <c r="BG101" s="387"/>
      <c r="BH101" s="387"/>
      <c r="BI101" s="387"/>
      <c r="BJ101" s="387"/>
      <c r="BK101" s="387"/>
      <c r="BL101" s="387"/>
      <c r="BM101" s="387"/>
      <c r="BN101" s="387"/>
      <c r="BO101" s="387"/>
      <c r="BP101" s="387"/>
      <c r="BQ101" s="387"/>
      <c r="BR101" s="387"/>
      <c r="BS101" s="387"/>
      <c r="BT101" s="387"/>
      <c r="BU101" s="387"/>
      <c r="BV101" s="387"/>
      <c r="BW101" s="387"/>
      <c r="BX101" s="387"/>
      <c r="BY101" s="387"/>
      <c r="BZ101" s="387"/>
      <c r="CA101" s="387"/>
      <c r="CB101" s="387"/>
      <c r="CC101" s="387"/>
      <c r="CD101" s="387"/>
      <c r="CE101" s="387"/>
      <c r="CF101" s="387"/>
      <c r="CG101" s="387"/>
      <c r="CH101" s="387"/>
      <c r="CI101" s="387"/>
      <c r="CJ101" s="387"/>
      <c r="CK101" s="383"/>
      <c r="CL101" s="383"/>
      <c r="CM101" s="383"/>
      <c r="CN101" s="383"/>
      <c r="CO101" s="383"/>
      <c r="CP101" s="383"/>
      <c r="CQ101" s="383"/>
      <c r="CR101" s="388"/>
      <c r="CS101" s="388"/>
      <c r="CT101" s="383"/>
      <c r="CU101" s="383"/>
      <c r="CV101" s="383"/>
      <c r="CW101" s="383"/>
      <c r="CX101" s="383"/>
      <c r="CY101" s="383"/>
      <c r="CZ101" s="383"/>
      <c r="DA101" s="383"/>
      <c r="DB101" s="383"/>
      <c r="DC101" s="383"/>
      <c r="DD101" s="383"/>
      <c r="DE101" s="383"/>
      <c r="DF101" s="383"/>
      <c r="DG101" s="383"/>
      <c r="DH101" s="370"/>
      <c r="DI101" s="370"/>
      <c r="DJ101" s="370"/>
      <c r="DK101" s="370"/>
      <c r="DL101" s="370"/>
      <c r="DM101" s="383"/>
      <c r="DN101" s="383"/>
      <c r="DO101" s="383"/>
      <c r="DP101" s="383"/>
      <c r="DQ101" s="383"/>
      <c r="DR101" s="383"/>
      <c r="DS101" s="370"/>
      <c r="DT101" s="370"/>
      <c r="DU101" s="384"/>
      <c r="DV101" s="384"/>
      <c r="DW101" s="383"/>
      <c r="DX101" s="315"/>
      <c r="DY101" s="315"/>
      <c r="DZ101" s="383"/>
      <c r="EA101" s="383"/>
      <c r="EB101" s="390"/>
      <c r="EC101" s="390"/>
      <c r="ED101" s="383"/>
      <c r="EE101" s="383"/>
      <c r="EF101" s="383"/>
      <c r="EG101" s="383"/>
      <c r="EH101" s="383"/>
      <c r="EI101" s="383"/>
      <c r="EJ101" s="383"/>
      <c r="EK101" s="383"/>
      <c r="EL101" s="383"/>
      <c r="EM101" s="383"/>
      <c r="EN101" s="370"/>
      <c r="EO101" s="370"/>
      <c r="EP101" s="370"/>
      <c r="EQ101" s="370"/>
      <c r="ER101" s="370"/>
      <c r="ES101" s="370"/>
      <c r="ET101" s="383"/>
      <c r="EU101" s="383"/>
      <c r="EV101" s="383"/>
      <c r="EW101" s="383"/>
      <c r="EX101" s="383"/>
      <c r="EY101" s="383"/>
      <c r="EZ101" s="383"/>
      <c r="FA101" s="383"/>
      <c r="FB101" s="383"/>
      <c r="FC101" s="383"/>
      <c r="FD101" s="383"/>
      <c r="FE101" s="383"/>
      <c r="FF101" s="383"/>
      <c r="FG101" s="450">
        <v>1</v>
      </c>
      <c r="FH101" s="450">
        <v>1</v>
      </c>
      <c r="FI101" s="450">
        <v>1</v>
      </c>
      <c r="FJ101" s="450">
        <v>1</v>
      </c>
      <c r="FK101" s="383"/>
      <c r="FL101" s="383"/>
      <c r="FM101" s="383"/>
      <c r="FN101" s="383"/>
      <c r="FO101" s="383"/>
      <c r="FP101" s="383"/>
      <c r="FQ101" s="383"/>
      <c r="FR101" s="383"/>
      <c r="FS101" s="383"/>
      <c r="FT101" s="383"/>
      <c r="FU101" s="383"/>
      <c r="FV101" s="383"/>
      <c r="FW101" s="383"/>
      <c r="FX101" s="383"/>
      <c r="FY101" s="383"/>
      <c r="FZ101" s="383"/>
      <c r="GA101" s="383"/>
      <c r="GB101" s="383"/>
      <c r="GC101" s="383"/>
      <c r="GD101" s="383"/>
      <c r="GE101" s="383"/>
      <c r="GF101" s="383"/>
      <c r="GG101" s="383"/>
      <c r="GH101" s="383"/>
      <c r="GI101" s="383"/>
      <c r="GJ101" s="383"/>
      <c r="GK101" s="383"/>
      <c r="GL101" s="383"/>
      <c r="GM101" s="383"/>
      <c r="GN101" s="383"/>
      <c r="GO101" s="383"/>
      <c r="GP101" s="383"/>
      <c r="GQ101" s="383"/>
      <c r="GR101" s="383"/>
      <c r="GS101" s="383"/>
      <c r="GT101" s="383"/>
      <c r="GU101" s="383"/>
      <c r="GV101" s="383"/>
      <c r="GW101" s="383"/>
      <c r="GX101" s="383"/>
      <c r="GY101" s="383"/>
      <c r="GZ101" s="383"/>
      <c r="HA101" s="383"/>
      <c r="HB101" s="383"/>
      <c r="HC101" s="383"/>
      <c r="HD101" s="383"/>
      <c r="HE101" s="383"/>
      <c r="HF101" s="383"/>
      <c r="HG101" s="383"/>
      <c r="HH101" s="383"/>
    </row>
    <row r="102" spans="1:216" ht="18" customHeight="1">
      <c r="A102" s="395"/>
      <c r="B102" s="314" t="s">
        <v>8734</v>
      </c>
      <c r="C102" s="406"/>
      <c r="D102" s="317" t="s">
        <v>8735</v>
      </c>
      <c r="E102" s="317"/>
      <c r="F102" s="383"/>
      <c r="G102" s="383"/>
      <c r="H102" s="370"/>
      <c r="I102" s="317"/>
      <c r="J102" s="384">
        <v>1</v>
      </c>
      <c r="K102" s="384"/>
      <c r="L102" s="384"/>
      <c r="M102" s="397">
        <v>1</v>
      </c>
      <c r="N102" s="397">
        <v>1</v>
      </c>
      <c r="O102" s="397">
        <v>1</v>
      </c>
      <c r="P102" s="384"/>
      <c r="Q102" s="384"/>
      <c r="R102" s="384"/>
      <c r="S102" s="384"/>
      <c r="T102" s="384"/>
      <c r="U102" s="397">
        <v>1</v>
      </c>
      <c r="V102" s="384"/>
      <c r="W102" s="384"/>
      <c r="X102" s="397">
        <v>1</v>
      </c>
      <c r="Y102" s="384"/>
      <c r="Z102" s="384"/>
      <c r="AA102" s="384"/>
      <c r="AB102" s="384"/>
      <c r="AC102" s="384"/>
      <c r="AD102" s="384"/>
      <c r="AE102" s="384"/>
      <c r="AF102" s="384"/>
      <c r="AG102" s="384"/>
      <c r="AH102" s="384"/>
      <c r="AI102" s="384"/>
      <c r="AJ102" s="383"/>
      <c r="AK102" s="383"/>
      <c r="AL102" s="384"/>
      <c r="AM102" s="384"/>
      <c r="AN102" s="384"/>
      <c r="AO102" s="391"/>
      <c r="AP102" s="315"/>
      <c r="AQ102" s="315"/>
      <c r="AR102" s="315"/>
      <c r="AS102" s="315"/>
      <c r="AT102" s="315"/>
      <c r="AU102" s="315"/>
      <c r="AV102" s="315"/>
      <c r="AW102" s="315"/>
      <c r="AX102" s="315"/>
      <c r="AY102" s="315"/>
      <c r="AZ102" s="315"/>
      <c r="BA102" s="315"/>
      <c r="BB102" s="315"/>
      <c r="BC102" s="315"/>
      <c r="BD102" s="315"/>
      <c r="BE102" s="387"/>
      <c r="BF102" s="387"/>
      <c r="BG102" s="387"/>
      <c r="BH102" s="387"/>
      <c r="BI102" s="387"/>
      <c r="BJ102" s="387"/>
      <c r="BK102" s="387"/>
      <c r="BL102" s="387"/>
      <c r="BM102" s="387"/>
      <c r="BN102" s="387"/>
      <c r="BO102" s="387"/>
      <c r="BP102" s="387"/>
      <c r="BQ102" s="387"/>
      <c r="BR102" s="387"/>
      <c r="BS102" s="387"/>
      <c r="BT102" s="387"/>
      <c r="BU102" s="387"/>
      <c r="BV102" s="387"/>
      <c r="BW102" s="387"/>
      <c r="BX102" s="387"/>
      <c r="BY102" s="387"/>
      <c r="BZ102" s="387"/>
      <c r="CA102" s="387"/>
      <c r="CB102" s="387"/>
      <c r="CC102" s="387"/>
      <c r="CD102" s="387"/>
      <c r="CE102" s="387"/>
      <c r="CF102" s="387"/>
      <c r="CG102" s="387"/>
      <c r="CH102" s="387"/>
      <c r="CI102" s="387"/>
      <c r="CJ102" s="387"/>
      <c r="CK102" s="383"/>
      <c r="CL102" s="383"/>
      <c r="CM102" s="383"/>
      <c r="CN102" s="383"/>
      <c r="CO102" s="383"/>
      <c r="CP102" s="383"/>
      <c r="CQ102" s="383"/>
      <c r="CR102" s="388"/>
      <c r="CS102" s="388"/>
      <c r="CT102" s="383"/>
      <c r="CU102" s="383"/>
      <c r="CV102" s="383"/>
      <c r="CW102" s="383"/>
      <c r="CX102" s="383"/>
      <c r="CY102" s="383"/>
      <c r="CZ102" s="383"/>
      <c r="DA102" s="383"/>
      <c r="DB102" s="383"/>
      <c r="DC102" s="383"/>
      <c r="DD102" s="383"/>
      <c r="DE102" s="383"/>
      <c r="DF102" s="383"/>
      <c r="DG102" s="383"/>
      <c r="DH102" s="370"/>
      <c r="DI102" s="370"/>
      <c r="DJ102" s="370"/>
      <c r="DK102" s="370"/>
      <c r="DL102" s="370"/>
      <c r="DM102" s="383"/>
      <c r="DN102" s="383"/>
      <c r="DO102" s="383"/>
      <c r="DP102" s="383"/>
      <c r="DQ102" s="383"/>
      <c r="DR102" s="383"/>
      <c r="DS102" s="370"/>
      <c r="DT102" s="370"/>
      <c r="DU102" s="384"/>
      <c r="DV102" s="384"/>
      <c r="DW102" s="383"/>
      <c r="DX102" s="315"/>
      <c r="DY102" s="315"/>
      <c r="DZ102" s="383"/>
      <c r="EA102" s="383"/>
      <c r="EB102" s="390"/>
      <c r="EC102" s="390"/>
      <c r="ED102" s="383"/>
      <c r="EE102" s="383"/>
      <c r="EF102" s="383"/>
      <c r="EG102" s="383"/>
      <c r="EH102" s="383"/>
      <c r="EI102" s="383"/>
      <c r="EJ102" s="383"/>
      <c r="EK102" s="383"/>
      <c r="EL102" s="383"/>
      <c r="EM102" s="383"/>
      <c r="EN102" s="370"/>
      <c r="EO102" s="370"/>
      <c r="EP102" s="370"/>
      <c r="EQ102" s="370"/>
      <c r="ER102" s="370"/>
      <c r="ES102" s="370"/>
      <c r="ET102" s="383"/>
      <c r="EU102" s="383"/>
      <c r="EV102" s="383"/>
      <c r="EW102" s="383"/>
      <c r="EX102" s="383"/>
      <c r="EY102" s="383"/>
      <c r="EZ102" s="383"/>
      <c r="FA102" s="383"/>
      <c r="FB102" s="383"/>
      <c r="FC102" s="383"/>
      <c r="FD102" s="383"/>
      <c r="FE102" s="383"/>
      <c r="FF102" s="383"/>
      <c r="FG102" s="383"/>
      <c r="FH102" s="383"/>
      <c r="FI102" s="383"/>
      <c r="FJ102" s="383"/>
      <c r="FK102" s="383"/>
      <c r="FL102" s="383"/>
      <c r="FM102" s="383"/>
      <c r="FN102" s="383"/>
      <c r="FO102" s="383"/>
      <c r="FP102" s="383"/>
      <c r="FQ102" s="383"/>
      <c r="FR102" s="383"/>
      <c r="FS102" s="383"/>
      <c r="FT102" s="383"/>
      <c r="FU102" s="383"/>
      <c r="FV102" s="383"/>
      <c r="FW102" s="383"/>
      <c r="FX102" s="383"/>
      <c r="FY102" s="383"/>
      <c r="FZ102" s="383"/>
      <c r="GA102" s="383"/>
      <c r="GB102" s="383"/>
      <c r="GC102" s="383"/>
      <c r="GD102" s="383"/>
      <c r="GE102" s="383"/>
      <c r="GF102" s="383"/>
      <c r="GG102" s="383"/>
      <c r="GH102" s="383"/>
      <c r="GI102" s="383"/>
      <c r="GJ102" s="383"/>
      <c r="GK102" s="383"/>
      <c r="GL102" s="383"/>
      <c r="GM102" s="383"/>
      <c r="GN102" s="383"/>
      <c r="GO102" s="383"/>
      <c r="GP102" s="383"/>
      <c r="GQ102" s="383"/>
      <c r="GR102" s="383"/>
      <c r="GS102" s="383"/>
      <c r="GT102" s="383"/>
      <c r="GU102" s="383"/>
      <c r="GV102" s="383"/>
      <c r="GW102" s="383"/>
      <c r="GX102" s="383"/>
      <c r="GY102" s="383"/>
      <c r="GZ102" s="383"/>
      <c r="HA102" s="383"/>
      <c r="HB102" s="383"/>
      <c r="HC102" s="383"/>
      <c r="HD102" s="383"/>
      <c r="HE102" s="383"/>
      <c r="HF102" s="383"/>
      <c r="HG102" s="383"/>
      <c r="HH102" s="383"/>
    </row>
    <row r="103" spans="1:216" s="393" customFormat="1" ht="18" customHeight="1">
      <c r="A103" s="395"/>
      <c r="B103" s="314" t="s">
        <v>10689</v>
      </c>
      <c r="C103" s="382"/>
      <c r="D103" s="374"/>
      <c r="E103" s="394"/>
      <c r="F103" s="370"/>
      <c r="G103" s="370"/>
      <c r="H103" s="366"/>
      <c r="I103" s="382"/>
      <c r="J103" s="384">
        <v>1</v>
      </c>
      <c r="K103" s="352"/>
      <c r="L103" s="352"/>
      <c r="M103" s="397">
        <v>1</v>
      </c>
      <c r="N103" s="397">
        <v>1</v>
      </c>
      <c r="O103" s="397">
        <v>1</v>
      </c>
      <c r="P103" s="358"/>
      <c r="Q103" s="358"/>
      <c r="R103" s="384"/>
      <c r="S103" s="384"/>
      <c r="T103" s="384"/>
      <c r="U103" s="397">
        <v>1</v>
      </c>
      <c r="V103" s="384"/>
      <c r="W103" s="384"/>
      <c r="X103" s="397">
        <v>1</v>
      </c>
      <c r="Y103" s="384"/>
      <c r="Z103" s="384"/>
      <c r="AA103" s="384"/>
      <c r="AB103" s="384"/>
      <c r="AC103" s="384"/>
      <c r="AD103" s="384"/>
      <c r="AE103" s="384"/>
      <c r="AF103" s="384"/>
      <c r="AG103" s="384"/>
      <c r="AH103" s="384"/>
      <c r="AI103" s="384"/>
      <c r="AJ103" s="384"/>
      <c r="AK103" s="384"/>
      <c r="AL103" s="384"/>
      <c r="AM103" s="384"/>
      <c r="AN103" s="384"/>
      <c r="AO103" s="391"/>
      <c r="AP103" s="384"/>
      <c r="AQ103" s="384"/>
      <c r="AR103" s="384"/>
      <c r="AS103" s="384"/>
      <c r="AT103" s="384"/>
      <c r="AU103" s="384"/>
      <c r="AV103" s="384"/>
      <c r="AW103" s="384"/>
      <c r="AX103" s="384"/>
      <c r="AY103" s="384"/>
      <c r="AZ103" s="384"/>
      <c r="BA103" s="384"/>
      <c r="BB103" s="384"/>
      <c r="BC103" s="384"/>
      <c r="BD103" s="384"/>
      <c r="BE103" s="387"/>
      <c r="BF103" s="387"/>
      <c r="BG103" s="387"/>
      <c r="BH103" s="387"/>
      <c r="BI103" s="387"/>
      <c r="BJ103" s="387"/>
      <c r="BK103" s="387"/>
      <c r="BL103" s="387"/>
      <c r="BM103" s="387"/>
      <c r="BN103" s="387"/>
      <c r="BO103" s="387"/>
      <c r="BP103" s="387"/>
      <c r="BQ103" s="387"/>
      <c r="BR103" s="387"/>
      <c r="BS103" s="387"/>
      <c r="BT103" s="387"/>
      <c r="BU103" s="387"/>
      <c r="BV103" s="387"/>
      <c r="BW103" s="387"/>
      <c r="BX103" s="387"/>
      <c r="BY103" s="387"/>
      <c r="BZ103" s="387"/>
      <c r="CA103" s="387"/>
      <c r="CB103" s="387"/>
      <c r="CC103" s="387"/>
      <c r="CD103" s="387"/>
      <c r="CE103" s="387"/>
      <c r="CF103" s="387"/>
      <c r="CG103" s="387"/>
      <c r="CH103" s="387"/>
      <c r="CI103" s="387"/>
      <c r="CJ103" s="387"/>
      <c r="CK103" s="370"/>
      <c r="CL103" s="370"/>
      <c r="CM103" s="370"/>
      <c r="CN103" s="370"/>
      <c r="CO103" s="370"/>
      <c r="CP103" s="370"/>
      <c r="CQ103" s="370"/>
      <c r="CR103" s="390"/>
      <c r="CS103" s="390"/>
      <c r="CT103" s="370"/>
      <c r="CU103" s="370"/>
      <c r="CV103" s="370"/>
      <c r="CW103" s="370"/>
      <c r="CX103" s="370"/>
      <c r="CY103" s="370"/>
      <c r="CZ103" s="370"/>
      <c r="DA103" s="370"/>
      <c r="DB103" s="370"/>
      <c r="DC103" s="370"/>
      <c r="DD103" s="370"/>
      <c r="DE103" s="370"/>
      <c r="DF103" s="370"/>
      <c r="DG103" s="370"/>
      <c r="DH103" s="370"/>
      <c r="DI103" s="370"/>
      <c r="DJ103" s="370"/>
      <c r="DK103" s="370"/>
      <c r="DL103" s="370"/>
      <c r="DM103" s="383"/>
      <c r="DN103" s="383"/>
      <c r="DO103" s="370"/>
      <c r="DP103" s="370"/>
      <c r="DQ103" s="370"/>
      <c r="DR103" s="370"/>
      <c r="DS103" s="383"/>
      <c r="DT103" s="383"/>
      <c r="DU103" s="384"/>
      <c r="DV103" s="384"/>
      <c r="DW103" s="370"/>
      <c r="DX103" s="384"/>
      <c r="DY103" s="384"/>
      <c r="DZ103" s="370"/>
      <c r="EA103" s="370"/>
      <c r="EB103" s="390"/>
      <c r="EC103" s="390"/>
      <c r="ED103" s="370"/>
      <c r="EE103" s="370"/>
      <c r="EF103" s="370"/>
      <c r="EG103" s="370"/>
      <c r="EH103" s="370"/>
      <c r="EI103" s="370"/>
      <c r="EJ103" s="370"/>
      <c r="EK103" s="370"/>
      <c r="EL103" s="370"/>
      <c r="EM103" s="370"/>
      <c r="EN103" s="370"/>
      <c r="EO103" s="370"/>
      <c r="EP103" s="370"/>
      <c r="EQ103" s="370"/>
      <c r="ER103" s="370"/>
      <c r="ES103" s="370"/>
      <c r="ET103" s="370"/>
      <c r="EU103" s="370"/>
      <c r="EV103" s="370"/>
      <c r="EW103" s="370"/>
      <c r="EX103" s="370"/>
      <c r="EY103" s="370"/>
      <c r="EZ103" s="370"/>
      <c r="FA103" s="370"/>
      <c r="FB103" s="370"/>
      <c r="FC103" s="370"/>
      <c r="FD103" s="370"/>
      <c r="FE103" s="370"/>
      <c r="FF103" s="370"/>
      <c r="FG103" s="370"/>
      <c r="FH103" s="370"/>
      <c r="FI103" s="370"/>
      <c r="FJ103" s="370"/>
      <c r="FK103" s="370"/>
      <c r="FL103" s="370"/>
      <c r="FM103" s="370"/>
      <c r="FN103" s="370"/>
      <c r="FO103" s="370"/>
      <c r="FP103" s="370"/>
      <c r="FQ103" s="370"/>
      <c r="FR103" s="370"/>
      <c r="FS103" s="370"/>
      <c r="FT103" s="370"/>
      <c r="FU103" s="370"/>
      <c r="FV103" s="370"/>
      <c r="FW103" s="370"/>
      <c r="FX103" s="370"/>
      <c r="FY103" s="370"/>
      <c r="FZ103" s="370"/>
      <c r="GA103" s="370"/>
      <c r="GB103" s="370"/>
      <c r="GC103" s="370"/>
      <c r="GD103" s="370"/>
      <c r="GE103" s="370"/>
      <c r="GF103" s="370"/>
      <c r="GG103" s="370"/>
      <c r="GH103" s="370"/>
      <c r="GI103" s="370"/>
      <c r="GJ103" s="370"/>
      <c r="GK103" s="370"/>
      <c r="GL103" s="370"/>
      <c r="GM103" s="370"/>
      <c r="GN103" s="370"/>
      <c r="GO103" s="370"/>
      <c r="GP103" s="370"/>
      <c r="GQ103" s="370"/>
      <c r="GR103" s="370"/>
      <c r="GS103" s="370"/>
      <c r="GT103" s="370"/>
      <c r="GU103" s="370"/>
      <c r="GV103" s="370"/>
      <c r="GW103" s="370"/>
      <c r="GX103" s="370"/>
      <c r="GY103" s="370"/>
      <c r="GZ103" s="370"/>
      <c r="HA103" s="370"/>
      <c r="HB103" s="370"/>
      <c r="HC103" s="370"/>
      <c r="HD103" s="370"/>
      <c r="HE103" s="370"/>
      <c r="HF103" s="370"/>
      <c r="HG103" s="370"/>
      <c r="HH103" s="370"/>
    </row>
    <row r="104" spans="1:216" s="393" customFormat="1" ht="18" customHeight="1">
      <c r="A104" s="395"/>
      <c r="B104" s="314" t="s">
        <v>323</v>
      </c>
      <c r="C104" s="382"/>
      <c r="D104" s="374"/>
      <c r="E104" s="394"/>
      <c r="F104" s="370"/>
      <c r="G104" s="370"/>
      <c r="H104" s="366"/>
      <c r="I104" s="382"/>
      <c r="J104" s="384">
        <v>1</v>
      </c>
      <c r="K104" s="352"/>
      <c r="L104" s="352"/>
      <c r="M104" s="397">
        <v>1</v>
      </c>
      <c r="N104" s="397">
        <v>1</v>
      </c>
      <c r="O104" s="397">
        <v>1</v>
      </c>
      <c r="P104" s="358"/>
      <c r="Q104" s="358"/>
      <c r="R104" s="384"/>
      <c r="S104" s="384"/>
      <c r="T104" s="384"/>
      <c r="U104" s="397">
        <v>1</v>
      </c>
      <c r="V104" s="384"/>
      <c r="W104" s="384"/>
      <c r="X104" s="397">
        <v>1</v>
      </c>
      <c r="Y104" s="384"/>
      <c r="Z104" s="384"/>
      <c r="AA104" s="384"/>
      <c r="AB104" s="384"/>
      <c r="AC104" s="384"/>
      <c r="AD104" s="384"/>
      <c r="AE104" s="384"/>
      <c r="AF104" s="384"/>
      <c r="AG104" s="384"/>
      <c r="AH104" s="384"/>
      <c r="AI104" s="384"/>
      <c r="AJ104" s="384"/>
      <c r="AK104" s="384"/>
      <c r="AL104" s="384"/>
      <c r="AM104" s="384"/>
      <c r="AN104" s="384"/>
      <c r="AO104" s="391"/>
      <c r="AP104" s="384"/>
      <c r="AQ104" s="384"/>
      <c r="AR104" s="384"/>
      <c r="AS104" s="384"/>
      <c r="AT104" s="384"/>
      <c r="AU104" s="384"/>
      <c r="AV104" s="384"/>
      <c r="AW104" s="384"/>
      <c r="AX104" s="384"/>
      <c r="AY104" s="384"/>
      <c r="AZ104" s="384"/>
      <c r="BA104" s="384"/>
      <c r="BB104" s="384"/>
      <c r="BC104" s="384"/>
      <c r="BD104" s="384"/>
      <c r="BE104" s="387"/>
      <c r="BF104" s="387"/>
      <c r="BG104" s="387"/>
      <c r="BH104" s="387"/>
      <c r="BI104" s="387"/>
      <c r="BJ104" s="387"/>
      <c r="BK104" s="387"/>
      <c r="BL104" s="387"/>
      <c r="BM104" s="387"/>
      <c r="BN104" s="387"/>
      <c r="BO104" s="387"/>
      <c r="BP104" s="387"/>
      <c r="BQ104" s="387"/>
      <c r="BR104" s="387"/>
      <c r="BS104" s="387"/>
      <c r="BT104" s="387"/>
      <c r="BU104" s="387"/>
      <c r="BV104" s="387"/>
      <c r="BW104" s="387"/>
      <c r="BX104" s="387"/>
      <c r="BY104" s="387"/>
      <c r="BZ104" s="387"/>
      <c r="CA104" s="387"/>
      <c r="CB104" s="387"/>
      <c r="CC104" s="387"/>
      <c r="CD104" s="387"/>
      <c r="CE104" s="387"/>
      <c r="CF104" s="387"/>
      <c r="CG104" s="387"/>
      <c r="CH104" s="387"/>
      <c r="CI104" s="387"/>
      <c r="CJ104" s="387"/>
      <c r="CK104" s="370"/>
      <c r="CL104" s="370"/>
      <c r="CM104" s="370"/>
      <c r="CN104" s="370"/>
      <c r="CO104" s="370"/>
      <c r="CP104" s="370"/>
      <c r="CQ104" s="370"/>
      <c r="CR104" s="390"/>
      <c r="CS104" s="390"/>
      <c r="CT104" s="370"/>
      <c r="CU104" s="370"/>
      <c r="CV104" s="370"/>
      <c r="CW104" s="370"/>
      <c r="CX104" s="370"/>
      <c r="CY104" s="370"/>
      <c r="CZ104" s="370"/>
      <c r="DA104" s="370"/>
      <c r="DB104" s="370"/>
      <c r="DC104" s="370"/>
      <c r="DD104" s="370"/>
      <c r="DE104" s="370"/>
      <c r="DF104" s="370"/>
      <c r="DG104" s="370"/>
      <c r="DH104" s="370"/>
      <c r="DI104" s="370"/>
      <c r="DJ104" s="370"/>
      <c r="DK104" s="370"/>
      <c r="DL104" s="370"/>
      <c r="DM104" s="383"/>
      <c r="DN104" s="383"/>
      <c r="DO104" s="370"/>
      <c r="DP104" s="370"/>
      <c r="DQ104" s="370"/>
      <c r="DR104" s="370"/>
      <c r="DS104" s="383"/>
      <c r="DT104" s="383"/>
      <c r="DU104" s="384"/>
      <c r="DV104" s="384"/>
      <c r="DW104" s="370"/>
      <c r="DX104" s="384"/>
      <c r="DY104" s="384"/>
      <c r="DZ104" s="370"/>
      <c r="EA104" s="370"/>
      <c r="EB104" s="390"/>
      <c r="EC104" s="390"/>
      <c r="ED104" s="370"/>
      <c r="EE104" s="370"/>
      <c r="EF104" s="370"/>
      <c r="EG104" s="370"/>
      <c r="EH104" s="370"/>
      <c r="EI104" s="370"/>
      <c r="EJ104" s="370"/>
      <c r="EK104" s="370"/>
      <c r="EL104" s="370"/>
      <c r="EM104" s="370"/>
      <c r="EN104" s="370"/>
      <c r="EO104" s="370"/>
      <c r="EP104" s="370"/>
      <c r="EQ104" s="370"/>
      <c r="ER104" s="370"/>
      <c r="ES104" s="370"/>
      <c r="ET104" s="370"/>
      <c r="EU104" s="370"/>
      <c r="EV104" s="370"/>
      <c r="EW104" s="370"/>
      <c r="EX104" s="370"/>
      <c r="EY104" s="370"/>
      <c r="EZ104" s="370"/>
      <c r="FA104" s="370"/>
      <c r="FB104" s="370"/>
      <c r="FC104" s="370"/>
      <c r="FD104" s="370"/>
      <c r="FE104" s="370"/>
      <c r="FF104" s="450">
        <v>1</v>
      </c>
      <c r="FG104" s="370"/>
      <c r="FH104" s="370"/>
      <c r="FI104" s="370"/>
      <c r="FJ104" s="370"/>
      <c r="FK104" s="370"/>
      <c r="FL104" s="370"/>
      <c r="FM104" s="370"/>
      <c r="FN104" s="370"/>
      <c r="FO104" s="370"/>
      <c r="FP104" s="370"/>
      <c r="FQ104" s="370"/>
      <c r="FR104" s="370"/>
      <c r="FS104" s="370"/>
      <c r="FT104" s="370"/>
      <c r="FU104" s="370"/>
      <c r="FV104" s="370"/>
      <c r="FW104" s="370"/>
      <c r="FX104" s="370"/>
      <c r="FY104" s="370"/>
      <c r="FZ104" s="370"/>
      <c r="GA104" s="370"/>
      <c r="GB104" s="370"/>
      <c r="GC104" s="370"/>
      <c r="GD104" s="370"/>
      <c r="GE104" s="370"/>
      <c r="GF104" s="370"/>
      <c r="GG104" s="370"/>
      <c r="GH104" s="370"/>
      <c r="GI104" s="370"/>
      <c r="GJ104" s="370"/>
      <c r="GK104" s="370"/>
      <c r="GL104" s="370"/>
      <c r="GM104" s="370"/>
      <c r="GN104" s="370"/>
      <c r="GO104" s="370"/>
      <c r="GP104" s="370"/>
      <c r="GQ104" s="370"/>
      <c r="GR104" s="370"/>
      <c r="GS104" s="370"/>
      <c r="GT104" s="370"/>
      <c r="GU104" s="370"/>
      <c r="GV104" s="370"/>
      <c r="GW104" s="370"/>
      <c r="GX104" s="370"/>
      <c r="GY104" s="370"/>
      <c r="GZ104" s="370"/>
      <c r="HA104" s="370"/>
      <c r="HB104" s="370"/>
      <c r="HC104" s="370"/>
      <c r="HD104" s="370"/>
      <c r="HE104" s="370"/>
      <c r="HF104" s="370"/>
      <c r="HG104" s="370"/>
      <c r="HH104" s="370"/>
    </row>
    <row r="105" spans="1:216" s="393" customFormat="1" ht="18" customHeight="1">
      <c r="A105" s="395"/>
      <c r="B105" s="475" t="s">
        <v>10120</v>
      </c>
      <c r="C105" s="382"/>
      <c r="D105" s="374"/>
      <c r="E105" s="394"/>
      <c r="F105" s="370"/>
      <c r="G105" s="370"/>
      <c r="H105" s="366"/>
      <c r="I105" s="382"/>
      <c r="J105" s="384">
        <v>1</v>
      </c>
      <c r="K105" s="352"/>
      <c r="L105" s="352"/>
      <c r="M105" s="397">
        <v>1</v>
      </c>
      <c r="N105" s="358"/>
      <c r="O105" s="358"/>
      <c r="P105" s="358"/>
      <c r="Q105" s="358"/>
      <c r="R105" s="384"/>
      <c r="S105" s="384"/>
      <c r="T105" s="384"/>
      <c r="U105" s="397">
        <v>1</v>
      </c>
      <c r="V105" s="384"/>
      <c r="W105" s="384"/>
      <c r="X105" s="397">
        <v>1</v>
      </c>
      <c r="Y105" s="384"/>
      <c r="Z105" s="384"/>
      <c r="AA105" s="384"/>
      <c r="AB105" s="384"/>
      <c r="AC105" s="384"/>
      <c r="AD105" s="384"/>
      <c r="AE105" s="384"/>
      <c r="AF105" s="384"/>
      <c r="AG105" s="384"/>
      <c r="AH105" s="384"/>
      <c r="AI105" s="384"/>
      <c r="AJ105" s="384"/>
      <c r="AK105" s="384"/>
      <c r="AL105" s="384"/>
      <c r="AM105" s="384"/>
      <c r="AN105" s="384"/>
      <c r="AO105" s="391"/>
      <c r="AP105" s="384"/>
      <c r="AQ105" s="384"/>
      <c r="AR105" s="384"/>
      <c r="AS105" s="384"/>
      <c r="AT105" s="384"/>
      <c r="AU105" s="384"/>
      <c r="AV105" s="384"/>
      <c r="AW105" s="384"/>
      <c r="AX105" s="384"/>
      <c r="AY105" s="384"/>
      <c r="AZ105" s="384"/>
      <c r="BA105" s="384"/>
      <c r="BB105" s="384"/>
      <c r="BC105" s="384"/>
      <c r="BD105" s="384"/>
      <c r="BE105" s="387"/>
      <c r="BF105" s="387"/>
      <c r="BG105" s="387"/>
      <c r="BH105" s="387"/>
      <c r="BI105" s="387"/>
      <c r="BJ105" s="387"/>
      <c r="BK105" s="387"/>
      <c r="BL105" s="387"/>
      <c r="BM105" s="387"/>
      <c r="BN105" s="387"/>
      <c r="BO105" s="387"/>
      <c r="BP105" s="387"/>
      <c r="BQ105" s="387"/>
      <c r="BR105" s="387"/>
      <c r="BS105" s="387"/>
      <c r="BT105" s="387"/>
      <c r="BU105" s="387"/>
      <c r="BV105" s="387"/>
      <c r="BW105" s="387"/>
      <c r="BX105" s="387"/>
      <c r="BY105" s="387"/>
      <c r="BZ105" s="387"/>
      <c r="CA105" s="387"/>
      <c r="CB105" s="387"/>
      <c r="CC105" s="387"/>
      <c r="CD105" s="387"/>
      <c r="CE105" s="387"/>
      <c r="CF105" s="387"/>
      <c r="CG105" s="387"/>
      <c r="CH105" s="387"/>
      <c r="CI105" s="387"/>
      <c r="CJ105" s="387"/>
      <c r="CK105" s="370"/>
      <c r="CL105" s="370"/>
      <c r="CM105" s="370"/>
      <c r="CN105" s="370"/>
      <c r="CO105" s="370"/>
      <c r="CP105" s="370"/>
      <c r="CQ105" s="370"/>
      <c r="CR105" s="390"/>
      <c r="CS105" s="390"/>
      <c r="CT105" s="370"/>
      <c r="CU105" s="370"/>
      <c r="CV105" s="370"/>
      <c r="CW105" s="370"/>
      <c r="CX105" s="370"/>
      <c r="CY105" s="370"/>
      <c r="CZ105" s="370"/>
      <c r="DA105" s="370"/>
      <c r="DB105" s="370"/>
      <c r="DC105" s="370"/>
      <c r="DD105" s="370"/>
      <c r="DE105" s="370"/>
      <c r="DF105" s="370"/>
      <c r="DG105" s="370"/>
      <c r="DH105" s="450">
        <v>1</v>
      </c>
      <c r="DI105" s="450">
        <v>1</v>
      </c>
      <c r="DJ105" s="370"/>
      <c r="DK105" s="370"/>
      <c r="DL105" s="370"/>
      <c r="DM105" s="383"/>
      <c r="DN105" s="383"/>
      <c r="DO105" s="370"/>
      <c r="DP105" s="370"/>
      <c r="DQ105" s="370"/>
      <c r="DR105" s="370"/>
      <c r="DS105" s="383"/>
      <c r="DT105" s="383"/>
      <c r="DU105" s="384"/>
      <c r="DV105" s="384"/>
      <c r="DW105" s="370"/>
      <c r="DX105" s="384"/>
      <c r="DY105" s="384"/>
      <c r="DZ105" s="370"/>
      <c r="EA105" s="370"/>
      <c r="EB105" s="390"/>
      <c r="EC105" s="390"/>
      <c r="ED105" s="370"/>
      <c r="EE105" s="370"/>
      <c r="EF105" s="370"/>
      <c r="EG105" s="370"/>
      <c r="EH105" s="370"/>
      <c r="EI105" s="370"/>
      <c r="EJ105" s="370"/>
      <c r="EK105" s="370"/>
      <c r="EL105" s="370"/>
      <c r="EM105" s="370"/>
      <c r="EN105" s="370"/>
      <c r="EO105" s="370"/>
      <c r="EP105" s="370"/>
      <c r="EQ105" s="370"/>
      <c r="ER105" s="370"/>
      <c r="ES105" s="370"/>
      <c r="ET105" s="370"/>
      <c r="EU105" s="370"/>
      <c r="EV105" s="370"/>
      <c r="EW105" s="370"/>
      <c r="EX105" s="370"/>
      <c r="EY105" s="370"/>
      <c r="EZ105" s="370"/>
      <c r="FA105" s="370"/>
      <c r="FB105" s="370"/>
      <c r="FC105" s="370"/>
      <c r="FD105" s="370"/>
      <c r="FE105" s="370"/>
      <c r="FF105" s="370"/>
      <c r="FG105" s="450">
        <v>1</v>
      </c>
      <c r="FH105" s="450">
        <v>1</v>
      </c>
      <c r="FI105" s="450">
        <v>1</v>
      </c>
      <c r="FJ105" s="450">
        <v>1</v>
      </c>
      <c r="FK105" s="370"/>
      <c r="FL105" s="370"/>
      <c r="FM105" s="370"/>
      <c r="FN105" s="370"/>
      <c r="FO105" s="370"/>
      <c r="FP105" s="370"/>
      <c r="FQ105" s="370"/>
      <c r="FR105" s="370"/>
      <c r="FS105" s="370"/>
      <c r="FT105" s="370"/>
      <c r="FU105" s="370"/>
      <c r="FV105" s="370"/>
      <c r="FW105" s="370"/>
      <c r="FX105" s="370"/>
      <c r="FY105" s="370"/>
      <c r="FZ105" s="370"/>
      <c r="GA105" s="370"/>
      <c r="GB105" s="370"/>
      <c r="GC105" s="370"/>
      <c r="GD105" s="370"/>
      <c r="GE105" s="370"/>
      <c r="GF105" s="370"/>
      <c r="GG105" s="370"/>
      <c r="GH105" s="370"/>
      <c r="GI105" s="370"/>
      <c r="GJ105" s="370"/>
      <c r="GK105" s="370"/>
      <c r="GL105" s="370"/>
      <c r="GM105" s="370"/>
      <c r="GN105" s="370"/>
      <c r="GO105" s="370"/>
      <c r="GP105" s="370"/>
      <c r="GQ105" s="370"/>
      <c r="GR105" s="370"/>
      <c r="GS105" s="370"/>
      <c r="GT105" s="370"/>
      <c r="GU105" s="370"/>
      <c r="GV105" s="370"/>
      <c r="GW105" s="370"/>
      <c r="GX105" s="370"/>
      <c r="GY105" s="370"/>
      <c r="GZ105" s="370"/>
      <c r="HA105" s="370"/>
      <c r="HB105" s="370"/>
      <c r="HC105" s="370"/>
      <c r="HD105" s="370"/>
      <c r="HE105" s="370"/>
      <c r="HF105" s="370"/>
      <c r="HG105" s="370"/>
      <c r="HH105" s="370"/>
    </row>
    <row r="106" spans="1:216" s="393" customFormat="1" ht="18" customHeight="1">
      <c r="A106" s="395"/>
      <c r="B106" s="475" t="s">
        <v>360</v>
      </c>
      <c r="C106" s="382"/>
      <c r="D106" s="374"/>
      <c r="E106" s="394"/>
      <c r="F106" s="370"/>
      <c r="G106" s="370"/>
      <c r="H106" s="366"/>
      <c r="I106" s="382" t="s">
        <v>363</v>
      </c>
      <c r="J106" s="384">
        <v>1</v>
      </c>
      <c r="K106" s="352"/>
      <c r="L106" s="352"/>
      <c r="M106" s="397">
        <v>1</v>
      </c>
      <c r="N106" s="358"/>
      <c r="O106" s="358"/>
      <c r="P106" s="358"/>
      <c r="Q106" s="358"/>
      <c r="R106" s="384"/>
      <c r="S106" s="384"/>
      <c r="T106" s="384"/>
      <c r="U106" s="397">
        <v>1</v>
      </c>
      <c r="V106" s="384"/>
      <c r="W106" s="384"/>
      <c r="X106" s="397">
        <v>1</v>
      </c>
      <c r="Y106" s="384"/>
      <c r="Z106" s="384"/>
      <c r="AA106" s="384"/>
      <c r="AB106" s="384"/>
      <c r="AC106" s="384"/>
      <c r="AD106" s="384"/>
      <c r="AE106" s="384"/>
      <c r="AF106" s="384"/>
      <c r="AG106" s="384"/>
      <c r="AH106" s="384"/>
      <c r="AI106" s="384"/>
      <c r="AJ106" s="384"/>
      <c r="AK106" s="384"/>
      <c r="AL106" s="384"/>
      <c r="AM106" s="384"/>
      <c r="AN106" s="384"/>
      <c r="AO106" s="391"/>
      <c r="AP106" s="384"/>
      <c r="AQ106" s="384"/>
      <c r="AR106" s="384"/>
      <c r="AS106" s="384"/>
      <c r="AT106" s="384"/>
      <c r="AU106" s="384"/>
      <c r="AV106" s="384"/>
      <c r="AW106" s="384"/>
      <c r="AX106" s="384"/>
      <c r="AY106" s="384"/>
      <c r="AZ106" s="384"/>
      <c r="BA106" s="384"/>
      <c r="BB106" s="384"/>
      <c r="BC106" s="384"/>
      <c r="BD106" s="384"/>
      <c r="BE106" s="387"/>
      <c r="BF106" s="387"/>
      <c r="BG106" s="387"/>
      <c r="BH106" s="387"/>
      <c r="BI106" s="387"/>
      <c r="BJ106" s="387"/>
      <c r="BK106" s="387"/>
      <c r="BL106" s="387"/>
      <c r="BM106" s="387"/>
      <c r="BN106" s="387"/>
      <c r="BO106" s="387"/>
      <c r="BP106" s="387"/>
      <c r="BQ106" s="387"/>
      <c r="BR106" s="387"/>
      <c r="BS106" s="387"/>
      <c r="BT106" s="387"/>
      <c r="BU106" s="387"/>
      <c r="BV106" s="387"/>
      <c r="BW106" s="387"/>
      <c r="BX106" s="387"/>
      <c r="BY106" s="387"/>
      <c r="BZ106" s="387"/>
      <c r="CA106" s="387"/>
      <c r="CB106" s="387"/>
      <c r="CC106" s="387"/>
      <c r="CD106" s="387"/>
      <c r="CE106" s="387"/>
      <c r="CF106" s="387"/>
      <c r="CG106" s="387"/>
      <c r="CH106" s="387"/>
      <c r="CI106" s="387"/>
      <c r="CJ106" s="387"/>
      <c r="CK106" s="370"/>
      <c r="CL106" s="370"/>
      <c r="CM106" s="370"/>
      <c r="CN106" s="370"/>
      <c r="CO106" s="370"/>
      <c r="CP106" s="370"/>
      <c r="CQ106" s="370"/>
      <c r="CR106" s="390"/>
      <c r="CS106" s="390"/>
      <c r="CT106" s="370"/>
      <c r="CU106" s="370"/>
      <c r="CV106" s="370"/>
      <c r="CW106" s="370"/>
      <c r="CX106" s="370"/>
      <c r="CY106" s="370"/>
      <c r="CZ106" s="370"/>
      <c r="DA106" s="370"/>
      <c r="DB106" s="370"/>
      <c r="DC106" s="370"/>
      <c r="DD106" s="370"/>
      <c r="DE106" s="370"/>
      <c r="DF106" s="370"/>
      <c r="DG106" s="370"/>
      <c r="DH106" s="450">
        <v>1</v>
      </c>
      <c r="DI106" s="450">
        <v>1</v>
      </c>
      <c r="DJ106" s="370"/>
      <c r="DK106" s="370"/>
      <c r="DL106" s="370"/>
      <c r="DM106" s="383"/>
      <c r="DN106" s="383"/>
      <c r="DO106" s="370"/>
      <c r="DP106" s="370"/>
      <c r="DQ106" s="370"/>
      <c r="DR106" s="370"/>
      <c r="DS106" s="383"/>
      <c r="DT106" s="383"/>
      <c r="DU106" s="384"/>
      <c r="DV106" s="384"/>
      <c r="DW106" s="370"/>
      <c r="DX106" s="384"/>
      <c r="DY106" s="384"/>
      <c r="DZ106" s="370"/>
      <c r="EA106" s="370"/>
      <c r="EB106" s="390"/>
      <c r="EC106" s="390"/>
      <c r="ED106" s="370"/>
      <c r="EE106" s="370"/>
      <c r="EF106" s="370"/>
      <c r="EG106" s="370"/>
      <c r="EH106" s="370"/>
      <c r="EI106" s="370"/>
      <c r="EJ106" s="370"/>
      <c r="EK106" s="370"/>
      <c r="EL106" s="370"/>
      <c r="EM106" s="370"/>
      <c r="EN106" s="370"/>
      <c r="EO106" s="370"/>
      <c r="EP106" s="370"/>
      <c r="EQ106" s="370"/>
      <c r="ER106" s="370"/>
      <c r="ES106" s="370"/>
      <c r="ET106" s="370"/>
      <c r="EU106" s="370"/>
      <c r="EV106" s="370"/>
      <c r="EW106" s="370"/>
      <c r="EX106" s="370"/>
      <c r="EY106" s="370"/>
      <c r="EZ106" s="370"/>
      <c r="FA106" s="370"/>
      <c r="FB106" s="370"/>
      <c r="FC106" s="370"/>
      <c r="FD106" s="370"/>
      <c r="FE106" s="370"/>
      <c r="FF106" s="450">
        <v>1</v>
      </c>
      <c r="FG106" s="370"/>
      <c r="FH106" s="370"/>
      <c r="FI106" s="654"/>
      <c r="FJ106" s="370"/>
      <c r="FK106" s="370"/>
      <c r="FL106" s="370"/>
      <c r="FM106" s="370"/>
      <c r="FN106" s="370"/>
      <c r="FO106" s="370"/>
      <c r="FP106" s="370"/>
      <c r="FQ106" s="370"/>
      <c r="FR106" s="370"/>
      <c r="FS106" s="370"/>
      <c r="FT106" s="370"/>
      <c r="FU106" s="370"/>
      <c r="FV106" s="370"/>
      <c r="FW106" s="370"/>
      <c r="FX106" s="370"/>
      <c r="FY106" s="370"/>
      <c r="FZ106" s="370"/>
      <c r="GA106" s="370"/>
      <c r="GB106" s="370"/>
      <c r="GC106" s="370"/>
      <c r="GD106" s="370"/>
      <c r="GE106" s="370"/>
      <c r="GF106" s="370"/>
      <c r="GG106" s="370"/>
      <c r="GH106" s="370"/>
      <c r="GI106" s="370"/>
      <c r="GJ106" s="370"/>
      <c r="GK106" s="370"/>
      <c r="GL106" s="370"/>
      <c r="GM106" s="370"/>
      <c r="GN106" s="370"/>
      <c r="GO106" s="370"/>
      <c r="GP106" s="370"/>
      <c r="GQ106" s="370"/>
      <c r="GR106" s="370"/>
      <c r="GS106" s="370"/>
      <c r="GT106" s="370"/>
      <c r="GU106" s="370"/>
      <c r="GV106" s="370"/>
      <c r="GW106" s="370"/>
      <c r="GX106" s="370"/>
      <c r="GY106" s="370"/>
      <c r="GZ106" s="370"/>
      <c r="HA106" s="370"/>
      <c r="HB106" s="370"/>
      <c r="HC106" s="370"/>
      <c r="HD106" s="370"/>
      <c r="HE106" s="370"/>
      <c r="HF106" s="370"/>
      <c r="HG106" s="370"/>
      <c r="HH106" s="370"/>
    </row>
    <row r="107" spans="1:216" s="393" customFormat="1" ht="18" customHeight="1">
      <c r="A107" s="395"/>
      <c r="B107" s="475" t="s">
        <v>11748</v>
      </c>
      <c r="C107" s="382"/>
      <c r="D107" s="374"/>
      <c r="E107" s="394"/>
      <c r="F107" s="370"/>
      <c r="G107" s="370"/>
      <c r="H107" s="366"/>
      <c r="I107" s="382"/>
      <c r="J107" s="650">
        <v>1</v>
      </c>
      <c r="K107" s="649"/>
      <c r="L107" s="649"/>
      <c r="M107" s="397">
        <v>1</v>
      </c>
      <c r="N107" s="358"/>
      <c r="O107" s="358"/>
      <c r="P107" s="358"/>
      <c r="Q107" s="358"/>
      <c r="R107" s="650"/>
      <c r="S107" s="650"/>
      <c r="T107" s="650"/>
      <c r="U107" s="397">
        <v>1</v>
      </c>
      <c r="V107" s="650"/>
      <c r="W107" s="650"/>
      <c r="X107" s="397">
        <v>1</v>
      </c>
      <c r="Y107" s="650"/>
      <c r="Z107" s="650"/>
      <c r="AA107" s="650"/>
      <c r="AB107" s="650"/>
      <c r="AC107" s="650"/>
      <c r="AD107" s="650"/>
      <c r="AE107" s="650"/>
      <c r="AF107" s="650"/>
      <c r="AG107" s="650"/>
      <c r="AH107" s="650"/>
      <c r="AI107" s="650"/>
      <c r="AJ107" s="650"/>
      <c r="AK107" s="650"/>
      <c r="AL107" s="650"/>
      <c r="AM107" s="650"/>
      <c r="AN107" s="650"/>
      <c r="AO107" s="391"/>
      <c r="AP107" s="650"/>
      <c r="AQ107" s="650"/>
      <c r="AR107" s="650"/>
      <c r="AS107" s="650"/>
      <c r="AT107" s="650"/>
      <c r="AU107" s="650"/>
      <c r="AV107" s="650"/>
      <c r="AW107" s="650"/>
      <c r="AX107" s="650"/>
      <c r="AY107" s="650"/>
      <c r="AZ107" s="650"/>
      <c r="BA107" s="650"/>
      <c r="BB107" s="650"/>
      <c r="BC107" s="650"/>
      <c r="BD107" s="650"/>
      <c r="BE107" s="387"/>
      <c r="BF107" s="387"/>
      <c r="BG107" s="387"/>
      <c r="BH107" s="387"/>
      <c r="BI107" s="387"/>
      <c r="BJ107" s="387"/>
      <c r="BK107" s="387"/>
      <c r="BL107" s="387"/>
      <c r="BM107" s="387"/>
      <c r="BN107" s="387"/>
      <c r="BO107" s="387"/>
      <c r="BP107" s="387"/>
      <c r="BQ107" s="387"/>
      <c r="BR107" s="387"/>
      <c r="BS107" s="387"/>
      <c r="BT107" s="387"/>
      <c r="BU107" s="387"/>
      <c r="BV107" s="387"/>
      <c r="BW107" s="387"/>
      <c r="BX107" s="387"/>
      <c r="BY107" s="387"/>
      <c r="BZ107" s="387"/>
      <c r="CA107" s="387"/>
      <c r="CB107" s="387"/>
      <c r="CC107" s="387"/>
      <c r="CD107" s="387"/>
      <c r="CE107" s="387"/>
      <c r="CF107" s="387"/>
      <c r="CG107" s="387"/>
      <c r="CH107" s="387"/>
      <c r="CI107" s="387"/>
      <c r="CJ107" s="387"/>
      <c r="CK107" s="370"/>
      <c r="CL107" s="370"/>
      <c r="CM107" s="370"/>
      <c r="CN107" s="370"/>
      <c r="CO107" s="370"/>
      <c r="CP107" s="370"/>
      <c r="CQ107" s="370"/>
      <c r="CR107" s="390"/>
      <c r="CS107" s="390"/>
      <c r="CT107" s="370"/>
      <c r="CU107" s="370"/>
      <c r="CV107" s="370"/>
      <c r="CW107" s="370"/>
      <c r="CX107" s="370"/>
      <c r="CY107" s="370"/>
      <c r="CZ107" s="370"/>
      <c r="DA107" s="370"/>
      <c r="DB107" s="370"/>
      <c r="DC107" s="370"/>
      <c r="DD107" s="370"/>
      <c r="DE107" s="370"/>
      <c r="DF107" s="370"/>
      <c r="DG107" s="370"/>
      <c r="DH107" s="370"/>
      <c r="DI107" s="370"/>
      <c r="DJ107" s="450">
        <v>1</v>
      </c>
      <c r="DK107" s="450">
        <v>1</v>
      </c>
      <c r="DL107" s="370"/>
      <c r="DM107" s="383"/>
      <c r="DN107" s="383"/>
      <c r="DO107" s="370"/>
      <c r="DP107" s="370"/>
      <c r="DQ107" s="370"/>
      <c r="DR107" s="370"/>
      <c r="DS107" s="383"/>
      <c r="DT107" s="383"/>
      <c r="DU107" s="650"/>
      <c r="DV107" s="650"/>
      <c r="DW107" s="370"/>
      <c r="DX107" s="650"/>
      <c r="DY107" s="650"/>
      <c r="DZ107" s="370"/>
      <c r="EA107" s="370"/>
      <c r="EB107" s="390"/>
      <c r="EC107" s="390"/>
      <c r="ED107" s="370"/>
      <c r="EE107" s="370"/>
      <c r="EF107" s="370"/>
      <c r="EG107" s="370"/>
      <c r="EH107" s="370"/>
      <c r="EI107" s="370"/>
      <c r="EJ107" s="370"/>
      <c r="EK107" s="370"/>
      <c r="EL107" s="370"/>
      <c r="EM107" s="370"/>
      <c r="EN107" s="370"/>
      <c r="EO107" s="370"/>
      <c r="EP107" s="370"/>
      <c r="EQ107" s="370"/>
      <c r="ER107" s="370"/>
      <c r="ES107" s="370"/>
      <c r="ET107" s="370"/>
      <c r="EU107" s="370"/>
      <c r="EV107" s="370"/>
      <c r="EW107" s="370"/>
      <c r="EX107" s="370"/>
      <c r="EY107" s="370"/>
      <c r="EZ107" s="370"/>
      <c r="FA107" s="370"/>
      <c r="FB107" s="370"/>
      <c r="FC107" s="370"/>
      <c r="FD107" s="370"/>
      <c r="FE107" s="370"/>
      <c r="FF107" s="370"/>
      <c r="FG107" s="450">
        <v>1</v>
      </c>
      <c r="FH107" s="450">
        <v>1</v>
      </c>
      <c r="FI107" s="450">
        <v>1</v>
      </c>
      <c r="FJ107" s="450">
        <v>1</v>
      </c>
      <c r="FK107" s="370"/>
      <c r="FL107" s="370"/>
      <c r="FM107" s="370"/>
      <c r="FN107" s="370"/>
      <c r="FO107" s="370"/>
      <c r="FP107" s="370"/>
      <c r="FQ107" s="370"/>
      <c r="FR107" s="370"/>
      <c r="FS107" s="370"/>
      <c r="FT107" s="370"/>
      <c r="FU107" s="370"/>
      <c r="FV107" s="370"/>
      <c r="FW107" s="370"/>
      <c r="FX107" s="370"/>
      <c r="FY107" s="370"/>
      <c r="FZ107" s="370"/>
      <c r="GA107" s="370"/>
      <c r="GB107" s="370"/>
      <c r="GC107" s="370"/>
      <c r="GD107" s="370"/>
      <c r="GE107" s="370"/>
      <c r="GF107" s="370"/>
      <c r="GG107" s="370"/>
      <c r="GH107" s="370"/>
      <c r="GI107" s="370"/>
      <c r="GJ107" s="370"/>
      <c r="GK107" s="370"/>
      <c r="GL107" s="370"/>
      <c r="GM107" s="370"/>
      <c r="GN107" s="370"/>
      <c r="GO107" s="370"/>
      <c r="GP107" s="370"/>
      <c r="GQ107" s="370"/>
      <c r="GR107" s="370"/>
      <c r="GS107" s="370"/>
      <c r="GT107" s="370"/>
      <c r="GU107" s="370"/>
      <c r="GV107" s="370"/>
      <c r="GW107" s="370"/>
      <c r="GX107" s="370"/>
      <c r="GY107" s="370"/>
      <c r="GZ107" s="370"/>
      <c r="HA107" s="370"/>
      <c r="HB107" s="370"/>
      <c r="HC107" s="370"/>
      <c r="HD107" s="370"/>
      <c r="HE107" s="370"/>
      <c r="HF107" s="370"/>
      <c r="HG107" s="370"/>
      <c r="HH107" s="370"/>
    </row>
    <row r="108" spans="1:216" s="393" customFormat="1" ht="18" customHeight="1">
      <c r="A108" s="395"/>
      <c r="B108" s="475" t="s">
        <v>11749</v>
      </c>
      <c r="C108" s="382"/>
      <c r="D108" s="374"/>
      <c r="E108" s="394"/>
      <c r="F108" s="370"/>
      <c r="G108" s="370"/>
      <c r="H108" s="366"/>
      <c r="I108" s="382" t="s">
        <v>363</v>
      </c>
      <c r="J108" s="650">
        <v>1</v>
      </c>
      <c r="K108" s="649"/>
      <c r="L108" s="649"/>
      <c r="M108" s="397">
        <v>1</v>
      </c>
      <c r="N108" s="358"/>
      <c r="O108" s="358"/>
      <c r="P108" s="358"/>
      <c r="Q108" s="358"/>
      <c r="R108" s="650"/>
      <c r="S108" s="650"/>
      <c r="T108" s="650"/>
      <c r="U108" s="397">
        <v>1</v>
      </c>
      <c r="V108" s="650"/>
      <c r="W108" s="650"/>
      <c r="X108" s="397">
        <v>1</v>
      </c>
      <c r="Y108" s="650"/>
      <c r="Z108" s="650"/>
      <c r="AA108" s="650"/>
      <c r="AB108" s="650"/>
      <c r="AC108" s="650"/>
      <c r="AD108" s="650"/>
      <c r="AE108" s="650"/>
      <c r="AF108" s="650"/>
      <c r="AG108" s="650"/>
      <c r="AH108" s="650"/>
      <c r="AI108" s="650"/>
      <c r="AJ108" s="650"/>
      <c r="AK108" s="650"/>
      <c r="AL108" s="650"/>
      <c r="AM108" s="650"/>
      <c r="AN108" s="650"/>
      <c r="AO108" s="391"/>
      <c r="AP108" s="650"/>
      <c r="AQ108" s="650"/>
      <c r="AR108" s="650"/>
      <c r="AS108" s="650"/>
      <c r="AT108" s="650"/>
      <c r="AU108" s="650"/>
      <c r="AV108" s="650"/>
      <c r="AW108" s="650"/>
      <c r="AX108" s="650"/>
      <c r="AY108" s="650"/>
      <c r="AZ108" s="650"/>
      <c r="BA108" s="650"/>
      <c r="BB108" s="650"/>
      <c r="BC108" s="650"/>
      <c r="BD108" s="650"/>
      <c r="BE108" s="387"/>
      <c r="BF108" s="387"/>
      <c r="BG108" s="387"/>
      <c r="BH108" s="387"/>
      <c r="BI108" s="387"/>
      <c r="BJ108" s="387"/>
      <c r="BK108" s="387"/>
      <c r="BL108" s="387"/>
      <c r="BM108" s="387"/>
      <c r="BN108" s="387"/>
      <c r="BO108" s="387"/>
      <c r="BP108" s="387"/>
      <c r="BQ108" s="387"/>
      <c r="BR108" s="387"/>
      <c r="BS108" s="387"/>
      <c r="BT108" s="387"/>
      <c r="BU108" s="387"/>
      <c r="BV108" s="387"/>
      <c r="BW108" s="387"/>
      <c r="BX108" s="387"/>
      <c r="BY108" s="387"/>
      <c r="BZ108" s="387"/>
      <c r="CA108" s="387"/>
      <c r="CB108" s="387"/>
      <c r="CC108" s="387"/>
      <c r="CD108" s="387"/>
      <c r="CE108" s="387"/>
      <c r="CF108" s="387"/>
      <c r="CG108" s="387"/>
      <c r="CH108" s="387"/>
      <c r="CI108" s="387"/>
      <c r="CJ108" s="387"/>
      <c r="CK108" s="370"/>
      <c r="CL108" s="370"/>
      <c r="CM108" s="370"/>
      <c r="CN108" s="370"/>
      <c r="CO108" s="370"/>
      <c r="CP108" s="370"/>
      <c r="CQ108" s="370"/>
      <c r="CR108" s="390"/>
      <c r="CS108" s="390"/>
      <c r="CT108" s="370"/>
      <c r="CU108" s="370"/>
      <c r="CV108" s="370"/>
      <c r="CW108" s="370"/>
      <c r="CX108" s="370"/>
      <c r="CY108" s="370"/>
      <c r="CZ108" s="370"/>
      <c r="DA108" s="370"/>
      <c r="DB108" s="370"/>
      <c r="DC108" s="370"/>
      <c r="DD108" s="370"/>
      <c r="DE108" s="370"/>
      <c r="DF108" s="370"/>
      <c r="DG108" s="370"/>
      <c r="DH108" s="370"/>
      <c r="DI108" s="370"/>
      <c r="DJ108" s="450">
        <v>1</v>
      </c>
      <c r="DK108" s="450">
        <v>1</v>
      </c>
      <c r="DL108" s="370"/>
      <c r="DM108" s="383"/>
      <c r="DN108" s="383"/>
      <c r="DO108" s="370"/>
      <c r="DP108" s="370"/>
      <c r="DQ108" s="370"/>
      <c r="DR108" s="370"/>
      <c r="DS108" s="383"/>
      <c r="DT108" s="383"/>
      <c r="DU108" s="650"/>
      <c r="DV108" s="650"/>
      <c r="DW108" s="370"/>
      <c r="DX108" s="650"/>
      <c r="DY108" s="650"/>
      <c r="DZ108" s="370"/>
      <c r="EA108" s="370"/>
      <c r="EB108" s="390"/>
      <c r="EC108" s="390"/>
      <c r="ED108" s="370"/>
      <c r="EE108" s="370"/>
      <c r="EF108" s="370"/>
      <c r="EG108" s="370"/>
      <c r="EH108" s="370"/>
      <c r="EI108" s="370"/>
      <c r="EJ108" s="370"/>
      <c r="EK108" s="370"/>
      <c r="EL108" s="370"/>
      <c r="EM108" s="370"/>
      <c r="EN108" s="370"/>
      <c r="EO108" s="370"/>
      <c r="EP108" s="370"/>
      <c r="EQ108" s="370"/>
      <c r="ER108" s="370"/>
      <c r="ES108" s="370"/>
      <c r="ET108" s="370"/>
      <c r="EU108" s="370"/>
      <c r="EV108" s="370"/>
      <c r="EW108" s="370"/>
      <c r="EX108" s="370"/>
      <c r="EY108" s="370"/>
      <c r="EZ108" s="370"/>
      <c r="FA108" s="370"/>
      <c r="FB108" s="370"/>
      <c r="FC108" s="370"/>
      <c r="FD108" s="370"/>
      <c r="FE108" s="370"/>
      <c r="FF108" s="450">
        <v>1</v>
      </c>
      <c r="FG108" s="370"/>
      <c r="FH108" s="370"/>
      <c r="FI108" s="654"/>
      <c r="FJ108" s="370"/>
      <c r="FK108" s="370"/>
      <c r="FL108" s="370"/>
      <c r="FM108" s="370"/>
      <c r="FN108" s="370"/>
      <c r="FO108" s="370"/>
      <c r="FP108" s="370"/>
      <c r="FQ108" s="370"/>
      <c r="FR108" s="370"/>
      <c r="FS108" s="370"/>
      <c r="FT108" s="370"/>
      <c r="FU108" s="370"/>
      <c r="FV108" s="370"/>
      <c r="FW108" s="370"/>
      <c r="FX108" s="370"/>
      <c r="FY108" s="370"/>
      <c r="FZ108" s="370"/>
      <c r="GA108" s="370"/>
      <c r="GB108" s="370"/>
      <c r="GC108" s="370"/>
      <c r="GD108" s="370"/>
      <c r="GE108" s="370"/>
      <c r="GF108" s="370"/>
      <c r="GG108" s="370"/>
      <c r="GH108" s="370"/>
      <c r="GI108" s="370"/>
      <c r="GJ108" s="370"/>
      <c r="GK108" s="370"/>
      <c r="GL108" s="370"/>
      <c r="GM108" s="370"/>
      <c r="GN108" s="370"/>
      <c r="GO108" s="370"/>
      <c r="GP108" s="370"/>
      <c r="GQ108" s="370"/>
      <c r="GR108" s="370"/>
      <c r="GS108" s="370"/>
      <c r="GT108" s="370"/>
      <c r="GU108" s="370"/>
      <c r="GV108" s="370"/>
      <c r="GW108" s="370"/>
      <c r="GX108" s="370"/>
      <c r="GY108" s="370"/>
      <c r="GZ108" s="370"/>
      <c r="HA108" s="370"/>
      <c r="HB108" s="370"/>
      <c r="HC108" s="370"/>
      <c r="HD108" s="370"/>
      <c r="HE108" s="370"/>
      <c r="HF108" s="370"/>
      <c r="HG108" s="370"/>
      <c r="HH108" s="370"/>
    </row>
    <row r="109" spans="1:216" s="393" customFormat="1" ht="18" customHeight="1">
      <c r="A109" s="395"/>
      <c r="B109" s="475" t="s">
        <v>10121</v>
      </c>
      <c r="C109" s="382"/>
      <c r="D109" s="374"/>
      <c r="E109" s="394"/>
      <c r="F109" s="370"/>
      <c r="G109" s="370"/>
      <c r="H109" s="366"/>
      <c r="I109" s="382"/>
      <c r="J109" s="384">
        <v>1</v>
      </c>
      <c r="K109" s="352"/>
      <c r="L109" s="352"/>
      <c r="M109" s="358"/>
      <c r="N109" s="397">
        <v>1</v>
      </c>
      <c r="O109" s="358"/>
      <c r="P109" s="358"/>
      <c r="Q109" s="358"/>
      <c r="R109" s="384"/>
      <c r="S109" s="384"/>
      <c r="T109" s="384"/>
      <c r="U109" s="397">
        <v>1</v>
      </c>
      <c r="V109" s="384"/>
      <c r="W109" s="384"/>
      <c r="X109" s="397">
        <v>1</v>
      </c>
      <c r="Y109" s="384"/>
      <c r="Z109" s="384"/>
      <c r="AA109" s="384"/>
      <c r="AB109" s="384"/>
      <c r="AC109" s="384"/>
      <c r="AD109" s="384"/>
      <c r="AE109" s="384"/>
      <c r="AF109" s="384"/>
      <c r="AG109" s="384"/>
      <c r="AH109" s="384"/>
      <c r="AI109" s="384"/>
      <c r="AJ109" s="384"/>
      <c r="AK109" s="384"/>
      <c r="AL109" s="384"/>
      <c r="AM109" s="384"/>
      <c r="AN109" s="384"/>
      <c r="AO109" s="391"/>
      <c r="AP109" s="384"/>
      <c r="AQ109" s="384"/>
      <c r="AR109" s="384"/>
      <c r="AS109" s="384"/>
      <c r="AT109" s="384"/>
      <c r="AU109" s="384"/>
      <c r="AV109" s="384"/>
      <c r="AW109" s="384"/>
      <c r="AX109" s="384"/>
      <c r="AY109" s="384"/>
      <c r="AZ109" s="384"/>
      <c r="BA109" s="384"/>
      <c r="BB109" s="384"/>
      <c r="BC109" s="384"/>
      <c r="BD109" s="384"/>
      <c r="BE109" s="387"/>
      <c r="BF109" s="387"/>
      <c r="BG109" s="387"/>
      <c r="BH109" s="387"/>
      <c r="BI109" s="387"/>
      <c r="BJ109" s="387"/>
      <c r="BK109" s="387"/>
      <c r="BL109" s="387"/>
      <c r="BM109" s="387"/>
      <c r="BN109" s="387"/>
      <c r="BO109" s="387"/>
      <c r="BP109" s="387"/>
      <c r="BQ109" s="387"/>
      <c r="BR109" s="387"/>
      <c r="BS109" s="387"/>
      <c r="BT109" s="387"/>
      <c r="BU109" s="387"/>
      <c r="BV109" s="387"/>
      <c r="BW109" s="387"/>
      <c r="BX109" s="387"/>
      <c r="BY109" s="387"/>
      <c r="BZ109" s="387"/>
      <c r="CA109" s="387"/>
      <c r="CB109" s="387"/>
      <c r="CC109" s="387"/>
      <c r="CD109" s="387"/>
      <c r="CE109" s="387"/>
      <c r="CF109" s="387"/>
      <c r="CG109" s="387"/>
      <c r="CH109" s="387"/>
      <c r="CI109" s="387"/>
      <c r="CJ109" s="387"/>
      <c r="CK109" s="370"/>
      <c r="CL109" s="370"/>
      <c r="CM109" s="370"/>
      <c r="CN109" s="370"/>
      <c r="CO109" s="370"/>
      <c r="CP109" s="370"/>
      <c r="CQ109" s="370"/>
      <c r="CR109" s="390"/>
      <c r="CS109" s="390"/>
      <c r="CT109" s="370"/>
      <c r="CU109" s="370"/>
      <c r="CV109" s="370"/>
      <c r="CW109" s="370"/>
      <c r="CX109" s="370"/>
      <c r="CY109" s="370"/>
      <c r="CZ109" s="370"/>
      <c r="DA109" s="370"/>
      <c r="DB109" s="370"/>
      <c r="DC109" s="370"/>
      <c r="DD109" s="370"/>
      <c r="DE109" s="370"/>
      <c r="DF109" s="370"/>
      <c r="DG109" s="370"/>
      <c r="DH109" s="450">
        <v>1</v>
      </c>
      <c r="DI109" s="450">
        <v>1</v>
      </c>
      <c r="DJ109" s="370"/>
      <c r="DK109" s="370"/>
      <c r="DL109" s="370"/>
      <c r="DM109" s="383"/>
      <c r="DN109" s="383"/>
      <c r="DO109" s="370"/>
      <c r="DP109" s="370"/>
      <c r="DQ109" s="370"/>
      <c r="DR109" s="370"/>
      <c r="DS109" s="383"/>
      <c r="DT109" s="383"/>
      <c r="DU109" s="384"/>
      <c r="DV109" s="384"/>
      <c r="DW109" s="370"/>
      <c r="DX109" s="384"/>
      <c r="DY109" s="384"/>
      <c r="DZ109" s="370"/>
      <c r="EA109" s="370"/>
      <c r="EB109" s="390"/>
      <c r="EC109" s="390"/>
      <c r="ED109" s="370"/>
      <c r="EE109" s="370"/>
      <c r="EF109" s="370"/>
      <c r="EG109" s="370"/>
      <c r="EH109" s="370"/>
      <c r="EI109" s="370"/>
      <c r="EJ109" s="370"/>
      <c r="EK109" s="370"/>
      <c r="EL109" s="370"/>
      <c r="EM109" s="370"/>
      <c r="EN109" s="370"/>
      <c r="EO109" s="370"/>
      <c r="EP109" s="370"/>
      <c r="EQ109" s="370"/>
      <c r="ER109" s="370"/>
      <c r="ES109" s="370"/>
      <c r="ET109" s="370"/>
      <c r="EU109" s="370"/>
      <c r="EV109" s="370"/>
      <c r="EW109" s="370"/>
      <c r="EX109" s="370"/>
      <c r="EY109" s="370"/>
      <c r="EZ109" s="370"/>
      <c r="FA109" s="370"/>
      <c r="FB109" s="370"/>
      <c r="FC109" s="370"/>
      <c r="FD109" s="370"/>
      <c r="FE109" s="370"/>
      <c r="FF109" s="370"/>
      <c r="FG109" s="450">
        <v>1</v>
      </c>
      <c r="FH109" s="450">
        <v>1</v>
      </c>
      <c r="FI109" s="450">
        <v>1</v>
      </c>
      <c r="FJ109" s="450">
        <v>1</v>
      </c>
      <c r="FK109" s="370"/>
      <c r="FL109" s="370"/>
      <c r="FM109" s="370"/>
      <c r="FN109" s="370"/>
      <c r="FO109" s="370"/>
      <c r="FP109" s="370"/>
      <c r="FQ109" s="370"/>
      <c r="FR109" s="370"/>
      <c r="FS109" s="370"/>
      <c r="FT109" s="370"/>
      <c r="FU109" s="370"/>
      <c r="FV109" s="370"/>
      <c r="FW109" s="370"/>
      <c r="FX109" s="370"/>
      <c r="FY109" s="370"/>
      <c r="FZ109" s="370"/>
      <c r="GA109" s="370"/>
      <c r="GB109" s="370"/>
      <c r="GC109" s="370"/>
      <c r="GD109" s="370"/>
      <c r="GE109" s="370"/>
      <c r="GF109" s="370"/>
      <c r="GG109" s="370"/>
      <c r="GH109" s="370"/>
      <c r="GI109" s="370"/>
      <c r="GJ109" s="370"/>
      <c r="GK109" s="370"/>
      <c r="GL109" s="370"/>
      <c r="GM109" s="370"/>
      <c r="GN109" s="370"/>
      <c r="GO109" s="370"/>
      <c r="GP109" s="370"/>
      <c r="GQ109" s="370"/>
      <c r="GR109" s="370"/>
      <c r="GS109" s="370"/>
      <c r="GT109" s="370"/>
      <c r="GU109" s="370"/>
      <c r="GV109" s="370"/>
      <c r="GW109" s="370"/>
      <c r="GX109" s="370"/>
      <c r="GY109" s="370"/>
      <c r="GZ109" s="370"/>
      <c r="HA109" s="370"/>
      <c r="HB109" s="370"/>
      <c r="HC109" s="370"/>
      <c r="HD109" s="370"/>
      <c r="HE109" s="370"/>
      <c r="HF109" s="370"/>
      <c r="HG109" s="370"/>
      <c r="HH109" s="370"/>
    </row>
    <row r="110" spans="1:216" s="393" customFormat="1" ht="18" customHeight="1">
      <c r="A110" s="395"/>
      <c r="B110" s="475" t="s">
        <v>361</v>
      </c>
      <c r="C110" s="382"/>
      <c r="D110" s="374"/>
      <c r="E110" s="394"/>
      <c r="F110" s="370"/>
      <c r="G110" s="370"/>
      <c r="H110" s="366"/>
      <c r="I110" s="382" t="s">
        <v>363</v>
      </c>
      <c r="J110" s="384">
        <v>1</v>
      </c>
      <c r="K110" s="352"/>
      <c r="L110" s="352"/>
      <c r="M110" s="358"/>
      <c r="N110" s="397">
        <v>1</v>
      </c>
      <c r="O110" s="358"/>
      <c r="P110" s="358"/>
      <c r="Q110" s="358"/>
      <c r="R110" s="384"/>
      <c r="S110" s="384"/>
      <c r="T110" s="384"/>
      <c r="U110" s="397">
        <v>1</v>
      </c>
      <c r="V110" s="384"/>
      <c r="W110" s="384"/>
      <c r="X110" s="397">
        <v>1</v>
      </c>
      <c r="Y110" s="384"/>
      <c r="Z110" s="384"/>
      <c r="AA110" s="384"/>
      <c r="AB110" s="384"/>
      <c r="AC110" s="384"/>
      <c r="AD110" s="384"/>
      <c r="AE110" s="384"/>
      <c r="AF110" s="384"/>
      <c r="AG110" s="384"/>
      <c r="AH110" s="384"/>
      <c r="AI110" s="384"/>
      <c r="AJ110" s="384"/>
      <c r="AK110" s="384"/>
      <c r="AL110" s="384"/>
      <c r="AM110" s="384"/>
      <c r="AN110" s="384"/>
      <c r="AO110" s="391"/>
      <c r="AP110" s="384"/>
      <c r="AQ110" s="384"/>
      <c r="AR110" s="384"/>
      <c r="AS110" s="384"/>
      <c r="AT110" s="384"/>
      <c r="AU110" s="384"/>
      <c r="AV110" s="384"/>
      <c r="AW110" s="384"/>
      <c r="AX110" s="384"/>
      <c r="AY110" s="384"/>
      <c r="AZ110" s="384"/>
      <c r="BA110" s="384"/>
      <c r="BB110" s="384"/>
      <c r="BC110" s="384"/>
      <c r="BD110" s="384"/>
      <c r="BE110" s="387"/>
      <c r="BF110" s="387"/>
      <c r="BG110" s="387"/>
      <c r="BH110" s="387"/>
      <c r="BI110" s="387"/>
      <c r="BJ110" s="387"/>
      <c r="BK110" s="387"/>
      <c r="BL110" s="387"/>
      <c r="BM110" s="387"/>
      <c r="BN110" s="387"/>
      <c r="BO110" s="387"/>
      <c r="BP110" s="387"/>
      <c r="BQ110" s="387"/>
      <c r="BR110" s="387"/>
      <c r="BS110" s="387"/>
      <c r="BT110" s="387"/>
      <c r="BU110" s="387"/>
      <c r="BV110" s="387"/>
      <c r="BW110" s="387"/>
      <c r="BX110" s="387"/>
      <c r="BY110" s="387"/>
      <c r="BZ110" s="387"/>
      <c r="CA110" s="387"/>
      <c r="CB110" s="387"/>
      <c r="CC110" s="387"/>
      <c r="CD110" s="387"/>
      <c r="CE110" s="387"/>
      <c r="CF110" s="387"/>
      <c r="CG110" s="387"/>
      <c r="CH110" s="387"/>
      <c r="CI110" s="387"/>
      <c r="CJ110" s="387"/>
      <c r="CK110" s="370"/>
      <c r="CL110" s="370"/>
      <c r="CM110" s="370"/>
      <c r="CN110" s="370"/>
      <c r="CO110" s="370"/>
      <c r="CP110" s="370"/>
      <c r="CQ110" s="370"/>
      <c r="CR110" s="390"/>
      <c r="CS110" s="390"/>
      <c r="CT110" s="370"/>
      <c r="CU110" s="370"/>
      <c r="CV110" s="370"/>
      <c r="CW110" s="370"/>
      <c r="CX110" s="370"/>
      <c r="CY110" s="370"/>
      <c r="CZ110" s="370"/>
      <c r="DA110" s="370"/>
      <c r="DB110" s="370"/>
      <c r="DC110" s="370"/>
      <c r="DD110" s="370"/>
      <c r="DE110" s="370"/>
      <c r="DF110" s="370"/>
      <c r="DG110" s="370"/>
      <c r="DH110" s="450">
        <v>1</v>
      </c>
      <c r="DI110" s="450">
        <v>1</v>
      </c>
      <c r="DJ110" s="370"/>
      <c r="DK110" s="370"/>
      <c r="DL110" s="370"/>
      <c r="DM110" s="383"/>
      <c r="DN110" s="383"/>
      <c r="DO110" s="370"/>
      <c r="DP110" s="370"/>
      <c r="DQ110" s="370"/>
      <c r="DR110" s="370"/>
      <c r="DS110" s="383"/>
      <c r="DT110" s="383"/>
      <c r="DU110" s="384"/>
      <c r="DV110" s="384"/>
      <c r="DW110" s="370"/>
      <c r="DX110" s="384"/>
      <c r="DY110" s="384"/>
      <c r="DZ110" s="370"/>
      <c r="EA110" s="370"/>
      <c r="EB110" s="390"/>
      <c r="EC110" s="390"/>
      <c r="ED110" s="370"/>
      <c r="EE110" s="370"/>
      <c r="EF110" s="370"/>
      <c r="EG110" s="370"/>
      <c r="EH110" s="370"/>
      <c r="EI110" s="370"/>
      <c r="EJ110" s="370"/>
      <c r="EK110" s="370"/>
      <c r="EL110" s="370"/>
      <c r="EM110" s="370"/>
      <c r="EN110" s="370"/>
      <c r="EO110" s="370"/>
      <c r="EP110" s="370"/>
      <c r="EQ110" s="370"/>
      <c r="ER110" s="370"/>
      <c r="ES110" s="370"/>
      <c r="ET110" s="370"/>
      <c r="EU110" s="370"/>
      <c r="EV110" s="370"/>
      <c r="EW110" s="370"/>
      <c r="EX110" s="370"/>
      <c r="EY110" s="370"/>
      <c r="EZ110" s="370"/>
      <c r="FA110" s="370"/>
      <c r="FB110" s="370"/>
      <c r="FC110" s="370"/>
      <c r="FD110" s="370"/>
      <c r="FE110" s="370"/>
      <c r="FF110" s="450">
        <v>1</v>
      </c>
      <c r="FG110" s="370"/>
      <c r="FH110" s="370"/>
      <c r="FI110" s="654"/>
      <c r="FJ110" s="370"/>
      <c r="FK110" s="370"/>
      <c r="FL110" s="370"/>
      <c r="FM110" s="370"/>
      <c r="FN110" s="370"/>
      <c r="FO110" s="370"/>
      <c r="FP110" s="370"/>
      <c r="FQ110" s="370"/>
      <c r="FR110" s="370"/>
      <c r="FS110" s="370"/>
      <c r="FT110" s="370"/>
      <c r="FU110" s="370"/>
      <c r="FV110" s="370"/>
      <c r="FW110" s="370"/>
      <c r="FX110" s="370"/>
      <c r="FY110" s="370"/>
      <c r="FZ110" s="370"/>
      <c r="GA110" s="370"/>
      <c r="GB110" s="370"/>
      <c r="GC110" s="370"/>
      <c r="GD110" s="370"/>
      <c r="GE110" s="370"/>
      <c r="GF110" s="370"/>
      <c r="GG110" s="370"/>
      <c r="GH110" s="370"/>
      <c r="GI110" s="370"/>
      <c r="GJ110" s="370"/>
      <c r="GK110" s="370"/>
      <c r="GL110" s="370"/>
      <c r="GM110" s="370"/>
      <c r="GN110" s="370"/>
      <c r="GO110" s="370"/>
      <c r="GP110" s="370"/>
      <c r="GQ110" s="370"/>
      <c r="GR110" s="370"/>
      <c r="GS110" s="370"/>
      <c r="GT110" s="370"/>
      <c r="GU110" s="370"/>
      <c r="GV110" s="370"/>
      <c r="GW110" s="370"/>
      <c r="GX110" s="370"/>
      <c r="GY110" s="370"/>
      <c r="GZ110" s="370"/>
      <c r="HA110" s="370"/>
      <c r="HB110" s="370"/>
      <c r="HC110" s="370"/>
      <c r="HD110" s="370"/>
      <c r="HE110" s="370"/>
      <c r="HF110" s="370"/>
      <c r="HG110" s="370"/>
      <c r="HH110" s="370"/>
    </row>
    <row r="111" spans="1:216" s="393" customFormat="1" ht="18" customHeight="1">
      <c r="A111" s="395"/>
      <c r="B111" s="475" t="s">
        <v>11750</v>
      </c>
      <c r="C111" s="382"/>
      <c r="D111" s="374"/>
      <c r="E111" s="394"/>
      <c r="F111" s="370"/>
      <c r="G111" s="370"/>
      <c r="H111" s="366"/>
      <c r="I111" s="382"/>
      <c r="J111" s="650">
        <v>1</v>
      </c>
      <c r="K111" s="649"/>
      <c r="L111" s="649"/>
      <c r="M111" s="358"/>
      <c r="N111" s="397">
        <v>1</v>
      </c>
      <c r="O111" s="358"/>
      <c r="P111" s="358"/>
      <c r="Q111" s="358"/>
      <c r="R111" s="650"/>
      <c r="S111" s="650"/>
      <c r="T111" s="650"/>
      <c r="U111" s="397">
        <v>1</v>
      </c>
      <c r="V111" s="650"/>
      <c r="W111" s="650"/>
      <c r="X111" s="397">
        <v>1</v>
      </c>
      <c r="Y111" s="650"/>
      <c r="Z111" s="650"/>
      <c r="AA111" s="650"/>
      <c r="AB111" s="650"/>
      <c r="AC111" s="650"/>
      <c r="AD111" s="650"/>
      <c r="AE111" s="650"/>
      <c r="AF111" s="650"/>
      <c r="AG111" s="650"/>
      <c r="AH111" s="650"/>
      <c r="AI111" s="650"/>
      <c r="AJ111" s="650"/>
      <c r="AK111" s="650"/>
      <c r="AL111" s="650"/>
      <c r="AM111" s="650"/>
      <c r="AN111" s="650"/>
      <c r="AO111" s="391"/>
      <c r="AP111" s="650"/>
      <c r="AQ111" s="650"/>
      <c r="AR111" s="650"/>
      <c r="AS111" s="650"/>
      <c r="AT111" s="650"/>
      <c r="AU111" s="650"/>
      <c r="AV111" s="650"/>
      <c r="AW111" s="650"/>
      <c r="AX111" s="650"/>
      <c r="AY111" s="650"/>
      <c r="AZ111" s="650"/>
      <c r="BA111" s="650"/>
      <c r="BB111" s="650"/>
      <c r="BC111" s="650"/>
      <c r="BD111" s="650"/>
      <c r="BE111" s="387"/>
      <c r="BF111" s="387"/>
      <c r="BG111" s="387"/>
      <c r="BH111" s="387"/>
      <c r="BI111" s="387"/>
      <c r="BJ111" s="387"/>
      <c r="BK111" s="387"/>
      <c r="BL111" s="387"/>
      <c r="BM111" s="387"/>
      <c r="BN111" s="387"/>
      <c r="BO111" s="387"/>
      <c r="BP111" s="387"/>
      <c r="BQ111" s="387"/>
      <c r="BR111" s="387"/>
      <c r="BS111" s="387"/>
      <c r="BT111" s="387"/>
      <c r="BU111" s="387"/>
      <c r="BV111" s="387"/>
      <c r="BW111" s="387"/>
      <c r="BX111" s="387"/>
      <c r="BY111" s="387"/>
      <c r="BZ111" s="387"/>
      <c r="CA111" s="387"/>
      <c r="CB111" s="387"/>
      <c r="CC111" s="387"/>
      <c r="CD111" s="387"/>
      <c r="CE111" s="387"/>
      <c r="CF111" s="387"/>
      <c r="CG111" s="387"/>
      <c r="CH111" s="387"/>
      <c r="CI111" s="387"/>
      <c r="CJ111" s="387"/>
      <c r="CK111" s="370"/>
      <c r="CL111" s="370"/>
      <c r="CM111" s="370"/>
      <c r="CN111" s="370"/>
      <c r="CO111" s="370"/>
      <c r="CP111" s="370"/>
      <c r="CQ111" s="370"/>
      <c r="CR111" s="390"/>
      <c r="CS111" s="390"/>
      <c r="CT111" s="370"/>
      <c r="CU111" s="370"/>
      <c r="CV111" s="370"/>
      <c r="CW111" s="370"/>
      <c r="CX111" s="370"/>
      <c r="CY111" s="370"/>
      <c r="CZ111" s="370"/>
      <c r="DA111" s="370"/>
      <c r="DB111" s="370"/>
      <c r="DC111" s="370"/>
      <c r="DD111" s="370"/>
      <c r="DE111" s="370"/>
      <c r="DF111" s="370"/>
      <c r="DG111" s="370"/>
      <c r="DH111" s="370"/>
      <c r="DI111" s="370"/>
      <c r="DJ111" s="450">
        <v>1</v>
      </c>
      <c r="DK111" s="450">
        <v>1</v>
      </c>
      <c r="DL111" s="370"/>
      <c r="DM111" s="383"/>
      <c r="DN111" s="383"/>
      <c r="DO111" s="370"/>
      <c r="DP111" s="370"/>
      <c r="DQ111" s="370"/>
      <c r="DR111" s="370"/>
      <c r="DS111" s="383"/>
      <c r="DT111" s="383"/>
      <c r="DU111" s="650"/>
      <c r="DV111" s="650"/>
      <c r="DW111" s="370"/>
      <c r="DX111" s="650"/>
      <c r="DY111" s="650"/>
      <c r="DZ111" s="370"/>
      <c r="EA111" s="370"/>
      <c r="EB111" s="390"/>
      <c r="EC111" s="390"/>
      <c r="ED111" s="370"/>
      <c r="EE111" s="370"/>
      <c r="EF111" s="370"/>
      <c r="EG111" s="370"/>
      <c r="EH111" s="370"/>
      <c r="EI111" s="370"/>
      <c r="EJ111" s="370"/>
      <c r="EK111" s="370"/>
      <c r="EL111" s="370"/>
      <c r="EM111" s="370"/>
      <c r="EN111" s="370"/>
      <c r="EO111" s="370"/>
      <c r="EP111" s="370"/>
      <c r="EQ111" s="370"/>
      <c r="ER111" s="370"/>
      <c r="ES111" s="370"/>
      <c r="ET111" s="370"/>
      <c r="EU111" s="370"/>
      <c r="EV111" s="370"/>
      <c r="EW111" s="370"/>
      <c r="EX111" s="370"/>
      <c r="EY111" s="370"/>
      <c r="EZ111" s="370"/>
      <c r="FA111" s="370"/>
      <c r="FB111" s="370"/>
      <c r="FC111" s="370"/>
      <c r="FD111" s="370"/>
      <c r="FE111" s="370"/>
      <c r="FF111" s="370"/>
      <c r="FG111" s="450">
        <v>1</v>
      </c>
      <c r="FH111" s="450">
        <v>1</v>
      </c>
      <c r="FI111" s="450">
        <v>1</v>
      </c>
      <c r="FJ111" s="450">
        <v>1</v>
      </c>
      <c r="FK111" s="370"/>
      <c r="FL111" s="370"/>
      <c r="FM111" s="370"/>
      <c r="FN111" s="370"/>
      <c r="FO111" s="370"/>
      <c r="FP111" s="370"/>
      <c r="FQ111" s="370"/>
      <c r="FR111" s="370"/>
      <c r="FS111" s="370"/>
      <c r="FT111" s="370"/>
      <c r="FU111" s="370"/>
      <c r="FV111" s="370"/>
      <c r="FW111" s="370"/>
      <c r="FX111" s="370"/>
      <c r="FY111" s="370"/>
      <c r="FZ111" s="370"/>
      <c r="GA111" s="370"/>
      <c r="GB111" s="370"/>
      <c r="GC111" s="370"/>
      <c r="GD111" s="370"/>
      <c r="GE111" s="370"/>
      <c r="GF111" s="370"/>
      <c r="GG111" s="370"/>
      <c r="GH111" s="370"/>
      <c r="GI111" s="370"/>
      <c r="GJ111" s="370"/>
      <c r="GK111" s="370"/>
      <c r="GL111" s="370"/>
      <c r="GM111" s="370"/>
      <c r="GN111" s="370"/>
      <c r="GO111" s="370"/>
      <c r="GP111" s="370"/>
      <c r="GQ111" s="370"/>
      <c r="GR111" s="370"/>
      <c r="GS111" s="370"/>
      <c r="GT111" s="370"/>
      <c r="GU111" s="370"/>
      <c r="GV111" s="370"/>
      <c r="GW111" s="370"/>
      <c r="GX111" s="370"/>
      <c r="GY111" s="370"/>
      <c r="GZ111" s="370"/>
      <c r="HA111" s="370"/>
      <c r="HB111" s="370"/>
      <c r="HC111" s="370"/>
      <c r="HD111" s="370"/>
      <c r="HE111" s="370"/>
      <c r="HF111" s="370"/>
      <c r="HG111" s="370"/>
      <c r="HH111" s="370"/>
    </row>
    <row r="112" spans="1:216" s="393" customFormat="1" ht="18" customHeight="1">
      <c r="A112" s="395"/>
      <c r="B112" s="475" t="s">
        <v>11751</v>
      </c>
      <c r="C112" s="382"/>
      <c r="D112" s="374"/>
      <c r="E112" s="394"/>
      <c r="F112" s="370"/>
      <c r="G112" s="370"/>
      <c r="H112" s="366"/>
      <c r="I112" s="382" t="s">
        <v>363</v>
      </c>
      <c r="J112" s="650">
        <v>1</v>
      </c>
      <c r="K112" s="649"/>
      <c r="L112" s="649"/>
      <c r="M112" s="358"/>
      <c r="N112" s="397">
        <v>1</v>
      </c>
      <c r="O112" s="358"/>
      <c r="P112" s="358"/>
      <c r="Q112" s="358"/>
      <c r="R112" s="650"/>
      <c r="S112" s="650"/>
      <c r="T112" s="650"/>
      <c r="U112" s="397">
        <v>1</v>
      </c>
      <c r="V112" s="650"/>
      <c r="W112" s="650"/>
      <c r="X112" s="397">
        <v>1</v>
      </c>
      <c r="Y112" s="650"/>
      <c r="Z112" s="650"/>
      <c r="AA112" s="650"/>
      <c r="AB112" s="650"/>
      <c r="AC112" s="650"/>
      <c r="AD112" s="650"/>
      <c r="AE112" s="650"/>
      <c r="AF112" s="650"/>
      <c r="AG112" s="650"/>
      <c r="AH112" s="650"/>
      <c r="AI112" s="650"/>
      <c r="AJ112" s="650"/>
      <c r="AK112" s="650"/>
      <c r="AL112" s="650"/>
      <c r="AM112" s="650"/>
      <c r="AN112" s="650"/>
      <c r="AO112" s="391"/>
      <c r="AP112" s="650"/>
      <c r="AQ112" s="650"/>
      <c r="AR112" s="650"/>
      <c r="AS112" s="650"/>
      <c r="AT112" s="650"/>
      <c r="AU112" s="650"/>
      <c r="AV112" s="650"/>
      <c r="AW112" s="650"/>
      <c r="AX112" s="650"/>
      <c r="AY112" s="650"/>
      <c r="AZ112" s="650"/>
      <c r="BA112" s="650"/>
      <c r="BB112" s="650"/>
      <c r="BC112" s="650"/>
      <c r="BD112" s="650"/>
      <c r="BE112" s="387"/>
      <c r="BF112" s="387"/>
      <c r="BG112" s="387"/>
      <c r="BH112" s="387"/>
      <c r="BI112" s="387"/>
      <c r="BJ112" s="387"/>
      <c r="BK112" s="387"/>
      <c r="BL112" s="387"/>
      <c r="BM112" s="387"/>
      <c r="BN112" s="387"/>
      <c r="BO112" s="387"/>
      <c r="BP112" s="387"/>
      <c r="BQ112" s="387"/>
      <c r="BR112" s="387"/>
      <c r="BS112" s="387"/>
      <c r="BT112" s="387"/>
      <c r="BU112" s="387"/>
      <c r="BV112" s="387"/>
      <c r="BW112" s="387"/>
      <c r="BX112" s="387"/>
      <c r="BY112" s="387"/>
      <c r="BZ112" s="387"/>
      <c r="CA112" s="387"/>
      <c r="CB112" s="387"/>
      <c r="CC112" s="387"/>
      <c r="CD112" s="387"/>
      <c r="CE112" s="387"/>
      <c r="CF112" s="387"/>
      <c r="CG112" s="387"/>
      <c r="CH112" s="387"/>
      <c r="CI112" s="387"/>
      <c r="CJ112" s="387"/>
      <c r="CK112" s="370"/>
      <c r="CL112" s="370"/>
      <c r="CM112" s="370"/>
      <c r="CN112" s="370"/>
      <c r="CO112" s="370"/>
      <c r="CP112" s="370"/>
      <c r="CQ112" s="370"/>
      <c r="CR112" s="390"/>
      <c r="CS112" s="390"/>
      <c r="CT112" s="370"/>
      <c r="CU112" s="370"/>
      <c r="CV112" s="370"/>
      <c r="CW112" s="370"/>
      <c r="CX112" s="370"/>
      <c r="CY112" s="370"/>
      <c r="CZ112" s="370"/>
      <c r="DA112" s="370"/>
      <c r="DB112" s="370"/>
      <c r="DC112" s="370"/>
      <c r="DD112" s="370"/>
      <c r="DE112" s="370"/>
      <c r="DF112" s="370"/>
      <c r="DG112" s="370"/>
      <c r="DH112" s="370"/>
      <c r="DI112" s="370"/>
      <c r="DJ112" s="450">
        <v>1</v>
      </c>
      <c r="DK112" s="450">
        <v>1</v>
      </c>
      <c r="DL112" s="370"/>
      <c r="DM112" s="383"/>
      <c r="DN112" s="383"/>
      <c r="DO112" s="370"/>
      <c r="DP112" s="370"/>
      <c r="DQ112" s="370"/>
      <c r="DR112" s="370"/>
      <c r="DS112" s="383"/>
      <c r="DT112" s="383"/>
      <c r="DU112" s="650"/>
      <c r="DV112" s="650"/>
      <c r="DW112" s="370"/>
      <c r="DX112" s="650"/>
      <c r="DY112" s="650"/>
      <c r="DZ112" s="370"/>
      <c r="EA112" s="370"/>
      <c r="EB112" s="390"/>
      <c r="EC112" s="390"/>
      <c r="ED112" s="370"/>
      <c r="EE112" s="370"/>
      <c r="EF112" s="370"/>
      <c r="EG112" s="370"/>
      <c r="EH112" s="370"/>
      <c r="EI112" s="370"/>
      <c r="EJ112" s="370"/>
      <c r="EK112" s="370"/>
      <c r="EL112" s="370"/>
      <c r="EM112" s="370"/>
      <c r="EN112" s="370"/>
      <c r="EO112" s="370"/>
      <c r="EP112" s="370"/>
      <c r="EQ112" s="370"/>
      <c r="ER112" s="370"/>
      <c r="ES112" s="370"/>
      <c r="ET112" s="370"/>
      <c r="EU112" s="370"/>
      <c r="EV112" s="370"/>
      <c r="EW112" s="370"/>
      <c r="EX112" s="370"/>
      <c r="EY112" s="370"/>
      <c r="EZ112" s="370"/>
      <c r="FA112" s="370"/>
      <c r="FB112" s="370"/>
      <c r="FC112" s="370"/>
      <c r="FD112" s="370"/>
      <c r="FE112" s="370"/>
      <c r="FF112" s="450">
        <v>1</v>
      </c>
      <c r="FG112" s="370"/>
      <c r="FH112" s="370"/>
      <c r="FI112" s="654"/>
      <c r="FJ112" s="370"/>
      <c r="FK112" s="370"/>
      <c r="FL112" s="370"/>
      <c r="FM112" s="370"/>
      <c r="FN112" s="370"/>
      <c r="FO112" s="370"/>
      <c r="FP112" s="370"/>
      <c r="FQ112" s="370"/>
      <c r="FR112" s="370"/>
      <c r="FS112" s="370"/>
      <c r="FT112" s="370"/>
      <c r="FU112" s="370"/>
      <c r="FV112" s="370"/>
      <c r="FW112" s="370"/>
      <c r="FX112" s="370"/>
      <c r="FY112" s="370"/>
      <c r="FZ112" s="370"/>
      <c r="GA112" s="370"/>
      <c r="GB112" s="370"/>
      <c r="GC112" s="370"/>
      <c r="GD112" s="370"/>
      <c r="GE112" s="370"/>
      <c r="GF112" s="370"/>
      <c r="GG112" s="370"/>
      <c r="GH112" s="370"/>
      <c r="GI112" s="370"/>
      <c r="GJ112" s="370"/>
      <c r="GK112" s="370"/>
      <c r="GL112" s="370"/>
      <c r="GM112" s="370"/>
      <c r="GN112" s="370"/>
      <c r="GO112" s="370"/>
      <c r="GP112" s="370"/>
      <c r="GQ112" s="370"/>
      <c r="GR112" s="370"/>
      <c r="GS112" s="370"/>
      <c r="GT112" s="370"/>
      <c r="GU112" s="370"/>
      <c r="GV112" s="370"/>
      <c r="GW112" s="370"/>
      <c r="GX112" s="370"/>
      <c r="GY112" s="370"/>
      <c r="GZ112" s="370"/>
      <c r="HA112" s="370"/>
      <c r="HB112" s="370"/>
      <c r="HC112" s="370"/>
      <c r="HD112" s="370"/>
      <c r="HE112" s="370"/>
      <c r="HF112" s="370"/>
      <c r="HG112" s="370"/>
      <c r="HH112" s="370"/>
    </row>
    <row r="113" spans="1:216" s="393" customFormat="1" ht="18" customHeight="1">
      <c r="A113" s="395"/>
      <c r="B113" s="475" t="s">
        <v>10122</v>
      </c>
      <c r="C113" s="382"/>
      <c r="D113" s="374"/>
      <c r="E113" s="394"/>
      <c r="F113" s="370"/>
      <c r="G113" s="370"/>
      <c r="H113" s="366"/>
      <c r="I113" s="382"/>
      <c r="J113" s="384">
        <v>1</v>
      </c>
      <c r="K113" s="352"/>
      <c r="L113" s="352"/>
      <c r="M113" s="358"/>
      <c r="N113" s="358"/>
      <c r="O113" s="397">
        <v>1</v>
      </c>
      <c r="P113" s="358"/>
      <c r="Q113" s="358"/>
      <c r="R113" s="384"/>
      <c r="S113" s="384"/>
      <c r="T113" s="384"/>
      <c r="U113" s="397">
        <v>1</v>
      </c>
      <c r="V113" s="384"/>
      <c r="W113" s="384"/>
      <c r="X113" s="397">
        <v>1</v>
      </c>
      <c r="Y113" s="384"/>
      <c r="Z113" s="384"/>
      <c r="AA113" s="384"/>
      <c r="AB113" s="384"/>
      <c r="AC113" s="384"/>
      <c r="AD113" s="384"/>
      <c r="AE113" s="384"/>
      <c r="AF113" s="384"/>
      <c r="AG113" s="384"/>
      <c r="AH113" s="384"/>
      <c r="AI113" s="384"/>
      <c r="AJ113" s="384"/>
      <c r="AK113" s="384"/>
      <c r="AL113" s="384"/>
      <c r="AM113" s="384"/>
      <c r="AN113" s="384"/>
      <c r="AO113" s="391"/>
      <c r="AP113" s="384"/>
      <c r="AQ113" s="384"/>
      <c r="AR113" s="384"/>
      <c r="AS113" s="384"/>
      <c r="AT113" s="384"/>
      <c r="AU113" s="384"/>
      <c r="AV113" s="384"/>
      <c r="AW113" s="384"/>
      <c r="AX113" s="384"/>
      <c r="AY113" s="384"/>
      <c r="AZ113" s="384"/>
      <c r="BA113" s="384"/>
      <c r="BB113" s="384"/>
      <c r="BC113" s="384"/>
      <c r="BD113" s="384"/>
      <c r="BE113" s="387"/>
      <c r="BF113" s="387"/>
      <c r="BG113" s="387"/>
      <c r="BH113" s="387"/>
      <c r="BI113" s="387"/>
      <c r="BJ113" s="387"/>
      <c r="BK113" s="387"/>
      <c r="BL113" s="387"/>
      <c r="BM113" s="387"/>
      <c r="BN113" s="387"/>
      <c r="BO113" s="387"/>
      <c r="BP113" s="387"/>
      <c r="BQ113" s="387"/>
      <c r="BR113" s="387"/>
      <c r="BS113" s="387"/>
      <c r="BT113" s="387"/>
      <c r="BU113" s="387"/>
      <c r="BV113" s="387"/>
      <c r="BW113" s="387"/>
      <c r="BX113" s="387"/>
      <c r="BY113" s="387"/>
      <c r="BZ113" s="387"/>
      <c r="CA113" s="387"/>
      <c r="CB113" s="387"/>
      <c r="CC113" s="387"/>
      <c r="CD113" s="387"/>
      <c r="CE113" s="387"/>
      <c r="CF113" s="387"/>
      <c r="CG113" s="387"/>
      <c r="CH113" s="387"/>
      <c r="CI113" s="387"/>
      <c r="CJ113" s="387"/>
      <c r="CK113" s="370"/>
      <c r="CL113" s="370"/>
      <c r="CM113" s="370"/>
      <c r="CN113" s="370"/>
      <c r="CO113" s="370"/>
      <c r="CP113" s="370"/>
      <c r="CQ113" s="370"/>
      <c r="CR113" s="390"/>
      <c r="CS113" s="390"/>
      <c r="CT113" s="370"/>
      <c r="CU113" s="370"/>
      <c r="CV113" s="370"/>
      <c r="CW113" s="370"/>
      <c r="CX113" s="370"/>
      <c r="CY113" s="370"/>
      <c r="CZ113" s="370"/>
      <c r="DA113" s="370"/>
      <c r="DB113" s="370"/>
      <c r="DC113" s="370"/>
      <c r="DD113" s="370"/>
      <c r="DE113" s="370"/>
      <c r="DF113" s="370"/>
      <c r="DG113" s="370"/>
      <c r="DH113" s="450">
        <v>1</v>
      </c>
      <c r="DI113" s="450">
        <v>1</v>
      </c>
      <c r="DJ113" s="370"/>
      <c r="DK113" s="370"/>
      <c r="DL113" s="370"/>
      <c r="DM113" s="383"/>
      <c r="DN113" s="383"/>
      <c r="DO113" s="370"/>
      <c r="DP113" s="370"/>
      <c r="DQ113" s="370"/>
      <c r="DR113" s="370"/>
      <c r="DS113" s="383"/>
      <c r="DT113" s="383"/>
      <c r="DU113" s="384"/>
      <c r="DV113" s="384"/>
      <c r="DW113" s="370"/>
      <c r="DX113" s="384"/>
      <c r="DY113" s="384"/>
      <c r="DZ113" s="370"/>
      <c r="EA113" s="370"/>
      <c r="EB113" s="390"/>
      <c r="EC113" s="390"/>
      <c r="ED113" s="370"/>
      <c r="EE113" s="370"/>
      <c r="EF113" s="370"/>
      <c r="EG113" s="370"/>
      <c r="EH113" s="370"/>
      <c r="EI113" s="370"/>
      <c r="EJ113" s="370"/>
      <c r="EK113" s="370"/>
      <c r="EL113" s="370"/>
      <c r="EM113" s="370"/>
      <c r="EN113" s="370"/>
      <c r="EO113" s="370"/>
      <c r="EP113" s="370"/>
      <c r="EQ113" s="370"/>
      <c r="ER113" s="370"/>
      <c r="ES113" s="370"/>
      <c r="ET113" s="370"/>
      <c r="EU113" s="370"/>
      <c r="EV113" s="370"/>
      <c r="EW113" s="370"/>
      <c r="EX113" s="370"/>
      <c r="EY113" s="370"/>
      <c r="EZ113" s="370"/>
      <c r="FA113" s="370"/>
      <c r="FB113" s="370"/>
      <c r="FC113" s="370"/>
      <c r="FD113" s="370"/>
      <c r="FE113" s="370"/>
      <c r="FF113" s="370"/>
      <c r="FG113" s="450">
        <v>1</v>
      </c>
      <c r="FH113" s="450">
        <v>1</v>
      </c>
      <c r="FI113" s="450">
        <v>1</v>
      </c>
      <c r="FJ113" s="450">
        <v>1</v>
      </c>
      <c r="FK113" s="370"/>
      <c r="FL113" s="370"/>
      <c r="FM113" s="370"/>
      <c r="FN113" s="370"/>
      <c r="FO113" s="370"/>
      <c r="FP113" s="370"/>
      <c r="FQ113" s="370"/>
      <c r="FR113" s="370"/>
      <c r="FS113" s="370"/>
      <c r="FT113" s="370"/>
      <c r="FU113" s="370"/>
      <c r="FV113" s="370"/>
      <c r="FW113" s="370"/>
      <c r="FX113" s="370"/>
      <c r="FY113" s="370"/>
      <c r="FZ113" s="370"/>
      <c r="GA113" s="370"/>
      <c r="GB113" s="370"/>
      <c r="GC113" s="370"/>
      <c r="GD113" s="370"/>
      <c r="GE113" s="370"/>
      <c r="GF113" s="370"/>
      <c r="GG113" s="370"/>
      <c r="GH113" s="370"/>
      <c r="GI113" s="370"/>
      <c r="GJ113" s="370"/>
      <c r="GK113" s="370"/>
      <c r="GL113" s="370"/>
      <c r="GM113" s="370"/>
      <c r="GN113" s="370"/>
      <c r="GO113" s="370"/>
      <c r="GP113" s="370"/>
      <c r="GQ113" s="370"/>
      <c r="GR113" s="370"/>
      <c r="GS113" s="370"/>
      <c r="GT113" s="370"/>
      <c r="GU113" s="370"/>
      <c r="GV113" s="370"/>
      <c r="GW113" s="370"/>
      <c r="GX113" s="370"/>
      <c r="GY113" s="370"/>
      <c r="GZ113" s="370"/>
      <c r="HA113" s="370"/>
      <c r="HB113" s="370"/>
      <c r="HC113" s="370"/>
      <c r="HD113" s="370"/>
      <c r="HE113" s="370"/>
      <c r="HF113" s="370"/>
      <c r="HG113" s="370"/>
      <c r="HH113" s="370"/>
    </row>
    <row r="114" spans="1:216" s="393" customFormat="1" ht="18" customHeight="1">
      <c r="A114" s="395"/>
      <c r="B114" s="475" t="s">
        <v>362</v>
      </c>
      <c r="C114" s="382"/>
      <c r="D114" s="374"/>
      <c r="E114" s="394"/>
      <c r="F114" s="370"/>
      <c r="G114" s="370"/>
      <c r="H114" s="366"/>
      <c r="I114" s="382" t="s">
        <v>363</v>
      </c>
      <c r="J114" s="384">
        <v>1</v>
      </c>
      <c r="K114" s="352"/>
      <c r="L114" s="352"/>
      <c r="M114" s="358"/>
      <c r="N114" s="358"/>
      <c r="O114" s="397">
        <v>1</v>
      </c>
      <c r="P114" s="358"/>
      <c r="Q114" s="358"/>
      <c r="R114" s="384"/>
      <c r="S114" s="384"/>
      <c r="T114" s="384"/>
      <c r="U114" s="397">
        <v>1</v>
      </c>
      <c r="V114" s="384"/>
      <c r="W114" s="384"/>
      <c r="X114" s="397">
        <v>1</v>
      </c>
      <c r="Y114" s="384"/>
      <c r="Z114" s="384"/>
      <c r="AA114" s="384"/>
      <c r="AB114" s="384"/>
      <c r="AC114" s="384"/>
      <c r="AD114" s="384"/>
      <c r="AE114" s="384"/>
      <c r="AF114" s="384"/>
      <c r="AG114" s="384"/>
      <c r="AH114" s="384"/>
      <c r="AI114" s="384"/>
      <c r="AJ114" s="384"/>
      <c r="AK114" s="384"/>
      <c r="AL114" s="384"/>
      <c r="AM114" s="384"/>
      <c r="AN114" s="384"/>
      <c r="AO114" s="391"/>
      <c r="AP114" s="384"/>
      <c r="AQ114" s="384"/>
      <c r="AR114" s="384"/>
      <c r="AS114" s="384"/>
      <c r="AT114" s="384"/>
      <c r="AU114" s="384"/>
      <c r="AV114" s="384"/>
      <c r="AW114" s="384"/>
      <c r="AX114" s="384"/>
      <c r="AY114" s="384"/>
      <c r="AZ114" s="384"/>
      <c r="BA114" s="384"/>
      <c r="BB114" s="384"/>
      <c r="BC114" s="384"/>
      <c r="BD114" s="384"/>
      <c r="BE114" s="387"/>
      <c r="BF114" s="387"/>
      <c r="BG114" s="387"/>
      <c r="BH114" s="387"/>
      <c r="BI114" s="387"/>
      <c r="BJ114" s="387"/>
      <c r="BK114" s="387"/>
      <c r="BL114" s="387"/>
      <c r="BM114" s="387"/>
      <c r="BN114" s="387"/>
      <c r="BO114" s="387"/>
      <c r="BP114" s="387"/>
      <c r="BQ114" s="387"/>
      <c r="BR114" s="387"/>
      <c r="BS114" s="387"/>
      <c r="BT114" s="387"/>
      <c r="BU114" s="387"/>
      <c r="BV114" s="387"/>
      <c r="BW114" s="387"/>
      <c r="BX114" s="387"/>
      <c r="BY114" s="387"/>
      <c r="BZ114" s="387"/>
      <c r="CA114" s="387"/>
      <c r="CB114" s="387"/>
      <c r="CC114" s="387"/>
      <c r="CD114" s="387"/>
      <c r="CE114" s="387"/>
      <c r="CF114" s="387"/>
      <c r="CG114" s="387"/>
      <c r="CH114" s="387"/>
      <c r="CI114" s="387"/>
      <c r="CJ114" s="387"/>
      <c r="CK114" s="370"/>
      <c r="CL114" s="370"/>
      <c r="CM114" s="370"/>
      <c r="CN114" s="370"/>
      <c r="CO114" s="370"/>
      <c r="CP114" s="370"/>
      <c r="CQ114" s="370"/>
      <c r="CR114" s="390"/>
      <c r="CS114" s="390"/>
      <c r="CT114" s="370"/>
      <c r="CU114" s="370"/>
      <c r="CV114" s="370"/>
      <c r="CW114" s="370"/>
      <c r="CX114" s="370"/>
      <c r="CY114" s="370"/>
      <c r="CZ114" s="370"/>
      <c r="DA114" s="370"/>
      <c r="DB114" s="370"/>
      <c r="DC114" s="370"/>
      <c r="DD114" s="370"/>
      <c r="DE114" s="370"/>
      <c r="DF114" s="370"/>
      <c r="DG114" s="370"/>
      <c r="DH114" s="450">
        <v>1</v>
      </c>
      <c r="DI114" s="450">
        <v>1</v>
      </c>
      <c r="DJ114" s="370"/>
      <c r="DK114" s="370"/>
      <c r="DL114" s="370"/>
      <c r="DM114" s="383"/>
      <c r="DN114" s="383"/>
      <c r="DO114" s="370"/>
      <c r="DP114" s="370"/>
      <c r="DQ114" s="370"/>
      <c r="DR114" s="370"/>
      <c r="DS114" s="383"/>
      <c r="DT114" s="383"/>
      <c r="DU114" s="384"/>
      <c r="DV114" s="384"/>
      <c r="DW114" s="370"/>
      <c r="DX114" s="384"/>
      <c r="DY114" s="384"/>
      <c r="DZ114" s="370"/>
      <c r="EA114" s="370"/>
      <c r="EB114" s="390"/>
      <c r="EC114" s="390"/>
      <c r="ED114" s="370"/>
      <c r="EE114" s="370"/>
      <c r="EF114" s="370"/>
      <c r="EG114" s="370"/>
      <c r="EH114" s="370"/>
      <c r="EI114" s="370"/>
      <c r="EJ114" s="370"/>
      <c r="EK114" s="370"/>
      <c r="EL114" s="370"/>
      <c r="EM114" s="370"/>
      <c r="EN114" s="370"/>
      <c r="EO114" s="370"/>
      <c r="EP114" s="370"/>
      <c r="EQ114" s="370"/>
      <c r="ER114" s="370"/>
      <c r="ES114" s="370"/>
      <c r="ET114" s="370"/>
      <c r="EU114" s="370"/>
      <c r="EV114" s="370"/>
      <c r="EW114" s="370"/>
      <c r="EX114" s="370"/>
      <c r="EY114" s="370"/>
      <c r="EZ114" s="370"/>
      <c r="FA114" s="370"/>
      <c r="FB114" s="370"/>
      <c r="FC114" s="370"/>
      <c r="FD114" s="370"/>
      <c r="FE114" s="370"/>
      <c r="FF114" s="450">
        <v>1</v>
      </c>
      <c r="FG114" s="370"/>
      <c r="FH114" s="370"/>
      <c r="FI114" s="654"/>
      <c r="FJ114" s="370"/>
      <c r="FK114" s="370"/>
      <c r="FL114" s="370"/>
      <c r="FM114" s="370"/>
      <c r="FN114" s="370"/>
      <c r="FO114" s="370"/>
      <c r="FP114" s="370"/>
      <c r="FQ114" s="370"/>
      <c r="FR114" s="370"/>
      <c r="FS114" s="370"/>
      <c r="FT114" s="370"/>
      <c r="FU114" s="370"/>
      <c r="FV114" s="370"/>
      <c r="FW114" s="370"/>
      <c r="FX114" s="370"/>
      <c r="FY114" s="370"/>
      <c r="FZ114" s="370"/>
      <c r="GA114" s="370"/>
      <c r="GB114" s="370"/>
      <c r="GC114" s="370"/>
      <c r="GD114" s="370"/>
      <c r="GE114" s="370"/>
      <c r="GF114" s="370"/>
      <c r="GG114" s="370"/>
      <c r="GH114" s="370"/>
      <c r="GI114" s="370"/>
      <c r="GJ114" s="370"/>
      <c r="GK114" s="370"/>
      <c r="GL114" s="370"/>
      <c r="GM114" s="370"/>
      <c r="GN114" s="370"/>
      <c r="GO114" s="370"/>
      <c r="GP114" s="370"/>
      <c r="GQ114" s="370"/>
      <c r="GR114" s="370"/>
      <c r="GS114" s="370"/>
      <c r="GT114" s="370"/>
      <c r="GU114" s="370"/>
      <c r="GV114" s="370"/>
      <c r="GW114" s="370"/>
      <c r="GX114" s="370"/>
      <c r="GY114" s="370"/>
      <c r="GZ114" s="370"/>
      <c r="HA114" s="370"/>
      <c r="HB114" s="370"/>
      <c r="HC114" s="370"/>
      <c r="HD114" s="370"/>
      <c r="HE114" s="370"/>
      <c r="HF114" s="370"/>
      <c r="HG114" s="370"/>
      <c r="HH114" s="370"/>
    </row>
    <row r="115" spans="1:216" s="393" customFormat="1" ht="18" customHeight="1">
      <c r="A115" s="395"/>
      <c r="B115" s="475" t="s">
        <v>11752</v>
      </c>
      <c r="C115" s="382"/>
      <c r="D115" s="374"/>
      <c r="E115" s="394"/>
      <c r="F115" s="370"/>
      <c r="G115" s="370"/>
      <c r="H115" s="366"/>
      <c r="I115" s="382"/>
      <c r="J115" s="650">
        <v>1</v>
      </c>
      <c r="K115" s="649"/>
      <c r="L115" s="649"/>
      <c r="M115" s="358"/>
      <c r="N115" s="358"/>
      <c r="O115" s="397">
        <v>1</v>
      </c>
      <c r="P115" s="358"/>
      <c r="Q115" s="358"/>
      <c r="R115" s="650"/>
      <c r="S115" s="650"/>
      <c r="T115" s="650"/>
      <c r="U115" s="397">
        <v>1</v>
      </c>
      <c r="V115" s="650"/>
      <c r="W115" s="650"/>
      <c r="X115" s="397">
        <v>1</v>
      </c>
      <c r="Y115" s="650"/>
      <c r="Z115" s="650"/>
      <c r="AA115" s="650"/>
      <c r="AB115" s="650"/>
      <c r="AC115" s="650"/>
      <c r="AD115" s="650"/>
      <c r="AE115" s="650"/>
      <c r="AF115" s="650"/>
      <c r="AG115" s="650"/>
      <c r="AH115" s="650"/>
      <c r="AI115" s="650"/>
      <c r="AJ115" s="650"/>
      <c r="AK115" s="650"/>
      <c r="AL115" s="650"/>
      <c r="AM115" s="650"/>
      <c r="AN115" s="650"/>
      <c r="AO115" s="391"/>
      <c r="AP115" s="650"/>
      <c r="AQ115" s="650"/>
      <c r="AR115" s="650"/>
      <c r="AS115" s="650"/>
      <c r="AT115" s="650"/>
      <c r="AU115" s="650"/>
      <c r="AV115" s="650"/>
      <c r="AW115" s="650"/>
      <c r="AX115" s="650"/>
      <c r="AY115" s="650"/>
      <c r="AZ115" s="650"/>
      <c r="BA115" s="650"/>
      <c r="BB115" s="650"/>
      <c r="BC115" s="650"/>
      <c r="BD115" s="650"/>
      <c r="BE115" s="387"/>
      <c r="BF115" s="387"/>
      <c r="BG115" s="387"/>
      <c r="BH115" s="387"/>
      <c r="BI115" s="387"/>
      <c r="BJ115" s="387"/>
      <c r="BK115" s="387"/>
      <c r="BL115" s="387"/>
      <c r="BM115" s="387"/>
      <c r="BN115" s="387"/>
      <c r="BO115" s="387"/>
      <c r="BP115" s="387"/>
      <c r="BQ115" s="387"/>
      <c r="BR115" s="387"/>
      <c r="BS115" s="387"/>
      <c r="BT115" s="387"/>
      <c r="BU115" s="387"/>
      <c r="BV115" s="387"/>
      <c r="BW115" s="387"/>
      <c r="BX115" s="387"/>
      <c r="BY115" s="387"/>
      <c r="BZ115" s="387"/>
      <c r="CA115" s="387"/>
      <c r="CB115" s="387"/>
      <c r="CC115" s="387"/>
      <c r="CD115" s="387"/>
      <c r="CE115" s="387"/>
      <c r="CF115" s="387"/>
      <c r="CG115" s="387"/>
      <c r="CH115" s="387"/>
      <c r="CI115" s="387"/>
      <c r="CJ115" s="387"/>
      <c r="CK115" s="370"/>
      <c r="CL115" s="370"/>
      <c r="CM115" s="370"/>
      <c r="CN115" s="370"/>
      <c r="CO115" s="370"/>
      <c r="CP115" s="370"/>
      <c r="CQ115" s="370"/>
      <c r="CR115" s="390"/>
      <c r="CS115" s="390"/>
      <c r="CT115" s="370"/>
      <c r="CU115" s="370"/>
      <c r="CV115" s="370"/>
      <c r="CW115" s="370"/>
      <c r="CX115" s="370"/>
      <c r="CY115" s="370"/>
      <c r="CZ115" s="370"/>
      <c r="DA115" s="370"/>
      <c r="DB115" s="370"/>
      <c r="DC115" s="370"/>
      <c r="DD115" s="370"/>
      <c r="DE115" s="370"/>
      <c r="DF115" s="370"/>
      <c r="DG115" s="370"/>
      <c r="DH115" s="370"/>
      <c r="DI115" s="370"/>
      <c r="DJ115" s="450">
        <v>1</v>
      </c>
      <c r="DK115" s="450">
        <v>1</v>
      </c>
      <c r="DL115" s="370"/>
      <c r="DM115" s="383"/>
      <c r="DN115" s="383"/>
      <c r="DO115" s="370"/>
      <c r="DP115" s="370"/>
      <c r="DQ115" s="370"/>
      <c r="DR115" s="370"/>
      <c r="DS115" s="383"/>
      <c r="DT115" s="383"/>
      <c r="DU115" s="650"/>
      <c r="DV115" s="650"/>
      <c r="DW115" s="370"/>
      <c r="DX115" s="650"/>
      <c r="DY115" s="650"/>
      <c r="DZ115" s="370"/>
      <c r="EA115" s="370"/>
      <c r="EB115" s="390"/>
      <c r="EC115" s="390"/>
      <c r="ED115" s="370"/>
      <c r="EE115" s="370"/>
      <c r="EF115" s="370"/>
      <c r="EG115" s="370"/>
      <c r="EH115" s="370"/>
      <c r="EI115" s="370"/>
      <c r="EJ115" s="370"/>
      <c r="EK115" s="370"/>
      <c r="EL115" s="370"/>
      <c r="EM115" s="370"/>
      <c r="EN115" s="370"/>
      <c r="EO115" s="370"/>
      <c r="EP115" s="370"/>
      <c r="EQ115" s="370"/>
      <c r="ER115" s="370"/>
      <c r="ES115" s="370"/>
      <c r="ET115" s="370"/>
      <c r="EU115" s="370"/>
      <c r="EV115" s="370"/>
      <c r="EW115" s="370"/>
      <c r="EX115" s="370"/>
      <c r="EY115" s="370"/>
      <c r="EZ115" s="370"/>
      <c r="FA115" s="370"/>
      <c r="FB115" s="370"/>
      <c r="FC115" s="370"/>
      <c r="FD115" s="370"/>
      <c r="FE115" s="370"/>
      <c r="FF115" s="370"/>
      <c r="FG115" s="450">
        <v>1</v>
      </c>
      <c r="FH115" s="450">
        <v>1</v>
      </c>
      <c r="FI115" s="450">
        <v>1</v>
      </c>
      <c r="FJ115" s="450">
        <v>1</v>
      </c>
      <c r="FK115" s="370"/>
      <c r="FL115" s="370"/>
      <c r="FM115" s="370"/>
      <c r="FN115" s="370"/>
      <c r="FO115" s="370"/>
      <c r="FP115" s="370"/>
      <c r="FQ115" s="370"/>
      <c r="FR115" s="370"/>
      <c r="FS115" s="370"/>
      <c r="FT115" s="370"/>
      <c r="FU115" s="370"/>
      <c r="FV115" s="370"/>
      <c r="FW115" s="370"/>
      <c r="FX115" s="370"/>
      <c r="FY115" s="370"/>
      <c r="FZ115" s="370"/>
      <c r="GA115" s="370"/>
      <c r="GB115" s="370"/>
      <c r="GC115" s="370"/>
      <c r="GD115" s="370"/>
      <c r="GE115" s="370"/>
      <c r="GF115" s="370"/>
      <c r="GG115" s="370"/>
      <c r="GH115" s="370"/>
      <c r="GI115" s="370"/>
      <c r="GJ115" s="370"/>
      <c r="GK115" s="370"/>
      <c r="GL115" s="370"/>
      <c r="GM115" s="370"/>
      <c r="GN115" s="370"/>
      <c r="GO115" s="370"/>
      <c r="GP115" s="370"/>
      <c r="GQ115" s="370"/>
      <c r="GR115" s="370"/>
      <c r="GS115" s="370"/>
      <c r="GT115" s="370"/>
      <c r="GU115" s="370"/>
      <c r="GV115" s="370"/>
      <c r="GW115" s="370"/>
      <c r="GX115" s="370"/>
      <c r="GY115" s="370"/>
      <c r="GZ115" s="370"/>
      <c r="HA115" s="370"/>
      <c r="HB115" s="370"/>
      <c r="HC115" s="370"/>
      <c r="HD115" s="370"/>
      <c r="HE115" s="370"/>
      <c r="HF115" s="370"/>
      <c r="HG115" s="370"/>
      <c r="HH115" s="370"/>
    </row>
    <row r="116" spans="1:216" s="393" customFormat="1" ht="18" customHeight="1">
      <c r="A116" s="395"/>
      <c r="B116" s="475" t="s">
        <v>11753</v>
      </c>
      <c r="C116" s="382"/>
      <c r="D116" s="374"/>
      <c r="E116" s="394"/>
      <c r="F116" s="370"/>
      <c r="G116" s="370"/>
      <c r="H116" s="366"/>
      <c r="I116" s="382" t="s">
        <v>363</v>
      </c>
      <c r="J116" s="650">
        <v>1</v>
      </c>
      <c r="K116" s="649"/>
      <c r="L116" s="649"/>
      <c r="M116" s="358"/>
      <c r="N116" s="358"/>
      <c r="O116" s="397">
        <v>1</v>
      </c>
      <c r="P116" s="358"/>
      <c r="Q116" s="358"/>
      <c r="R116" s="650"/>
      <c r="S116" s="650"/>
      <c r="T116" s="650"/>
      <c r="U116" s="397">
        <v>1</v>
      </c>
      <c r="V116" s="650"/>
      <c r="W116" s="650"/>
      <c r="X116" s="397">
        <v>1</v>
      </c>
      <c r="Y116" s="650"/>
      <c r="Z116" s="650"/>
      <c r="AA116" s="650"/>
      <c r="AB116" s="650"/>
      <c r="AC116" s="650"/>
      <c r="AD116" s="650"/>
      <c r="AE116" s="650"/>
      <c r="AF116" s="650"/>
      <c r="AG116" s="650"/>
      <c r="AH116" s="650"/>
      <c r="AI116" s="650"/>
      <c r="AJ116" s="650"/>
      <c r="AK116" s="650"/>
      <c r="AL116" s="650"/>
      <c r="AM116" s="650"/>
      <c r="AN116" s="650"/>
      <c r="AO116" s="391"/>
      <c r="AP116" s="650"/>
      <c r="AQ116" s="650"/>
      <c r="AR116" s="650"/>
      <c r="AS116" s="650"/>
      <c r="AT116" s="650"/>
      <c r="AU116" s="650"/>
      <c r="AV116" s="650"/>
      <c r="AW116" s="650"/>
      <c r="AX116" s="650"/>
      <c r="AY116" s="650"/>
      <c r="AZ116" s="650"/>
      <c r="BA116" s="650"/>
      <c r="BB116" s="650"/>
      <c r="BC116" s="650"/>
      <c r="BD116" s="650"/>
      <c r="BE116" s="387"/>
      <c r="BF116" s="387"/>
      <c r="BG116" s="387"/>
      <c r="BH116" s="387"/>
      <c r="BI116" s="387"/>
      <c r="BJ116" s="387"/>
      <c r="BK116" s="387"/>
      <c r="BL116" s="387"/>
      <c r="BM116" s="387"/>
      <c r="BN116" s="387"/>
      <c r="BO116" s="387"/>
      <c r="BP116" s="387"/>
      <c r="BQ116" s="387"/>
      <c r="BR116" s="387"/>
      <c r="BS116" s="387"/>
      <c r="BT116" s="387"/>
      <c r="BU116" s="387"/>
      <c r="BV116" s="387"/>
      <c r="BW116" s="387"/>
      <c r="BX116" s="387"/>
      <c r="BY116" s="387"/>
      <c r="BZ116" s="387"/>
      <c r="CA116" s="387"/>
      <c r="CB116" s="387"/>
      <c r="CC116" s="387"/>
      <c r="CD116" s="387"/>
      <c r="CE116" s="387"/>
      <c r="CF116" s="387"/>
      <c r="CG116" s="387"/>
      <c r="CH116" s="387"/>
      <c r="CI116" s="387"/>
      <c r="CJ116" s="387"/>
      <c r="CK116" s="370"/>
      <c r="CL116" s="370"/>
      <c r="CM116" s="370"/>
      <c r="CN116" s="370"/>
      <c r="CO116" s="370"/>
      <c r="CP116" s="370"/>
      <c r="CQ116" s="370"/>
      <c r="CR116" s="390"/>
      <c r="CS116" s="390"/>
      <c r="CT116" s="370"/>
      <c r="CU116" s="370"/>
      <c r="CV116" s="370"/>
      <c r="CW116" s="370"/>
      <c r="CX116" s="370"/>
      <c r="CY116" s="370"/>
      <c r="CZ116" s="370"/>
      <c r="DA116" s="370"/>
      <c r="DB116" s="370"/>
      <c r="DC116" s="370"/>
      <c r="DD116" s="370"/>
      <c r="DE116" s="370"/>
      <c r="DF116" s="370"/>
      <c r="DG116" s="370"/>
      <c r="DH116" s="370"/>
      <c r="DI116" s="370"/>
      <c r="DJ116" s="450">
        <v>1</v>
      </c>
      <c r="DK116" s="450">
        <v>1</v>
      </c>
      <c r="DL116" s="370"/>
      <c r="DM116" s="383"/>
      <c r="DN116" s="383"/>
      <c r="DO116" s="370"/>
      <c r="DP116" s="370"/>
      <c r="DQ116" s="370"/>
      <c r="DR116" s="370"/>
      <c r="DS116" s="383"/>
      <c r="DT116" s="383"/>
      <c r="DU116" s="650"/>
      <c r="DV116" s="650"/>
      <c r="DW116" s="370"/>
      <c r="DX116" s="650"/>
      <c r="DY116" s="650"/>
      <c r="DZ116" s="370"/>
      <c r="EA116" s="370"/>
      <c r="EB116" s="390"/>
      <c r="EC116" s="390"/>
      <c r="ED116" s="370"/>
      <c r="EE116" s="370"/>
      <c r="EF116" s="370"/>
      <c r="EG116" s="370"/>
      <c r="EH116" s="370"/>
      <c r="EI116" s="370"/>
      <c r="EJ116" s="370"/>
      <c r="EK116" s="370"/>
      <c r="EL116" s="370"/>
      <c r="EM116" s="370"/>
      <c r="EN116" s="370"/>
      <c r="EO116" s="370"/>
      <c r="EP116" s="370"/>
      <c r="EQ116" s="370"/>
      <c r="ER116" s="370"/>
      <c r="ES116" s="370"/>
      <c r="ET116" s="370"/>
      <c r="EU116" s="370"/>
      <c r="EV116" s="370"/>
      <c r="EW116" s="370"/>
      <c r="EX116" s="370"/>
      <c r="EY116" s="370"/>
      <c r="EZ116" s="370"/>
      <c r="FA116" s="370"/>
      <c r="FB116" s="370"/>
      <c r="FC116" s="370"/>
      <c r="FD116" s="370"/>
      <c r="FE116" s="370"/>
      <c r="FF116" s="450">
        <v>1</v>
      </c>
      <c r="FG116" s="370"/>
      <c r="FH116" s="370"/>
      <c r="FI116" s="654"/>
      <c r="FJ116" s="370"/>
      <c r="FK116" s="370"/>
      <c r="FL116" s="370"/>
      <c r="FM116" s="370"/>
      <c r="FN116" s="370"/>
      <c r="FO116" s="370"/>
      <c r="FP116" s="370"/>
      <c r="FQ116" s="370"/>
      <c r="FR116" s="370"/>
      <c r="FS116" s="370"/>
      <c r="FT116" s="370"/>
      <c r="FU116" s="370"/>
      <c r="FV116" s="370"/>
      <c r="FW116" s="370"/>
      <c r="FX116" s="370"/>
      <c r="FY116" s="370"/>
      <c r="FZ116" s="370"/>
      <c r="GA116" s="370"/>
      <c r="GB116" s="370"/>
      <c r="GC116" s="370"/>
      <c r="GD116" s="370"/>
      <c r="GE116" s="370"/>
      <c r="GF116" s="370"/>
      <c r="GG116" s="370"/>
      <c r="GH116" s="370"/>
      <c r="GI116" s="370"/>
      <c r="GJ116" s="370"/>
      <c r="GK116" s="370"/>
      <c r="GL116" s="370"/>
      <c r="GM116" s="370"/>
      <c r="GN116" s="370"/>
      <c r="GO116" s="370"/>
      <c r="GP116" s="370"/>
      <c r="GQ116" s="370"/>
      <c r="GR116" s="370"/>
      <c r="GS116" s="370"/>
      <c r="GT116" s="370"/>
      <c r="GU116" s="370"/>
      <c r="GV116" s="370"/>
      <c r="GW116" s="370"/>
      <c r="GX116" s="370"/>
      <c r="GY116" s="370"/>
      <c r="GZ116" s="370"/>
      <c r="HA116" s="370"/>
      <c r="HB116" s="370"/>
      <c r="HC116" s="370"/>
      <c r="HD116" s="370"/>
      <c r="HE116" s="370"/>
      <c r="HF116" s="370"/>
      <c r="HG116" s="370"/>
      <c r="HH116" s="370"/>
    </row>
    <row r="117" spans="1:216" ht="18" customHeight="1">
      <c r="A117" s="395"/>
      <c r="B117" s="314" t="s">
        <v>8732</v>
      </c>
      <c r="C117" s="396"/>
      <c r="D117" s="317" t="s">
        <v>8733</v>
      </c>
      <c r="E117" s="317"/>
      <c r="F117" s="383"/>
      <c r="G117" s="383"/>
      <c r="H117" s="370"/>
      <c r="I117" s="317"/>
      <c r="J117" s="384">
        <v>1</v>
      </c>
      <c r="K117" s="384"/>
      <c r="L117" s="384"/>
      <c r="M117" s="397">
        <v>1</v>
      </c>
      <c r="N117" s="397">
        <v>1</v>
      </c>
      <c r="O117" s="397">
        <v>1</v>
      </c>
      <c r="P117" s="384"/>
      <c r="Q117" s="384"/>
      <c r="R117" s="384"/>
      <c r="S117" s="384"/>
      <c r="T117" s="384"/>
      <c r="U117" s="397">
        <v>1</v>
      </c>
      <c r="V117" s="384"/>
      <c r="W117" s="384"/>
      <c r="X117" s="397">
        <v>1</v>
      </c>
      <c r="Y117" s="384"/>
      <c r="Z117" s="384"/>
      <c r="AA117" s="384"/>
      <c r="AB117" s="384"/>
      <c r="AC117" s="384"/>
      <c r="AD117" s="384"/>
      <c r="AE117" s="384"/>
      <c r="AF117" s="384"/>
      <c r="AG117" s="384"/>
      <c r="AH117" s="384"/>
      <c r="AI117" s="384"/>
      <c r="AJ117" s="384"/>
      <c r="AK117" s="384"/>
      <c r="AL117" s="384"/>
      <c r="AM117" s="384"/>
      <c r="AN117" s="384"/>
      <c r="AO117" s="391"/>
      <c r="AP117" s="315"/>
      <c r="AQ117" s="315"/>
      <c r="AR117" s="315"/>
      <c r="AS117" s="315"/>
      <c r="AT117" s="315"/>
      <c r="AU117" s="315"/>
      <c r="AV117" s="315"/>
      <c r="AW117" s="315"/>
      <c r="AX117" s="315"/>
      <c r="AY117" s="315"/>
      <c r="AZ117" s="315"/>
      <c r="BA117" s="315"/>
      <c r="BB117" s="315"/>
      <c r="BC117" s="315"/>
      <c r="BD117" s="315"/>
      <c r="BE117" s="387"/>
      <c r="BF117" s="387"/>
      <c r="BG117" s="387"/>
      <c r="BH117" s="387"/>
      <c r="BI117" s="387"/>
      <c r="BJ117" s="387"/>
      <c r="BK117" s="387"/>
      <c r="BL117" s="387"/>
      <c r="BM117" s="387"/>
      <c r="BN117" s="387"/>
      <c r="BO117" s="387"/>
      <c r="BP117" s="387"/>
      <c r="BQ117" s="387"/>
      <c r="BR117" s="387"/>
      <c r="BS117" s="387"/>
      <c r="BT117" s="387"/>
      <c r="BU117" s="387"/>
      <c r="BV117" s="387"/>
      <c r="BW117" s="387"/>
      <c r="BX117" s="387"/>
      <c r="BY117" s="387"/>
      <c r="BZ117" s="387"/>
      <c r="CA117" s="387"/>
      <c r="CB117" s="387"/>
      <c r="CC117" s="387"/>
      <c r="CD117" s="387"/>
      <c r="CE117" s="387"/>
      <c r="CF117" s="387"/>
      <c r="CG117" s="387"/>
      <c r="CH117" s="387"/>
      <c r="CI117" s="387"/>
      <c r="CJ117" s="387"/>
      <c r="CK117" s="383"/>
      <c r="CL117" s="383"/>
      <c r="CM117" s="383"/>
      <c r="CN117" s="383"/>
      <c r="CO117" s="383"/>
      <c r="CP117" s="383"/>
      <c r="CQ117" s="383"/>
      <c r="CR117" s="390"/>
      <c r="CS117" s="390"/>
      <c r="CT117" s="383"/>
      <c r="CU117" s="383"/>
      <c r="CV117" s="383"/>
      <c r="CW117" s="383"/>
      <c r="CX117" s="383"/>
      <c r="CY117" s="383"/>
      <c r="CZ117" s="383"/>
      <c r="DA117" s="383"/>
      <c r="DB117" s="383"/>
      <c r="DC117" s="383"/>
      <c r="DD117" s="383"/>
      <c r="DE117" s="383"/>
      <c r="DF117" s="383"/>
      <c r="DG117" s="383"/>
      <c r="DH117" s="370"/>
      <c r="DI117" s="370"/>
      <c r="DJ117" s="370"/>
      <c r="DK117" s="370"/>
      <c r="DL117" s="370"/>
      <c r="DM117" s="383"/>
      <c r="DN117" s="383"/>
      <c r="DO117" s="383"/>
      <c r="DP117" s="383"/>
      <c r="DQ117" s="383"/>
      <c r="DR117" s="383"/>
      <c r="DS117" s="370"/>
      <c r="DT117" s="370"/>
      <c r="DU117" s="384"/>
      <c r="DV117" s="384"/>
      <c r="DW117" s="383"/>
      <c r="DX117" s="315"/>
      <c r="DY117" s="315"/>
      <c r="DZ117" s="383"/>
      <c r="EA117" s="383"/>
      <c r="EB117" s="390"/>
      <c r="EC117" s="390"/>
      <c r="ED117" s="383"/>
      <c r="EE117" s="383"/>
      <c r="EF117" s="383"/>
      <c r="EG117" s="383"/>
      <c r="EH117" s="383"/>
      <c r="EI117" s="383"/>
      <c r="EJ117" s="383"/>
      <c r="EK117" s="383"/>
      <c r="EL117" s="383"/>
      <c r="EM117" s="383"/>
      <c r="EN117" s="370"/>
      <c r="EO117" s="370"/>
      <c r="EP117" s="370"/>
      <c r="EQ117" s="370"/>
      <c r="ER117" s="370"/>
      <c r="ES117" s="370"/>
      <c r="ET117" s="383"/>
      <c r="EU117" s="383"/>
      <c r="EV117" s="383"/>
      <c r="EW117" s="383"/>
      <c r="EX117" s="383"/>
      <c r="EY117" s="383"/>
      <c r="EZ117" s="383"/>
      <c r="FA117" s="383"/>
      <c r="FB117" s="383"/>
      <c r="FC117" s="383"/>
      <c r="FD117" s="383"/>
      <c r="FE117" s="383"/>
      <c r="FF117" s="383"/>
      <c r="FG117" s="383"/>
      <c r="FH117" s="383"/>
      <c r="FI117" s="383"/>
      <c r="FJ117" s="383"/>
      <c r="FK117" s="383"/>
      <c r="FL117" s="383"/>
      <c r="FM117" s="383"/>
      <c r="FN117" s="383"/>
      <c r="FO117" s="383"/>
      <c r="FP117" s="383"/>
      <c r="FQ117" s="383"/>
      <c r="FR117" s="383"/>
      <c r="FS117" s="383"/>
      <c r="FT117" s="383"/>
      <c r="FU117" s="383"/>
      <c r="FV117" s="383"/>
      <c r="FW117" s="383"/>
      <c r="FX117" s="383"/>
      <c r="FY117" s="383"/>
      <c r="FZ117" s="383"/>
      <c r="GA117" s="383"/>
      <c r="GB117" s="383"/>
      <c r="GC117" s="383"/>
      <c r="GD117" s="383"/>
      <c r="GE117" s="383"/>
      <c r="GF117" s="383"/>
      <c r="GG117" s="383"/>
      <c r="GH117" s="383"/>
      <c r="GI117" s="383"/>
      <c r="GJ117" s="383"/>
      <c r="GK117" s="383"/>
      <c r="GL117" s="383"/>
      <c r="GM117" s="383"/>
      <c r="GN117" s="383"/>
      <c r="GO117" s="383"/>
      <c r="GP117" s="383"/>
      <c r="GQ117" s="383"/>
      <c r="GR117" s="383"/>
      <c r="GS117" s="383"/>
      <c r="GT117" s="383"/>
      <c r="GU117" s="383"/>
      <c r="GV117" s="383"/>
      <c r="GW117" s="383"/>
      <c r="GX117" s="383"/>
      <c r="GY117" s="383"/>
      <c r="GZ117" s="383"/>
      <c r="HA117" s="383"/>
      <c r="HB117" s="383"/>
      <c r="HC117" s="383"/>
      <c r="HD117" s="383"/>
      <c r="HE117" s="383"/>
      <c r="HF117" s="383"/>
      <c r="HG117" s="383"/>
      <c r="HH117" s="383"/>
    </row>
    <row r="118" spans="1:216" ht="18" customHeight="1">
      <c r="A118" s="395"/>
      <c r="B118" s="314" t="s">
        <v>8736</v>
      </c>
      <c r="C118" s="398"/>
      <c r="D118" s="399" t="s">
        <v>8737</v>
      </c>
      <c r="E118" s="317" t="s">
        <v>8043</v>
      </c>
      <c r="F118" s="383"/>
      <c r="G118" s="383"/>
      <c r="H118" s="384"/>
      <c r="I118" s="317"/>
      <c r="J118" s="384">
        <v>1</v>
      </c>
      <c r="K118" s="384"/>
      <c r="L118" s="384"/>
      <c r="M118" s="397">
        <v>1</v>
      </c>
      <c r="N118" s="384"/>
      <c r="O118" s="384"/>
      <c r="P118" s="384"/>
      <c r="Q118" s="384"/>
      <c r="R118" s="384"/>
      <c r="S118" s="384"/>
      <c r="T118" s="384"/>
      <c r="U118" s="397">
        <v>1</v>
      </c>
      <c r="V118" s="384"/>
      <c r="W118" s="384"/>
      <c r="X118" s="384"/>
      <c r="Y118" s="384"/>
      <c r="Z118" s="384"/>
      <c r="AA118" s="384"/>
      <c r="AB118" s="397">
        <v>1</v>
      </c>
      <c r="AC118" s="397">
        <v>1</v>
      </c>
      <c r="AD118" s="384"/>
      <c r="AE118" s="384"/>
      <c r="AF118" s="384"/>
      <c r="AG118" s="384"/>
      <c r="AH118" s="384"/>
      <c r="AI118" s="384"/>
      <c r="AJ118" s="383"/>
      <c r="AK118" s="383"/>
      <c r="AL118" s="384"/>
      <c r="AM118" s="384"/>
      <c r="AN118" s="384"/>
      <c r="AO118" s="391"/>
      <c r="AP118" s="315"/>
      <c r="AQ118" s="315"/>
      <c r="AR118" s="315"/>
      <c r="AS118" s="315"/>
      <c r="AT118" s="315"/>
      <c r="AU118" s="315"/>
      <c r="AV118" s="315"/>
      <c r="AW118" s="315"/>
      <c r="AX118" s="315"/>
      <c r="AY118" s="315"/>
      <c r="AZ118" s="315"/>
      <c r="BA118" s="315"/>
      <c r="BB118" s="315"/>
      <c r="BC118" s="315"/>
      <c r="BD118" s="315"/>
      <c r="BE118" s="387"/>
      <c r="BF118" s="387"/>
      <c r="BG118" s="387"/>
      <c r="BH118" s="387"/>
      <c r="BI118" s="387"/>
      <c r="BJ118" s="387"/>
      <c r="BK118" s="387"/>
      <c r="BL118" s="387"/>
      <c r="BM118" s="387"/>
      <c r="BN118" s="387"/>
      <c r="BO118" s="387"/>
      <c r="BP118" s="387"/>
      <c r="BQ118" s="387"/>
      <c r="BR118" s="387"/>
      <c r="BS118" s="387"/>
      <c r="BT118" s="387"/>
      <c r="BU118" s="387"/>
      <c r="BV118" s="387"/>
      <c r="BW118" s="387"/>
      <c r="BX118" s="387"/>
      <c r="BY118" s="387"/>
      <c r="BZ118" s="387"/>
      <c r="CA118" s="387"/>
      <c r="CB118" s="387"/>
      <c r="CC118" s="387"/>
      <c r="CD118" s="387"/>
      <c r="CE118" s="387"/>
      <c r="CF118" s="387"/>
      <c r="CG118" s="387"/>
      <c r="CH118" s="387"/>
      <c r="CI118" s="387"/>
      <c r="CJ118" s="387"/>
      <c r="CK118" s="383"/>
      <c r="CL118" s="383"/>
      <c r="CM118" s="383"/>
      <c r="CN118" s="383"/>
      <c r="CO118" s="383"/>
      <c r="CP118" s="383"/>
      <c r="CQ118" s="383"/>
      <c r="CR118" s="388"/>
      <c r="CS118" s="388"/>
      <c r="CT118" s="383"/>
      <c r="CU118" s="383"/>
      <c r="CV118" s="383"/>
      <c r="CW118" s="383"/>
      <c r="CX118" s="383"/>
      <c r="CY118" s="383"/>
      <c r="CZ118" s="383"/>
      <c r="DA118" s="383"/>
      <c r="DB118" s="383"/>
      <c r="DC118" s="383"/>
      <c r="DD118" s="383"/>
      <c r="DE118" s="383"/>
      <c r="DF118" s="383"/>
      <c r="DG118" s="383"/>
      <c r="DH118" s="370"/>
      <c r="DI118" s="370"/>
      <c r="DJ118" s="370"/>
      <c r="DK118" s="370"/>
      <c r="DL118" s="370"/>
      <c r="DM118" s="383"/>
      <c r="DN118" s="383"/>
      <c r="DO118" s="383"/>
      <c r="DP118" s="383"/>
      <c r="DQ118" s="383"/>
      <c r="DR118" s="383"/>
      <c r="DS118" s="370"/>
      <c r="DT118" s="370"/>
      <c r="DU118" s="384"/>
      <c r="DV118" s="384"/>
      <c r="DW118" s="383"/>
      <c r="DX118" s="315"/>
      <c r="DY118" s="315"/>
      <c r="DZ118" s="383"/>
      <c r="EA118" s="383"/>
      <c r="EB118" s="390"/>
      <c r="EC118" s="390"/>
      <c r="ED118" s="383"/>
      <c r="EE118" s="383"/>
      <c r="EF118" s="383"/>
      <c r="EG118" s="383"/>
      <c r="EH118" s="383"/>
      <c r="EI118" s="383"/>
      <c r="EJ118" s="383"/>
      <c r="EK118" s="383"/>
      <c r="EL118" s="383"/>
      <c r="EM118" s="383"/>
      <c r="EN118" s="370"/>
      <c r="EO118" s="370"/>
      <c r="EP118" s="370"/>
      <c r="EQ118" s="370"/>
      <c r="ER118" s="370"/>
      <c r="ES118" s="370"/>
      <c r="ET118" s="383"/>
      <c r="EU118" s="383"/>
      <c r="EV118" s="383"/>
      <c r="EW118" s="383"/>
      <c r="EX118" s="383"/>
      <c r="EY118" s="383"/>
      <c r="EZ118" s="383"/>
      <c r="FA118" s="383"/>
      <c r="FB118" s="383"/>
      <c r="FC118" s="383"/>
      <c r="FD118" s="383"/>
      <c r="FE118" s="383"/>
      <c r="FF118" s="383"/>
      <c r="FG118" s="383"/>
      <c r="FH118" s="383"/>
      <c r="FI118" s="383"/>
      <c r="FJ118" s="383"/>
      <c r="FK118" s="383"/>
      <c r="FL118" s="383"/>
      <c r="FM118" s="383"/>
      <c r="FN118" s="383"/>
      <c r="FO118" s="383"/>
      <c r="FP118" s="383"/>
      <c r="FQ118" s="383"/>
      <c r="FR118" s="383"/>
      <c r="FS118" s="383"/>
      <c r="FT118" s="383"/>
      <c r="FU118" s="383"/>
      <c r="FV118" s="383"/>
      <c r="FW118" s="383"/>
      <c r="FX118" s="383"/>
      <c r="FY118" s="383"/>
      <c r="FZ118" s="383"/>
      <c r="GA118" s="383"/>
      <c r="GB118" s="383"/>
      <c r="GC118" s="383"/>
      <c r="GD118" s="383"/>
      <c r="GE118" s="383"/>
      <c r="GF118" s="383"/>
      <c r="GG118" s="383"/>
      <c r="GH118" s="383"/>
      <c r="GI118" s="383"/>
      <c r="GJ118" s="383"/>
      <c r="GK118" s="383"/>
      <c r="GL118" s="383"/>
      <c r="GM118" s="383"/>
      <c r="GN118" s="383"/>
      <c r="GO118" s="383"/>
      <c r="GP118" s="383"/>
      <c r="GQ118" s="383"/>
      <c r="GR118" s="383"/>
      <c r="GS118" s="383"/>
      <c r="GT118" s="383"/>
      <c r="GU118" s="383"/>
      <c r="GV118" s="383"/>
      <c r="GW118" s="383"/>
      <c r="GX118" s="383"/>
      <c r="GY118" s="383"/>
      <c r="GZ118" s="383"/>
      <c r="HA118" s="383"/>
      <c r="HB118" s="383"/>
      <c r="HC118" s="383"/>
      <c r="HD118" s="383"/>
      <c r="HE118" s="383"/>
      <c r="HF118" s="383"/>
      <c r="HG118" s="383"/>
      <c r="HH118" s="383"/>
    </row>
    <row r="119" spans="1:216" ht="18" customHeight="1">
      <c r="A119" s="395"/>
      <c r="B119" s="314" t="s">
        <v>8738</v>
      </c>
      <c r="C119" s="398"/>
      <c r="D119" s="399" t="s">
        <v>8739</v>
      </c>
      <c r="E119" s="317" t="s">
        <v>8043</v>
      </c>
      <c r="F119" s="383"/>
      <c r="G119" s="383"/>
      <c r="H119" s="384"/>
      <c r="I119" s="317"/>
      <c r="J119" s="384">
        <v>1</v>
      </c>
      <c r="K119" s="384"/>
      <c r="L119" s="384"/>
      <c r="M119" s="384"/>
      <c r="N119" s="397">
        <v>1</v>
      </c>
      <c r="O119" s="384"/>
      <c r="P119" s="384"/>
      <c r="Q119" s="384"/>
      <c r="R119" s="384"/>
      <c r="S119" s="384"/>
      <c r="T119" s="384"/>
      <c r="U119" s="397">
        <v>1</v>
      </c>
      <c r="V119" s="384"/>
      <c r="W119" s="384"/>
      <c r="X119" s="384"/>
      <c r="Y119" s="384"/>
      <c r="Z119" s="384"/>
      <c r="AA119" s="384"/>
      <c r="AB119" s="397">
        <v>1</v>
      </c>
      <c r="AC119" s="397">
        <v>1</v>
      </c>
      <c r="AD119" s="384"/>
      <c r="AE119" s="384"/>
      <c r="AF119" s="384"/>
      <c r="AG119" s="384"/>
      <c r="AH119" s="384"/>
      <c r="AI119" s="384"/>
      <c r="AJ119" s="383"/>
      <c r="AK119" s="383"/>
      <c r="AL119" s="384"/>
      <c r="AM119" s="384"/>
      <c r="AN119" s="384"/>
      <c r="AO119" s="391"/>
      <c r="AP119" s="315"/>
      <c r="AQ119" s="315"/>
      <c r="AR119" s="315"/>
      <c r="AS119" s="315"/>
      <c r="AT119" s="315"/>
      <c r="AU119" s="315"/>
      <c r="AV119" s="315"/>
      <c r="AW119" s="315"/>
      <c r="AX119" s="315"/>
      <c r="AY119" s="315"/>
      <c r="AZ119" s="315"/>
      <c r="BA119" s="315"/>
      <c r="BB119" s="315"/>
      <c r="BC119" s="315"/>
      <c r="BD119" s="315"/>
      <c r="BE119" s="387"/>
      <c r="BF119" s="387"/>
      <c r="BG119" s="387"/>
      <c r="BH119" s="387"/>
      <c r="BI119" s="387"/>
      <c r="BJ119" s="387"/>
      <c r="BK119" s="387"/>
      <c r="BL119" s="387"/>
      <c r="BM119" s="387"/>
      <c r="BN119" s="387"/>
      <c r="BO119" s="387"/>
      <c r="BP119" s="387"/>
      <c r="BQ119" s="387"/>
      <c r="BR119" s="387"/>
      <c r="BS119" s="387"/>
      <c r="BT119" s="387"/>
      <c r="BU119" s="387"/>
      <c r="BV119" s="387"/>
      <c r="BW119" s="387"/>
      <c r="BX119" s="387"/>
      <c r="BY119" s="387"/>
      <c r="BZ119" s="387"/>
      <c r="CA119" s="387"/>
      <c r="CB119" s="387"/>
      <c r="CC119" s="387"/>
      <c r="CD119" s="387"/>
      <c r="CE119" s="387"/>
      <c r="CF119" s="387"/>
      <c r="CG119" s="387"/>
      <c r="CH119" s="387"/>
      <c r="CI119" s="387"/>
      <c r="CJ119" s="387"/>
      <c r="CK119" s="383"/>
      <c r="CL119" s="383"/>
      <c r="CM119" s="383"/>
      <c r="CN119" s="383"/>
      <c r="CO119" s="383"/>
      <c r="CP119" s="383"/>
      <c r="CQ119" s="383"/>
      <c r="CR119" s="388"/>
      <c r="CS119" s="388"/>
      <c r="CT119" s="383"/>
      <c r="CU119" s="383"/>
      <c r="CV119" s="383"/>
      <c r="CW119" s="383"/>
      <c r="CX119" s="383"/>
      <c r="CY119" s="383"/>
      <c r="CZ119" s="383"/>
      <c r="DA119" s="383"/>
      <c r="DB119" s="383"/>
      <c r="DC119" s="383"/>
      <c r="DD119" s="383"/>
      <c r="DE119" s="383"/>
      <c r="DF119" s="383"/>
      <c r="DG119" s="383"/>
      <c r="DH119" s="370"/>
      <c r="DI119" s="370"/>
      <c r="DJ119" s="370"/>
      <c r="DK119" s="370"/>
      <c r="DL119" s="370"/>
      <c r="DM119" s="383"/>
      <c r="DN119" s="383"/>
      <c r="DO119" s="383"/>
      <c r="DP119" s="383"/>
      <c r="DQ119" s="383"/>
      <c r="DR119" s="383"/>
      <c r="DS119" s="370"/>
      <c r="DT119" s="370"/>
      <c r="DU119" s="384"/>
      <c r="DV119" s="384"/>
      <c r="DW119" s="383"/>
      <c r="DX119" s="315"/>
      <c r="DY119" s="315"/>
      <c r="DZ119" s="383"/>
      <c r="EA119" s="383"/>
      <c r="EB119" s="390"/>
      <c r="EC119" s="390"/>
      <c r="ED119" s="383"/>
      <c r="EE119" s="383"/>
      <c r="EF119" s="383"/>
      <c r="EG119" s="383"/>
      <c r="EH119" s="383"/>
      <c r="EI119" s="383"/>
      <c r="EJ119" s="383"/>
      <c r="EK119" s="383"/>
      <c r="EL119" s="383"/>
      <c r="EM119" s="383"/>
      <c r="EN119" s="370"/>
      <c r="EO119" s="370"/>
      <c r="EP119" s="370"/>
      <c r="EQ119" s="370"/>
      <c r="ER119" s="370"/>
      <c r="ES119" s="370"/>
      <c r="ET119" s="383"/>
      <c r="EU119" s="383"/>
      <c r="EV119" s="383"/>
      <c r="EW119" s="383"/>
      <c r="EX119" s="383"/>
      <c r="EY119" s="383"/>
      <c r="EZ119" s="383"/>
      <c r="FA119" s="383"/>
      <c r="FB119" s="383"/>
      <c r="FC119" s="383"/>
      <c r="FD119" s="383"/>
      <c r="FE119" s="383"/>
      <c r="FF119" s="383"/>
      <c r="FG119" s="383"/>
      <c r="FH119" s="383"/>
      <c r="FI119" s="383"/>
      <c r="FJ119" s="383"/>
      <c r="FK119" s="383"/>
      <c r="FL119" s="383"/>
      <c r="FM119" s="383"/>
      <c r="FN119" s="383"/>
      <c r="FO119" s="383"/>
      <c r="FP119" s="383"/>
      <c r="FQ119" s="383"/>
      <c r="FR119" s="383"/>
      <c r="FS119" s="383"/>
      <c r="FT119" s="383"/>
      <c r="FU119" s="383"/>
      <c r="FV119" s="383"/>
      <c r="FW119" s="383"/>
      <c r="FX119" s="383"/>
      <c r="FY119" s="383"/>
      <c r="FZ119" s="383"/>
      <c r="GA119" s="383"/>
      <c r="GB119" s="383"/>
      <c r="GC119" s="383"/>
      <c r="GD119" s="383"/>
      <c r="GE119" s="383"/>
      <c r="GF119" s="383"/>
      <c r="GG119" s="383"/>
      <c r="GH119" s="383"/>
      <c r="GI119" s="383"/>
      <c r="GJ119" s="383"/>
      <c r="GK119" s="383"/>
      <c r="GL119" s="383"/>
      <c r="GM119" s="383"/>
      <c r="GN119" s="383"/>
      <c r="GO119" s="383"/>
      <c r="GP119" s="383"/>
      <c r="GQ119" s="383"/>
      <c r="GR119" s="383"/>
      <c r="GS119" s="383"/>
      <c r="GT119" s="383"/>
      <c r="GU119" s="383"/>
      <c r="GV119" s="383"/>
      <c r="GW119" s="383"/>
      <c r="GX119" s="383"/>
      <c r="GY119" s="383"/>
      <c r="GZ119" s="383"/>
      <c r="HA119" s="383"/>
      <c r="HB119" s="383"/>
      <c r="HC119" s="383"/>
      <c r="HD119" s="383"/>
      <c r="HE119" s="383"/>
      <c r="HF119" s="383"/>
      <c r="HG119" s="383"/>
      <c r="HH119" s="383"/>
    </row>
    <row r="120" spans="1:216" ht="18" customHeight="1">
      <c r="A120" s="395"/>
      <c r="B120" s="314" t="s">
        <v>8740</v>
      </c>
      <c r="C120" s="398"/>
      <c r="D120" s="399" t="s">
        <v>8741</v>
      </c>
      <c r="E120" s="317" t="s">
        <v>8043</v>
      </c>
      <c r="F120" s="383"/>
      <c r="G120" s="383"/>
      <c r="H120" s="384"/>
      <c r="I120" s="317"/>
      <c r="J120" s="384">
        <v>1</v>
      </c>
      <c r="K120" s="384"/>
      <c r="L120" s="384"/>
      <c r="M120" s="384"/>
      <c r="N120" s="384"/>
      <c r="O120" s="397">
        <v>1</v>
      </c>
      <c r="P120" s="384"/>
      <c r="Q120" s="384"/>
      <c r="R120" s="384"/>
      <c r="S120" s="384"/>
      <c r="T120" s="384"/>
      <c r="U120" s="397">
        <v>1</v>
      </c>
      <c r="V120" s="384"/>
      <c r="W120" s="384"/>
      <c r="X120" s="384"/>
      <c r="Y120" s="384"/>
      <c r="Z120" s="384"/>
      <c r="AA120" s="384"/>
      <c r="AB120" s="397">
        <v>1</v>
      </c>
      <c r="AC120" s="397">
        <v>1</v>
      </c>
      <c r="AD120" s="384"/>
      <c r="AE120" s="384"/>
      <c r="AF120" s="384"/>
      <c r="AG120" s="384"/>
      <c r="AH120" s="384"/>
      <c r="AI120" s="384"/>
      <c r="AJ120" s="383"/>
      <c r="AK120" s="383"/>
      <c r="AL120" s="384"/>
      <c r="AM120" s="384"/>
      <c r="AN120" s="384"/>
      <c r="AO120" s="391"/>
      <c r="AP120" s="315"/>
      <c r="AQ120" s="315"/>
      <c r="AR120" s="315"/>
      <c r="AS120" s="315"/>
      <c r="AT120" s="315"/>
      <c r="AU120" s="315"/>
      <c r="AV120" s="315"/>
      <c r="AW120" s="315"/>
      <c r="AX120" s="315"/>
      <c r="AY120" s="315"/>
      <c r="AZ120" s="315"/>
      <c r="BA120" s="315"/>
      <c r="BB120" s="315"/>
      <c r="BC120" s="315"/>
      <c r="BD120" s="315"/>
      <c r="BE120" s="387"/>
      <c r="BF120" s="387"/>
      <c r="BG120" s="387"/>
      <c r="BH120" s="387"/>
      <c r="BI120" s="387"/>
      <c r="BJ120" s="387"/>
      <c r="BK120" s="387"/>
      <c r="BL120" s="387"/>
      <c r="BM120" s="387"/>
      <c r="BN120" s="387"/>
      <c r="BO120" s="387"/>
      <c r="BP120" s="387"/>
      <c r="BQ120" s="387"/>
      <c r="BR120" s="387"/>
      <c r="BS120" s="387"/>
      <c r="BT120" s="387"/>
      <c r="BU120" s="387"/>
      <c r="BV120" s="387"/>
      <c r="BW120" s="387"/>
      <c r="BX120" s="387"/>
      <c r="BY120" s="387"/>
      <c r="BZ120" s="387"/>
      <c r="CA120" s="387"/>
      <c r="CB120" s="387"/>
      <c r="CC120" s="387"/>
      <c r="CD120" s="387"/>
      <c r="CE120" s="387"/>
      <c r="CF120" s="387"/>
      <c r="CG120" s="387"/>
      <c r="CH120" s="387"/>
      <c r="CI120" s="387"/>
      <c r="CJ120" s="387"/>
      <c r="CK120" s="383"/>
      <c r="CL120" s="383"/>
      <c r="CM120" s="383"/>
      <c r="CN120" s="383"/>
      <c r="CO120" s="383"/>
      <c r="CP120" s="383"/>
      <c r="CQ120" s="383"/>
      <c r="CR120" s="388"/>
      <c r="CS120" s="388"/>
      <c r="CT120" s="383"/>
      <c r="CU120" s="383"/>
      <c r="CV120" s="383"/>
      <c r="CW120" s="383"/>
      <c r="CX120" s="383"/>
      <c r="CY120" s="383"/>
      <c r="CZ120" s="383"/>
      <c r="DA120" s="383"/>
      <c r="DB120" s="383"/>
      <c r="DC120" s="383"/>
      <c r="DD120" s="383"/>
      <c r="DE120" s="383"/>
      <c r="DF120" s="383"/>
      <c r="DG120" s="383"/>
      <c r="DH120" s="370"/>
      <c r="DI120" s="370"/>
      <c r="DJ120" s="370"/>
      <c r="DK120" s="370"/>
      <c r="DL120" s="370"/>
      <c r="DM120" s="383"/>
      <c r="DN120" s="383"/>
      <c r="DO120" s="383"/>
      <c r="DP120" s="383"/>
      <c r="DQ120" s="383"/>
      <c r="DR120" s="383"/>
      <c r="DS120" s="370"/>
      <c r="DT120" s="370"/>
      <c r="DU120" s="384"/>
      <c r="DV120" s="384"/>
      <c r="DW120" s="383"/>
      <c r="DX120" s="315"/>
      <c r="DY120" s="315"/>
      <c r="DZ120" s="383"/>
      <c r="EA120" s="383"/>
      <c r="EB120" s="390"/>
      <c r="EC120" s="390"/>
      <c r="ED120" s="383"/>
      <c r="EE120" s="383"/>
      <c r="EF120" s="383"/>
      <c r="EG120" s="383"/>
      <c r="EH120" s="383"/>
      <c r="EI120" s="383"/>
      <c r="EJ120" s="383"/>
      <c r="EK120" s="383"/>
      <c r="EL120" s="383"/>
      <c r="EM120" s="383"/>
      <c r="EN120" s="370"/>
      <c r="EO120" s="370"/>
      <c r="EP120" s="370"/>
      <c r="EQ120" s="370"/>
      <c r="ER120" s="370"/>
      <c r="ES120" s="370"/>
      <c r="ET120" s="383"/>
      <c r="EU120" s="383"/>
      <c r="EV120" s="383"/>
      <c r="EW120" s="383"/>
      <c r="EX120" s="383"/>
      <c r="EY120" s="383"/>
      <c r="EZ120" s="383"/>
      <c r="FA120" s="383"/>
      <c r="FB120" s="383"/>
      <c r="FC120" s="383"/>
      <c r="FD120" s="383"/>
      <c r="FE120" s="383"/>
      <c r="FF120" s="383"/>
      <c r="FG120" s="383"/>
      <c r="FH120" s="383"/>
      <c r="FI120" s="383"/>
      <c r="FJ120" s="383"/>
      <c r="FK120" s="383"/>
      <c r="FL120" s="383"/>
      <c r="FM120" s="383"/>
      <c r="FN120" s="383"/>
      <c r="FO120" s="383"/>
      <c r="FP120" s="383"/>
      <c r="FQ120" s="383"/>
      <c r="FR120" s="383"/>
      <c r="FS120" s="383"/>
      <c r="FT120" s="383"/>
      <c r="FU120" s="383"/>
      <c r="FV120" s="383"/>
      <c r="FW120" s="383"/>
      <c r="FX120" s="383"/>
      <c r="FY120" s="383"/>
      <c r="FZ120" s="383"/>
      <c r="GA120" s="383"/>
      <c r="GB120" s="383"/>
      <c r="GC120" s="383"/>
      <c r="GD120" s="383"/>
      <c r="GE120" s="383"/>
      <c r="GF120" s="383"/>
      <c r="GG120" s="383"/>
      <c r="GH120" s="383"/>
      <c r="GI120" s="383"/>
      <c r="GJ120" s="383"/>
      <c r="GK120" s="383"/>
      <c r="GL120" s="383"/>
      <c r="GM120" s="383"/>
      <c r="GN120" s="383"/>
      <c r="GO120" s="383"/>
      <c r="GP120" s="383"/>
      <c r="GQ120" s="383"/>
      <c r="GR120" s="383"/>
      <c r="GS120" s="383"/>
      <c r="GT120" s="383"/>
      <c r="GU120" s="383"/>
      <c r="GV120" s="383"/>
      <c r="GW120" s="383"/>
      <c r="GX120" s="383"/>
      <c r="GY120" s="383"/>
      <c r="GZ120" s="383"/>
      <c r="HA120" s="383"/>
      <c r="HB120" s="383"/>
      <c r="HC120" s="383"/>
      <c r="HD120" s="383"/>
      <c r="HE120" s="383"/>
      <c r="HF120" s="383"/>
      <c r="HG120" s="383"/>
      <c r="HH120" s="383"/>
    </row>
    <row r="121" spans="1:216" ht="18" customHeight="1">
      <c r="A121" s="514"/>
      <c r="B121" s="314" t="s">
        <v>11103</v>
      </c>
      <c r="C121" s="398"/>
      <c r="D121" s="400" t="s">
        <v>8743</v>
      </c>
      <c r="E121" s="317"/>
      <c r="F121" s="383"/>
      <c r="G121" s="383"/>
      <c r="H121" s="384">
        <v>1</v>
      </c>
      <c r="I121" s="317"/>
      <c r="J121" s="384"/>
      <c r="K121" s="384">
        <v>1</v>
      </c>
      <c r="L121" s="384"/>
      <c r="M121" s="397">
        <v>1</v>
      </c>
      <c r="N121" s="384"/>
      <c r="O121" s="384"/>
      <c r="P121" s="384"/>
      <c r="Q121" s="384"/>
      <c r="R121" s="384"/>
      <c r="S121" s="384"/>
      <c r="T121" s="384"/>
      <c r="U121" s="397">
        <v>1</v>
      </c>
      <c r="V121" s="384"/>
      <c r="W121" s="384"/>
      <c r="X121" s="384"/>
      <c r="Y121" s="397">
        <v>1</v>
      </c>
      <c r="Z121" s="384"/>
      <c r="AA121" s="384"/>
      <c r="AB121" s="384"/>
      <c r="AC121" s="384"/>
      <c r="AD121" s="384"/>
      <c r="AE121" s="384"/>
      <c r="AF121" s="384"/>
      <c r="AG121" s="384"/>
      <c r="AH121" s="384"/>
      <c r="AI121" s="384"/>
      <c r="AJ121" s="383"/>
      <c r="AK121" s="383"/>
      <c r="AL121" s="384"/>
      <c r="AM121" s="384"/>
      <c r="AN121" s="384"/>
      <c r="AO121" s="391"/>
      <c r="AP121" s="315"/>
      <c r="AQ121" s="315"/>
      <c r="AR121" s="315"/>
      <c r="AS121" s="315"/>
      <c r="AT121" s="315"/>
      <c r="AU121" s="315"/>
      <c r="AV121" s="315"/>
      <c r="AW121" s="315"/>
      <c r="AX121" s="315"/>
      <c r="AY121" s="315"/>
      <c r="AZ121" s="315"/>
      <c r="BA121" s="315"/>
      <c r="BB121" s="315"/>
      <c r="BC121" s="315"/>
      <c r="BD121" s="315"/>
      <c r="BE121" s="387"/>
      <c r="BF121" s="387"/>
      <c r="BG121" s="387"/>
      <c r="BH121" s="387"/>
      <c r="BI121" s="387"/>
      <c r="BJ121" s="387"/>
      <c r="BK121" s="387"/>
      <c r="BL121" s="387"/>
      <c r="BM121" s="387"/>
      <c r="BN121" s="387"/>
      <c r="BO121" s="387"/>
      <c r="BP121" s="387"/>
      <c r="BQ121" s="387"/>
      <c r="BR121" s="387"/>
      <c r="BS121" s="387"/>
      <c r="BT121" s="387"/>
      <c r="BU121" s="387"/>
      <c r="BV121" s="387"/>
      <c r="BW121" s="387"/>
      <c r="BX121" s="387"/>
      <c r="BY121" s="387"/>
      <c r="BZ121" s="387"/>
      <c r="CA121" s="387"/>
      <c r="CB121" s="387"/>
      <c r="CC121" s="387"/>
      <c r="CD121" s="387"/>
      <c r="CE121" s="387"/>
      <c r="CF121" s="387"/>
      <c r="CG121" s="387"/>
      <c r="CH121" s="387"/>
      <c r="CI121" s="387"/>
      <c r="CJ121" s="387"/>
      <c r="CK121" s="383"/>
      <c r="CL121" s="383"/>
      <c r="CM121" s="383"/>
      <c r="CN121" s="383"/>
      <c r="CO121" s="383"/>
      <c r="CP121" s="383"/>
      <c r="CQ121" s="450">
        <v>1</v>
      </c>
      <c r="CR121" s="451">
        <v>1</v>
      </c>
      <c r="CS121" s="451">
        <v>1</v>
      </c>
      <c r="CT121" s="450">
        <v>1</v>
      </c>
      <c r="CU121" s="450">
        <v>1</v>
      </c>
      <c r="CV121" s="450">
        <v>1</v>
      </c>
      <c r="CW121" s="450">
        <v>1</v>
      </c>
      <c r="CX121" s="383"/>
      <c r="CY121" s="383"/>
      <c r="CZ121" s="383"/>
      <c r="DA121" s="383"/>
      <c r="DB121" s="383"/>
      <c r="DC121" s="383"/>
      <c r="DD121" s="383"/>
      <c r="DE121" s="383"/>
      <c r="DF121" s="383"/>
      <c r="DG121" s="383"/>
      <c r="DH121" s="370"/>
      <c r="DI121" s="370"/>
      <c r="DJ121" s="370"/>
      <c r="DK121" s="370"/>
      <c r="DL121" s="370"/>
      <c r="DM121" s="383"/>
      <c r="DN121" s="383"/>
      <c r="DO121" s="383"/>
      <c r="DP121" s="383"/>
      <c r="DQ121" s="450">
        <v>1</v>
      </c>
      <c r="DR121" s="383"/>
      <c r="DS121" s="370"/>
      <c r="DT121" s="370"/>
      <c r="DU121" s="384"/>
      <c r="DV121" s="384"/>
      <c r="DW121" s="383"/>
      <c r="DX121" s="315"/>
      <c r="DY121" s="315"/>
      <c r="DZ121" s="383"/>
      <c r="EA121" s="383"/>
      <c r="EB121" s="390"/>
      <c r="EC121" s="390"/>
      <c r="ED121" s="383"/>
      <c r="EE121" s="383"/>
      <c r="EF121" s="383"/>
      <c r="EG121" s="383"/>
      <c r="EH121" s="383"/>
      <c r="EI121" s="383"/>
      <c r="EJ121" s="383"/>
      <c r="EK121" s="383"/>
      <c r="EL121" s="383"/>
      <c r="EM121" s="383"/>
      <c r="EN121" s="370"/>
      <c r="EO121" s="370"/>
      <c r="EP121" s="370"/>
      <c r="EQ121" s="370"/>
      <c r="ER121" s="370"/>
      <c r="ES121" s="370"/>
      <c r="ET121" s="383"/>
      <c r="EU121" s="383"/>
      <c r="EV121" s="383"/>
      <c r="EW121" s="383"/>
      <c r="EX121" s="383"/>
      <c r="EY121" s="383"/>
      <c r="EZ121" s="383"/>
      <c r="FA121" s="383"/>
      <c r="FB121" s="383"/>
      <c r="FC121" s="383"/>
      <c r="FD121" s="383"/>
      <c r="FE121" s="383"/>
      <c r="FF121" s="383"/>
      <c r="FG121" s="383"/>
      <c r="FH121" s="383"/>
      <c r="FI121" s="383"/>
      <c r="FJ121" s="383"/>
      <c r="FK121" s="383"/>
      <c r="FL121" s="383"/>
      <c r="FM121" s="383"/>
      <c r="FN121" s="383"/>
      <c r="FO121" s="383"/>
      <c r="FP121" s="383"/>
      <c r="FQ121" s="383"/>
      <c r="FR121" s="383"/>
      <c r="FS121" s="383"/>
      <c r="FT121" s="383"/>
      <c r="FU121" s="383"/>
      <c r="FV121" s="383"/>
      <c r="FW121" s="383"/>
      <c r="FX121" s="383"/>
      <c r="FY121" s="383"/>
      <c r="FZ121" s="383"/>
      <c r="GA121" s="383"/>
      <c r="GB121" s="383"/>
      <c r="GC121" s="383"/>
      <c r="GD121" s="383"/>
      <c r="GE121" s="383"/>
      <c r="GF121" s="383"/>
      <c r="GG121" s="383"/>
      <c r="GH121" s="383"/>
      <c r="GI121" s="383"/>
      <c r="GJ121" s="383"/>
      <c r="GK121" s="383"/>
      <c r="GL121" s="383"/>
      <c r="GM121" s="383"/>
      <c r="GN121" s="383"/>
      <c r="GO121" s="383"/>
      <c r="GP121" s="383"/>
      <c r="GQ121" s="383"/>
      <c r="GR121" s="383"/>
      <c r="GS121" s="383"/>
      <c r="GT121" s="383"/>
      <c r="GU121" s="383"/>
      <c r="GV121" s="383"/>
      <c r="GW121" s="383"/>
      <c r="GX121" s="383"/>
      <c r="GY121" s="383"/>
      <c r="GZ121" s="383"/>
      <c r="HA121" s="383"/>
      <c r="HB121" s="383"/>
      <c r="HC121" s="383"/>
      <c r="HD121" s="383"/>
      <c r="HE121" s="383"/>
      <c r="HF121" s="383"/>
      <c r="HG121" s="383"/>
      <c r="HH121" s="383"/>
    </row>
    <row r="122" spans="1:216" ht="18" customHeight="1">
      <c r="A122" s="514"/>
      <c r="B122" s="314" t="s">
        <v>11121</v>
      </c>
      <c r="C122" s="398"/>
      <c r="D122" s="400" t="s">
        <v>8745</v>
      </c>
      <c r="E122" s="317"/>
      <c r="F122" s="383"/>
      <c r="G122" s="383"/>
      <c r="H122" s="384">
        <v>1</v>
      </c>
      <c r="I122" s="317"/>
      <c r="J122" s="384"/>
      <c r="K122" s="384">
        <v>1</v>
      </c>
      <c r="L122" s="384"/>
      <c r="M122" s="384"/>
      <c r="N122" s="397">
        <v>1</v>
      </c>
      <c r="O122" s="384"/>
      <c r="P122" s="384"/>
      <c r="Q122" s="384"/>
      <c r="R122" s="384"/>
      <c r="S122" s="384"/>
      <c r="T122" s="384"/>
      <c r="U122" s="397">
        <v>1</v>
      </c>
      <c r="V122" s="384"/>
      <c r="W122" s="384"/>
      <c r="X122" s="384"/>
      <c r="Y122" s="397">
        <v>1</v>
      </c>
      <c r="Z122" s="384"/>
      <c r="AA122" s="384"/>
      <c r="AB122" s="384"/>
      <c r="AC122" s="384"/>
      <c r="AD122" s="384"/>
      <c r="AE122" s="384"/>
      <c r="AF122" s="384"/>
      <c r="AG122" s="384"/>
      <c r="AH122" s="384"/>
      <c r="AI122" s="384"/>
      <c r="AJ122" s="383"/>
      <c r="AK122" s="383"/>
      <c r="AL122" s="384"/>
      <c r="AM122" s="384"/>
      <c r="AN122" s="384"/>
      <c r="AO122" s="391"/>
      <c r="AP122" s="315"/>
      <c r="AQ122" s="315"/>
      <c r="AR122" s="315"/>
      <c r="AS122" s="315"/>
      <c r="AT122" s="315"/>
      <c r="AU122" s="315"/>
      <c r="AV122" s="315"/>
      <c r="AW122" s="315"/>
      <c r="AX122" s="315"/>
      <c r="AY122" s="315"/>
      <c r="AZ122" s="315"/>
      <c r="BA122" s="315"/>
      <c r="BB122" s="315"/>
      <c r="BC122" s="315"/>
      <c r="BD122" s="315"/>
      <c r="BE122" s="387"/>
      <c r="BF122" s="387"/>
      <c r="BG122" s="387"/>
      <c r="BH122" s="387"/>
      <c r="BI122" s="387"/>
      <c r="BJ122" s="387"/>
      <c r="BK122" s="387"/>
      <c r="BL122" s="387"/>
      <c r="BM122" s="387"/>
      <c r="BN122" s="387"/>
      <c r="BO122" s="387"/>
      <c r="BP122" s="387"/>
      <c r="BQ122" s="387"/>
      <c r="BR122" s="387"/>
      <c r="BS122" s="387"/>
      <c r="BT122" s="387"/>
      <c r="BU122" s="387"/>
      <c r="BV122" s="387"/>
      <c r="BW122" s="387"/>
      <c r="BX122" s="387"/>
      <c r="BY122" s="387"/>
      <c r="BZ122" s="387"/>
      <c r="CA122" s="387"/>
      <c r="CB122" s="387"/>
      <c r="CC122" s="387"/>
      <c r="CD122" s="387"/>
      <c r="CE122" s="387"/>
      <c r="CF122" s="387"/>
      <c r="CG122" s="387"/>
      <c r="CH122" s="387"/>
      <c r="CI122" s="387"/>
      <c r="CJ122" s="387"/>
      <c r="CK122" s="383"/>
      <c r="CL122" s="383"/>
      <c r="CM122" s="383"/>
      <c r="CN122" s="383"/>
      <c r="CO122" s="383"/>
      <c r="CP122" s="383"/>
      <c r="CQ122" s="383"/>
      <c r="CR122" s="388"/>
      <c r="CS122" s="388"/>
      <c r="CT122" s="383"/>
      <c r="CU122" s="383"/>
      <c r="CV122" s="383"/>
      <c r="CW122" s="383"/>
      <c r="CX122" s="383"/>
      <c r="CY122" s="383"/>
      <c r="CZ122" s="383"/>
      <c r="DA122" s="383"/>
      <c r="DB122" s="383"/>
      <c r="DC122" s="383"/>
      <c r="DD122" s="383"/>
      <c r="DE122" s="383"/>
      <c r="DF122" s="383"/>
      <c r="DG122" s="383"/>
      <c r="DH122" s="370"/>
      <c r="DI122" s="370"/>
      <c r="DJ122" s="370"/>
      <c r="DK122" s="370"/>
      <c r="DL122" s="370"/>
      <c r="DM122" s="383"/>
      <c r="DN122" s="383"/>
      <c r="DO122" s="383"/>
      <c r="DP122" s="383"/>
      <c r="DQ122" s="450">
        <v>1</v>
      </c>
      <c r="DR122" s="383"/>
      <c r="DS122" s="370"/>
      <c r="DT122" s="370"/>
      <c r="DU122" s="384"/>
      <c r="DV122" s="384"/>
      <c r="DW122" s="383"/>
      <c r="DX122" s="315"/>
      <c r="DY122" s="315"/>
      <c r="DZ122" s="383"/>
      <c r="EA122" s="383"/>
      <c r="EB122" s="390"/>
      <c r="EC122" s="390"/>
      <c r="ED122" s="383"/>
      <c r="EE122" s="383"/>
      <c r="EF122" s="383"/>
      <c r="EG122" s="383"/>
      <c r="EH122" s="383"/>
      <c r="EI122" s="383"/>
      <c r="EJ122" s="383"/>
      <c r="EK122" s="383"/>
      <c r="EL122" s="383"/>
      <c r="EM122" s="383"/>
      <c r="EN122" s="370"/>
      <c r="EO122" s="370"/>
      <c r="EP122" s="370"/>
      <c r="EQ122" s="370"/>
      <c r="ER122" s="370"/>
      <c r="ES122" s="370"/>
      <c r="ET122" s="383"/>
      <c r="EU122" s="383"/>
      <c r="EV122" s="383"/>
      <c r="EW122" s="383"/>
      <c r="EX122" s="383"/>
      <c r="EY122" s="383"/>
      <c r="EZ122" s="383"/>
      <c r="FA122" s="383"/>
      <c r="FB122" s="383"/>
      <c r="FC122" s="383"/>
      <c r="FD122" s="383"/>
      <c r="FE122" s="383"/>
      <c r="FF122" s="383"/>
      <c r="FG122" s="383"/>
      <c r="FH122" s="383"/>
      <c r="FI122" s="383"/>
      <c r="FJ122" s="383"/>
      <c r="FK122" s="383"/>
      <c r="FL122" s="383"/>
      <c r="FM122" s="383"/>
      <c r="FN122" s="383"/>
      <c r="FO122" s="383"/>
      <c r="FP122" s="383"/>
      <c r="FQ122" s="383"/>
      <c r="FR122" s="383"/>
      <c r="FS122" s="383"/>
      <c r="FT122" s="383"/>
      <c r="FU122" s="383"/>
      <c r="FV122" s="383"/>
      <c r="FW122" s="383"/>
      <c r="FX122" s="383"/>
      <c r="FY122" s="383"/>
      <c r="FZ122" s="383"/>
      <c r="GA122" s="383"/>
      <c r="GB122" s="383"/>
      <c r="GC122" s="383"/>
      <c r="GD122" s="383"/>
      <c r="GE122" s="383"/>
      <c r="GF122" s="383"/>
      <c r="GG122" s="383"/>
      <c r="GH122" s="383"/>
      <c r="GI122" s="383"/>
      <c r="GJ122" s="383"/>
      <c r="GK122" s="383"/>
      <c r="GL122" s="383"/>
      <c r="GM122" s="383"/>
      <c r="GN122" s="383"/>
      <c r="GO122" s="383"/>
      <c r="GP122" s="383"/>
      <c r="GQ122" s="383"/>
      <c r="GR122" s="383"/>
      <c r="GS122" s="383"/>
      <c r="GT122" s="383"/>
      <c r="GU122" s="383"/>
      <c r="GV122" s="383"/>
      <c r="GW122" s="383"/>
      <c r="GX122" s="383"/>
      <c r="GY122" s="383"/>
      <c r="GZ122" s="383"/>
      <c r="HA122" s="383"/>
      <c r="HB122" s="383"/>
      <c r="HC122" s="383"/>
      <c r="HD122" s="383"/>
      <c r="HE122" s="383"/>
      <c r="HF122" s="383"/>
      <c r="HG122" s="383"/>
      <c r="HH122" s="383"/>
    </row>
    <row r="123" spans="1:216" ht="18" customHeight="1">
      <c r="A123" s="514"/>
      <c r="B123" s="314" t="s">
        <v>11122</v>
      </c>
      <c r="C123" s="398"/>
      <c r="D123" s="400" t="s">
        <v>8747</v>
      </c>
      <c r="E123" s="317"/>
      <c r="F123" s="383"/>
      <c r="G123" s="383"/>
      <c r="H123" s="384">
        <v>1</v>
      </c>
      <c r="I123" s="317"/>
      <c r="J123" s="384"/>
      <c r="K123" s="384">
        <v>1</v>
      </c>
      <c r="L123" s="384"/>
      <c r="M123" s="384"/>
      <c r="N123" s="384"/>
      <c r="O123" s="397">
        <v>1</v>
      </c>
      <c r="P123" s="384"/>
      <c r="Q123" s="384"/>
      <c r="R123" s="384"/>
      <c r="S123" s="384"/>
      <c r="T123" s="384"/>
      <c r="U123" s="397">
        <v>1</v>
      </c>
      <c r="V123" s="384"/>
      <c r="W123" s="384"/>
      <c r="X123" s="384"/>
      <c r="Y123" s="397">
        <v>1</v>
      </c>
      <c r="Z123" s="384"/>
      <c r="AA123" s="384"/>
      <c r="AB123" s="384"/>
      <c r="AC123" s="384"/>
      <c r="AD123" s="384"/>
      <c r="AE123" s="384"/>
      <c r="AF123" s="384"/>
      <c r="AG123" s="384"/>
      <c r="AH123" s="384"/>
      <c r="AI123" s="384"/>
      <c r="AJ123" s="383"/>
      <c r="AK123" s="383"/>
      <c r="AL123" s="384"/>
      <c r="AM123" s="384"/>
      <c r="AN123" s="384"/>
      <c r="AO123" s="391"/>
      <c r="AP123" s="315"/>
      <c r="AQ123" s="315"/>
      <c r="AR123" s="315"/>
      <c r="AS123" s="315"/>
      <c r="AT123" s="315"/>
      <c r="AU123" s="315"/>
      <c r="AV123" s="315"/>
      <c r="AW123" s="315"/>
      <c r="AX123" s="315"/>
      <c r="AY123" s="315"/>
      <c r="AZ123" s="315"/>
      <c r="BA123" s="315"/>
      <c r="BB123" s="315"/>
      <c r="BC123" s="315"/>
      <c r="BD123" s="315"/>
      <c r="BE123" s="387"/>
      <c r="BF123" s="387"/>
      <c r="BG123" s="387"/>
      <c r="BH123" s="387"/>
      <c r="BI123" s="387"/>
      <c r="BJ123" s="387"/>
      <c r="BK123" s="387"/>
      <c r="BL123" s="387"/>
      <c r="BM123" s="387"/>
      <c r="BN123" s="387"/>
      <c r="BO123" s="387"/>
      <c r="BP123" s="387"/>
      <c r="BQ123" s="387"/>
      <c r="BR123" s="387"/>
      <c r="BS123" s="387"/>
      <c r="BT123" s="387"/>
      <c r="BU123" s="387"/>
      <c r="BV123" s="387"/>
      <c r="BW123" s="387"/>
      <c r="BX123" s="387"/>
      <c r="BY123" s="387"/>
      <c r="BZ123" s="387"/>
      <c r="CA123" s="387"/>
      <c r="CB123" s="387"/>
      <c r="CC123" s="387"/>
      <c r="CD123" s="387"/>
      <c r="CE123" s="387"/>
      <c r="CF123" s="387"/>
      <c r="CG123" s="387"/>
      <c r="CH123" s="387"/>
      <c r="CI123" s="387"/>
      <c r="CJ123" s="387"/>
      <c r="CK123" s="383"/>
      <c r="CL123" s="383"/>
      <c r="CM123" s="383"/>
      <c r="CN123" s="383"/>
      <c r="CO123" s="383"/>
      <c r="CP123" s="383"/>
      <c r="CQ123" s="383"/>
      <c r="CR123" s="388"/>
      <c r="CS123" s="388"/>
      <c r="CT123" s="383"/>
      <c r="CU123" s="383"/>
      <c r="CV123" s="383"/>
      <c r="CW123" s="383"/>
      <c r="CX123" s="383"/>
      <c r="CY123" s="383"/>
      <c r="CZ123" s="383"/>
      <c r="DA123" s="383"/>
      <c r="DB123" s="383"/>
      <c r="DC123" s="383"/>
      <c r="DD123" s="383"/>
      <c r="DE123" s="383"/>
      <c r="DF123" s="383"/>
      <c r="DG123" s="383"/>
      <c r="DH123" s="370"/>
      <c r="DI123" s="370"/>
      <c r="DJ123" s="370"/>
      <c r="DK123" s="370"/>
      <c r="DL123" s="370"/>
      <c r="DM123" s="383"/>
      <c r="DN123" s="383"/>
      <c r="DO123" s="383"/>
      <c r="DP123" s="383"/>
      <c r="DQ123" s="450">
        <v>1</v>
      </c>
      <c r="DR123" s="383"/>
      <c r="DS123" s="370"/>
      <c r="DT123" s="370"/>
      <c r="DU123" s="384"/>
      <c r="DV123" s="384"/>
      <c r="DW123" s="383"/>
      <c r="DX123" s="315"/>
      <c r="DY123" s="315"/>
      <c r="DZ123" s="383"/>
      <c r="EA123" s="383"/>
      <c r="EB123" s="390"/>
      <c r="EC123" s="390"/>
      <c r="ED123" s="383"/>
      <c r="EE123" s="383"/>
      <c r="EF123" s="383"/>
      <c r="EG123" s="383"/>
      <c r="EH123" s="383"/>
      <c r="EI123" s="383"/>
      <c r="EJ123" s="383"/>
      <c r="EK123" s="383"/>
      <c r="EL123" s="383"/>
      <c r="EM123" s="383"/>
      <c r="EN123" s="370"/>
      <c r="EO123" s="370"/>
      <c r="EP123" s="370"/>
      <c r="EQ123" s="370"/>
      <c r="ER123" s="370"/>
      <c r="ES123" s="370"/>
      <c r="ET123" s="383"/>
      <c r="EU123" s="383"/>
      <c r="EV123" s="383"/>
      <c r="EW123" s="383"/>
      <c r="EX123" s="383"/>
      <c r="EY123" s="383"/>
      <c r="EZ123" s="383"/>
      <c r="FA123" s="383"/>
      <c r="FB123" s="383"/>
      <c r="FC123" s="383"/>
      <c r="FD123" s="383"/>
      <c r="FE123" s="383"/>
      <c r="FF123" s="383"/>
      <c r="FG123" s="383"/>
      <c r="FH123" s="383"/>
      <c r="FI123" s="383"/>
      <c r="FJ123" s="383"/>
      <c r="FK123" s="383"/>
      <c r="FL123" s="383"/>
      <c r="FM123" s="383"/>
      <c r="FN123" s="383"/>
      <c r="FO123" s="383"/>
      <c r="FP123" s="383"/>
      <c r="FQ123" s="383"/>
      <c r="FR123" s="383"/>
      <c r="FS123" s="383"/>
      <c r="FT123" s="383"/>
      <c r="FU123" s="383"/>
      <c r="FV123" s="383"/>
      <c r="FW123" s="383"/>
      <c r="FX123" s="383"/>
      <c r="FY123" s="383"/>
      <c r="FZ123" s="383"/>
      <c r="GA123" s="383"/>
      <c r="GB123" s="383"/>
      <c r="GC123" s="383"/>
      <c r="GD123" s="383"/>
      <c r="GE123" s="383"/>
      <c r="GF123" s="383"/>
      <c r="GG123" s="383"/>
      <c r="GH123" s="383"/>
      <c r="GI123" s="383"/>
      <c r="GJ123" s="383"/>
      <c r="GK123" s="383"/>
      <c r="GL123" s="383"/>
      <c r="GM123" s="383"/>
      <c r="GN123" s="383"/>
      <c r="GO123" s="383"/>
      <c r="GP123" s="383"/>
      <c r="GQ123" s="383"/>
      <c r="GR123" s="383"/>
      <c r="GS123" s="383"/>
      <c r="GT123" s="383"/>
      <c r="GU123" s="383"/>
      <c r="GV123" s="383"/>
      <c r="GW123" s="383"/>
      <c r="GX123" s="383"/>
      <c r="GY123" s="383"/>
      <c r="GZ123" s="383"/>
      <c r="HA123" s="383"/>
      <c r="HB123" s="383"/>
      <c r="HC123" s="383"/>
      <c r="HD123" s="383"/>
      <c r="HE123" s="383"/>
      <c r="HF123" s="383"/>
      <c r="HG123" s="383"/>
      <c r="HH123" s="383"/>
    </row>
    <row r="124" spans="1:216" ht="18" customHeight="1">
      <c r="A124" s="395"/>
      <c r="B124" s="314" t="s">
        <v>8748</v>
      </c>
      <c r="C124" s="404"/>
      <c r="D124" s="399" t="s">
        <v>8749</v>
      </c>
      <c r="E124" s="317"/>
      <c r="F124" s="383"/>
      <c r="G124" s="383"/>
      <c r="H124" s="384">
        <v>1</v>
      </c>
      <c r="I124" s="317"/>
      <c r="J124" s="384">
        <v>1</v>
      </c>
      <c r="K124" s="384"/>
      <c r="L124" s="384"/>
      <c r="M124" s="397">
        <v>1</v>
      </c>
      <c r="N124" s="384"/>
      <c r="O124" s="384"/>
      <c r="P124" s="384"/>
      <c r="Q124" s="384"/>
      <c r="R124" s="384"/>
      <c r="S124" s="384"/>
      <c r="T124" s="384"/>
      <c r="U124" s="397">
        <v>1</v>
      </c>
      <c r="V124" s="384"/>
      <c r="W124" s="384"/>
      <c r="X124" s="384"/>
      <c r="Y124" s="397">
        <v>1</v>
      </c>
      <c r="Z124" s="384"/>
      <c r="AA124" s="384"/>
      <c r="AB124" s="397">
        <v>1</v>
      </c>
      <c r="AC124" s="397">
        <v>1</v>
      </c>
      <c r="AD124" s="384"/>
      <c r="AE124" s="384"/>
      <c r="AF124" s="384"/>
      <c r="AG124" s="384"/>
      <c r="AH124" s="384"/>
      <c r="AI124" s="384"/>
      <c r="AJ124" s="383"/>
      <c r="AK124" s="383"/>
      <c r="AL124" s="384"/>
      <c r="AM124" s="384"/>
      <c r="AN124" s="384"/>
      <c r="AO124" s="391"/>
      <c r="AP124" s="315"/>
      <c r="AQ124" s="315"/>
      <c r="AR124" s="315"/>
      <c r="AS124" s="315"/>
      <c r="AT124" s="315"/>
      <c r="AU124" s="315"/>
      <c r="AV124" s="315"/>
      <c r="AW124" s="315"/>
      <c r="AX124" s="315"/>
      <c r="AY124" s="315"/>
      <c r="AZ124" s="315"/>
      <c r="BA124" s="315"/>
      <c r="BB124" s="315"/>
      <c r="BC124" s="315"/>
      <c r="BD124" s="315"/>
      <c r="BE124" s="387"/>
      <c r="BF124" s="387"/>
      <c r="BG124" s="387"/>
      <c r="BH124" s="387"/>
      <c r="BI124" s="387"/>
      <c r="BJ124" s="387"/>
      <c r="BK124" s="387"/>
      <c r="BL124" s="387"/>
      <c r="BM124" s="387"/>
      <c r="BN124" s="387"/>
      <c r="BO124" s="387"/>
      <c r="BP124" s="387"/>
      <c r="BQ124" s="387"/>
      <c r="BR124" s="387"/>
      <c r="BS124" s="387"/>
      <c r="BT124" s="387"/>
      <c r="BU124" s="387"/>
      <c r="BV124" s="387"/>
      <c r="BW124" s="387"/>
      <c r="BX124" s="387"/>
      <c r="BY124" s="387"/>
      <c r="BZ124" s="387"/>
      <c r="CA124" s="387"/>
      <c r="CB124" s="387"/>
      <c r="CC124" s="387"/>
      <c r="CD124" s="387"/>
      <c r="CE124" s="387"/>
      <c r="CF124" s="387"/>
      <c r="CG124" s="387"/>
      <c r="CH124" s="387"/>
      <c r="CI124" s="387"/>
      <c r="CJ124" s="387"/>
      <c r="CK124" s="383"/>
      <c r="CL124" s="383"/>
      <c r="CM124" s="383"/>
      <c r="CN124" s="383"/>
      <c r="CO124" s="383"/>
      <c r="CP124" s="383"/>
      <c r="CQ124" s="383"/>
      <c r="CR124" s="388"/>
      <c r="CS124" s="388"/>
      <c r="CT124" s="383"/>
      <c r="CU124" s="383"/>
      <c r="CV124" s="383"/>
      <c r="CW124" s="383"/>
      <c r="CX124" s="383"/>
      <c r="CY124" s="383"/>
      <c r="CZ124" s="383"/>
      <c r="DA124" s="383"/>
      <c r="DB124" s="383"/>
      <c r="DC124" s="383"/>
      <c r="DD124" s="383"/>
      <c r="DE124" s="383"/>
      <c r="DF124" s="383"/>
      <c r="DG124" s="383"/>
      <c r="DH124" s="370"/>
      <c r="DI124" s="370"/>
      <c r="DJ124" s="370"/>
      <c r="DK124" s="370"/>
      <c r="DL124" s="370"/>
      <c r="DM124" s="383"/>
      <c r="DN124" s="383"/>
      <c r="DO124" s="383"/>
      <c r="DP124" s="383"/>
      <c r="DQ124" s="383"/>
      <c r="DR124" s="383"/>
      <c r="DS124" s="370"/>
      <c r="DT124" s="370"/>
      <c r="DU124" s="384"/>
      <c r="DV124" s="384"/>
      <c r="DW124" s="383"/>
      <c r="DX124" s="315"/>
      <c r="DY124" s="315"/>
      <c r="DZ124" s="383"/>
      <c r="EA124" s="383"/>
      <c r="EB124" s="390"/>
      <c r="EC124" s="390"/>
      <c r="ED124" s="383"/>
      <c r="EE124" s="383"/>
      <c r="EF124" s="383"/>
      <c r="EG124" s="383"/>
      <c r="EH124" s="383"/>
      <c r="EI124" s="383"/>
      <c r="EJ124" s="383"/>
      <c r="EK124" s="383"/>
      <c r="EL124" s="383"/>
      <c r="EM124" s="383"/>
      <c r="EN124" s="370"/>
      <c r="EO124" s="370"/>
      <c r="EP124" s="370"/>
      <c r="EQ124" s="370"/>
      <c r="ER124" s="370"/>
      <c r="ES124" s="370"/>
      <c r="ET124" s="383"/>
      <c r="EU124" s="383"/>
      <c r="EV124" s="383"/>
      <c r="EW124" s="383"/>
      <c r="EX124" s="383"/>
      <c r="EY124" s="383"/>
      <c r="EZ124" s="383"/>
      <c r="FA124" s="383"/>
      <c r="FB124" s="383"/>
      <c r="FC124" s="383"/>
      <c r="FD124" s="383"/>
      <c r="FE124" s="383"/>
      <c r="FF124" s="383"/>
      <c r="FG124" s="383"/>
      <c r="FH124" s="383"/>
      <c r="FI124" s="383"/>
      <c r="FJ124" s="383"/>
      <c r="FK124" s="383"/>
      <c r="FL124" s="383"/>
      <c r="FM124" s="383"/>
      <c r="FN124" s="383"/>
      <c r="FO124" s="383"/>
      <c r="FP124" s="383"/>
      <c r="FQ124" s="383"/>
      <c r="FR124" s="383"/>
      <c r="FS124" s="383"/>
      <c r="FT124" s="383"/>
      <c r="FU124" s="383"/>
      <c r="FV124" s="383"/>
      <c r="FW124" s="383"/>
      <c r="FX124" s="383"/>
      <c r="FY124" s="383"/>
      <c r="FZ124" s="383"/>
      <c r="GA124" s="383"/>
      <c r="GB124" s="383"/>
      <c r="GC124" s="383"/>
      <c r="GD124" s="383"/>
      <c r="GE124" s="383"/>
      <c r="GF124" s="383"/>
      <c r="GG124" s="383"/>
      <c r="GH124" s="383"/>
      <c r="GI124" s="383"/>
      <c r="GJ124" s="383"/>
      <c r="GK124" s="383"/>
      <c r="GL124" s="383"/>
      <c r="GM124" s="383"/>
      <c r="GN124" s="383"/>
      <c r="GO124" s="383"/>
      <c r="GP124" s="383"/>
      <c r="GQ124" s="383"/>
      <c r="GR124" s="383"/>
      <c r="GS124" s="383"/>
      <c r="GT124" s="383"/>
      <c r="GU124" s="383"/>
      <c r="GV124" s="383"/>
      <c r="GW124" s="383"/>
      <c r="GX124" s="383"/>
      <c r="GY124" s="383"/>
      <c r="GZ124" s="383"/>
      <c r="HA124" s="383"/>
      <c r="HB124" s="383"/>
      <c r="HC124" s="383"/>
      <c r="HD124" s="383"/>
      <c r="HE124" s="383"/>
      <c r="HF124" s="383"/>
      <c r="HG124" s="383"/>
      <c r="HH124" s="383"/>
    </row>
    <row r="125" spans="1:216" ht="18" customHeight="1">
      <c r="A125" s="395"/>
      <c r="B125" s="314" t="s">
        <v>8750</v>
      </c>
      <c r="C125" s="404"/>
      <c r="D125" s="399" t="s">
        <v>8751</v>
      </c>
      <c r="E125" s="317"/>
      <c r="F125" s="383"/>
      <c r="G125" s="383"/>
      <c r="H125" s="384">
        <v>1</v>
      </c>
      <c r="I125" s="317"/>
      <c r="J125" s="384">
        <v>1</v>
      </c>
      <c r="K125" s="384"/>
      <c r="L125" s="384"/>
      <c r="M125" s="384"/>
      <c r="N125" s="397">
        <v>1</v>
      </c>
      <c r="O125" s="384"/>
      <c r="P125" s="384"/>
      <c r="Q125" s="384"/>
      <c r="R125" s="384"/>
      <c r="S125" s="384"/>
      <c r="T125" s="384"/>
      <c r="U125" s="397">
        <v>1</v>
      </c>
      <c r="V125" s="384"/>
      <c r="W125" s="384"/>
      <c r="X125" s="384"/>
      <c r="Y125" s="397">
        <v>1</v>
      </c>
      <c r="Z125" s="384"/>
      <c r="AA125" s="384"/>
      <c r="AB125" s="397">
        <v>1</v>
      </c>
      <c r="AC125" s="397">
        <v>1</v>
      </c>
      <c r="AD125" s="384"/>
      <c r="AE125" s="384"/>
      <c r="AF125" s="384"/>
      <c r="AG125" s="384"/>
      <c r="AH125" s="384"/>
      <c r="AI125" s="384"/>
      <c r="AJ125" s="383"/>
      <c r="AK125" s="383"/>
      <c r="AL125" s="384"/>
      <c r="AM125" s="384"/>
      <c r="AN125" s="384"/>
      <c r="AO125" s="391"/>
      <c r="AP125" s="315"/>
      <c r="AQ125" s="315"/>
      <c r="AR125" s="315"/>
      <c r="AS125" s="315"/>
      <c r="AT125" s="315"/>
      <c r="AU125" s="315"/>
      <c r="AV125" s="315"/>
      <c r="AW125" s="315"/>
      <c r="AX125" s="315"/>
      <c r="AY125" s="315"/>
      <c r="AZ125" s="315"/>
      <c r="BA125" s="315"/>
      <c r="BB125" s="315"/>
      <c r="BC125" s="315"/>
      <c r="BD125" s="315"/>
      <c r="BE125" s="387"/>
      <c r="BF125" s="387"/>
      <c r="BG125" s="387"/>
      <c r="BH125" s="387"/>
      <c r="BI125" s="387"/>
      <c r="BJ125" s="387"/>
      <c r="BK125" s="387"/>
      <c r="BL125" s="387"/>
      <c r="BM125" s="387"/>
      <c r="BN125" s="387"/>
      <c r="BO125" s="387"/>
      <c r="BP125" s="387"/>
      <c r="BQ125" s="387"/>
      <c r="BR125" s="387"/>
      <c r="BS125" s="387"/>
      <c r="BT125" s="387"/>
      <c r="BU125" s="387"/>
      <c r="BV125" s="387"/>
      <c r="BW125" s="387"/>
      <c r="BX125" s="387"/>
      <c r="BY125" s="387"/>
      <c r="BZ125" s="387"/>
      <c r="CA125" s="387"/>
      <c r="CB125" s="387"/>
      <c r="CC125" s="387"/>
      <c r="CD125" s="387"/>
      <c r="CE125" s="387"/>
      <c r="CF125" s="387"/>
      <c r="CG125" s="387"/>
      <c r="CH125" s="387"/>
      <c r="CI125" s="387"/>
      <c r="CJ125" s="387"/>
      <c r="CK125" s="383"/>
      <c r="CL125" s="383"/>
      <c r="CM125" s="383"/>
      <c r="CN125" s="383"/>
      <c r="CO125" s="383"/>
      <c r="CP125" s="383"/>
      <c r="CQ125" s="383"/>
      <c r="CR125" s="388"/>
      <c r="CS125" s="388"/>
      <c r="CT125" s="383"/>
      <c r="CU125" s="383"/>
      <c r="CV125" s="383"/>
      <c r="CW125" s="383"/>
      <c r="CX125" s="383"/>
      <c r="CY125" s="383"/>
      <c r="CZ125" s="383"/>
      <c r="DA125" s="383"/>
      <c r="DB125" s="383"/>
      <c r="DC125" s="383"/>
      <c r="DD125" s="383"/>
      <c r="DE125" s="383"/>
      <c r="DF125" s="383"/>
      <c r="DG125" s="383"/>
      <c r="DH125" s="383"/>
      <c r="DI125" s="383"/>
      <c r="DJ125" s="383"/>
      <c r="DK125" s="383"/>
      <c r="DL125" s="383"/>
      <c r="DM125" s="383"/>
      <c r="DN125" s="383"/>
      <c r="DO125" s="383"/>
      <c r="DP125" s="383"/>
      <c r="DQ125" s="383"/>
      <c r="DR125" s="383"/>
      <c r="DS125" s="370"/>
      <c r="DT125" s="370"/>
      <c r="DU125" s="384"/>
      <c r="DV125" s="384"/>
      <c r="DW125" s="383"/>
      <c r="DX125" s="315"/>
      <c r="DY125" s="315"/>
      <c r="DZ125" s="383"/>
      <c r="EA125" s="383"/>
      <c r="EB125" s="390"/>
      <c r="EC125" s="390"/>
      <c r="ED125" s="383"/>
      <c r="EE125" s="383"/>
      <c r="EF125" s="383"/>
      <c r="EG125" s="383"/>
      <c r="EH125" s="383"/>
      <c r="EI125" s="383"/>
      <c r="EJ125" s="383"/>
      <c r="EK125" s="383"/>
      <c r="EL125" s="383"/>
      <c r="EM125" s="383"/>
      <c r="EN125" s="370"/>
      <c r="EO125" s="370"/>
      <c r="EP125" s="370"/>
      <c r="EQ125" s="370"/>
      <c r="ER125" s="370"/>
      <c r="ES125" s="370"/>
      <c r="ET125" s="383"/>
      <c r="EU125" s="383"/>
      <c r="EV125" s="383"/>
      <c r="EW125" s="383"/>
      <c r="EX125" s="383"/>
      <c r="EY125" s="383"/>
      <c r="EZ125" s="383"/>
      <c r="FA125" s="383"/>
      <c r="FB125" s="383"/>
      <c r="FC125" s="383"/>
      <c r="FD125" s="383"/>
      <c r="FE125" s="383"/>
      <c r="FF125" s="383"/>
      <c r="FG125" s="383"/>
      <c r="FH125" s="383"/>
      <c r="FI125" s="383"/>
      <c r="FJ125" s="383"/>
      <c r="FK125" s="383"/>
      <c r="FL125" s="383"/>
      <c r="FM125" s="383"/>
      <c r="FN125" s="383"/>
      <c r="FO125" s="383"/>
      <c r="FP125" s="383"/>
      <c r="FQ125" s="383"/>
      <c r="FR125" s="383"/>
      <c r="FS125" s="383"/>
      <c r="FT125" s="383"/>
      <c r="FU125" s="383"/>
      <c r="FV125" s="383"/>
      <c r="FW125" s="383"/>
      <c r="FX125" s="383"/>
      <c r="FY125" s="383"/>
      <c r="FZ125" s="383"/>
      <c r="GA125" s="383"/>
      <c r="GB125" s="383"/>
      <c r="GC125" s="383"/>
      <c r="GD125" s="383"/>
      <c r="GE125" s="383"/>
      <c r="GF125" s="383"/>
      <c r="GG125" s="383"/>
      <c r="GH125" s="383"/>
      <c r="GI125" s="383"/>
      <c r="GJ125" s="383"/>
      <c r="GK125" s="383"/>
      <c r="GL125" s="383"/>
      <c r="GM125" s="383"/>
      <c r="GN125" s="383"/>
      <c r="GO125" s="383"/>
      <c r="GP125" s="383"/>
      <c r="GQ125" s="383"/>
      <c r="GR125" s="383"/>
      <c r="GS125" s="383"/>
      <c r="GT125" s="383"/>
      <c r="GU125" s="383"/>
      <c r="GV125" s="383"/>
      <c r="GW125" s="383"/>
      <c r="GX125" s="383"/>
      <c r="GY125" s="383"/>
      <c r="GZ125" s="383"/>
      <c r="HA125" s="383"/>
      <c r="HB125" s="383"/>
      <c r="HC125" s="383"/>
      <c r="HD125" s="383"/>
      <c r="HE125" s="383"/>
      <c r="HF125" s="383"/>
      <c r="HG125" s="383"/>
      <c r="HH125" s="383"/>
    </row>
    <row r="126" spans="1:216" ht="18" customHeight="1">
      <c r="A126" s="395"/>
      <c r="B126" s="314" t="s">
        <v>8752</v>
      </c>
      <c r="C126" s="404"/>
      <c r="D126" s="399" t="s">
        <v>8753</v>
      </c>
      <c r="E126" s="317"/>
      <c r="F126" s="383"/>
      <c r="G126" s="383"/>
      <c r="H126" s="384">
        <v>1</v>
      </c>
      <c r="I126" s="317"/>
      <c r="J126" s="384">
        <v>1</v>
      </c>
      <c r="K126" s="384"/>
      <c r="L126" s="384"/>
      <c r="M126" s="384"/>
      <c r="N126" s="384"/>
      <c r="O126" s="397">
        <v>1</v>
      </c>
      <c r="P126" s="384"/>
      <c r="Q126" s="384"/>
      <c r="R126" s="384"/>
      <c r="S126" s="384"/>
      <c r="T126" s="384"/>
      <c r="U126" s="397">
        <v>1</v>
      </c>
      <c r="V126" s="384"/>
      <c r="W126" s="384"/>
      <c r="X126" s="384"/>
      <c r="Y126" s="397">
        <v>1</v>
      </c>
      <c r="Z126" s="384"/>
      <c r="AA126" s="384"/>
      <c r="AB126" s="397">
        <v>1</v>
      </c>
      <c r="AC126" s="397">
        <v>1</v>
      </c>
      <c r="AD126" s="384"/>
      <c r="AE126" s="384"/>
      <c r="AF126" s="384"/>
      <c r="AG126" s="384"/>
      <c r="AH126" s="384"/>
      <c r="AI126" s="384"/>
      <c r="AJ126" s="383"/>
      <c r="AK126" s="383"/>
      <c r="AL126" s="384"/>
      <c r="AM126" s="384"/>
      <c r="AN126" s="384"/>
      <c r="AO126" s="391"/>
      <c r="AP126" s="315"/>
      <c r="AQ126" s="315"/>
      <c r="AR126" s="315"/>
      <c r="AS126" s="315"/>
      <c r="AT126" s="315"/>
      <c r="AU126" s="315"/>
      <c r="AV126" s="315"/>
      <c r="AW126" s="315"/>
      <c r="AX126" s="315"/>
      <c r="AY126" s="315"/>
      <c r="AZ126" s="315"/>
      <c r="BA126" s="315"/>
      <c r="BB126" s="315"/>
      <c r="BC126" s="315"/>
      <c r="BD126" s="315"/>
      <c r="BE126" s="387"/>
      <c r="BF126" s="387"/>
      <c r="BG126" s="387"/>
      <c r="BH126" s="387"/>
      <c r="BI126" s="387"/>
      <c r="BJ126" s="387"/>
      <c r="BK126" s="387"/>
      <c r="BL126" s="387"/>
      <c r="BM126" s="387"/>
      <c r="BN126" s="387"/>
      <c r="BO126" s="387"/>
      <c r="BP126" s="387"/>
      <c r="BQ126" s="387"/>
      <c r="BR126" s="387"/>
      <c r="BS126" s="387"/>
      <c r="BT126" s="387"/>
      <c r="BU126" s="387"/>
      <c r="BV126" s="387"/>
      <c r="BW126" s="387"/>
      <c r="BX126" s="387"/>
      <c r="BY126" s="387"/>
      <c r="BZ126" s="387"/>
      <c r="CA126" s="387"/>
      <c r="CB126" s="387"/>
      <c r="CC126" s="387"/>
      <c r="CD126" s="387"/>
      <c r="CE126" s="387"/>
      <c r="CF126" s="387"/>
      <c r="CG126" s="387"/>
      <c r="CH126" s="387"/>
      <c r="CI126" s="387"/>
      <c r="CJ126" s="387"/>
      <c r="CK126" s="383"/>
      <c r="CL126" s="383"/>
      <c r="CM126" s="383"/>
      <c r="CN126" s="383"/>
      <c r="CO126" s="383"/>
      <c r="CP126" s="383"/>
      <c r="CQ126" s="383"/>
      <c r="CR126" s="388"/>
      <c r="CS126" s="388"/>
      <c r="CT126" s="383"/>
      <c r="CU126" s="383"/>
      <c r="CV126" s="383"/>
      <c r="CW126" s="383"/>
      <c r="CX126" s="383"/>
      <c r="CY126" s="383"/>
      <c r="CZ126" s="383"/>
      <c r="DA126" s="383"/>
      <c r="DB126" s="383"/>
      <c r="DC126" s="383"/>
      <c r="DD126" s="383"/>
      <c r="DE126" s="383"/>
      <c r="DF126" s="383"/>
      <c r="DG126" s="383"/>
      <c r="DH126" s="383"/>
      <c r="DI126" s="383"/>
      <c r="DJ126" s="383"/>
      <c r="DK126" s="383"/>
      <c r="DL126" s="383"/>
      <c r="DM126" s="383"/>
      <c r="DN126" s="383"/>
      <c r="DO126" s="383"/>
      <c r="DP126" s="383"/>
      <c r="DQ126" s="383"/>
      <c r="DR126" s="383"/>
      <c r="DS126" s="370"/>
      <c r="DT126" s="370"/>
      <c r="DU126" s="384"/>
      <c r="DV126" s="384"/>
      <c r="DW126" s="383"/>
      <c r="DX126" s="315"/>
      <c r="DY126" s="315"/>
      <c r="DZ126" s="383"/>
      <c r="EA126" s="383"/>
      <c r="EB126" s="390"/>
      <c r="EC126" s="390"/>
      <c r="ED126" s="383"/>
      <c r="EE126" s="383"/>
      <c r="EF126" s="383"/>
      <c r="EG126" s="383"/>
      <c r="EH126" s="383"/>
      <c r="EI126" s="383"/>
      <c r="EJ126" s="383"/>
      <c r="EK126" s="383"/>
      <c r="EL126" s="383"/>
      <c r="EM126" s="383"/>
      <c r="EN126" s="370"/>
      <c r="EO126" s="370"/>
      <c r="EP126" s="370"/>
      <c r="EQ126" s="370"/>
      <c r="ER126" s="370"/>
      <c r="ES126" s="370"/>
      <c r="ET126" s="383"/>
      <c r="EU126" s="383"/>
      <c r="EV126" s="383"/>
      <c r="EW126" s="383"/>
      <c r="EX126" s="383"/>
      <c r="EY126" s="383"/>
      <c r="EZ126" s="383"/>
      <c r="FA126" s="383"/>
      <c r="FB126" s="383"/>
      <c r="FC126" s="383"/>
      <c r="FD126" s="383"/>
      <c r="FE126" s="383"/>
      <c r="FF126" s="383"/>
      <c r="FG126" s="383"/>
      <c r="FH126" s="383"/>
      <c r="FI126" s="383"/>
      <c r="FJ126" s="383"/>
      <c r="FK126" s="383"/>
      <c r="FL126" s="383"/>
      <c r="FM126" s="383"/>
      <c r="FN126" s="383"/>
      <c r="FO126" s="383"/>
      <c r="FP126" s="383"/>
      <c r="FQ126" s="383"/>
      <c r="FR126" s="383"/>
      <c r="FS126" s="383"/>
      <c r="FT126" s="383"/>
      <c r="FU126" s="383"/>
      <c r="FV126" s="383"/>
      <c r="FW126" s="383"/>
      <c r="FX126" s="383"/>
      <c r="FY126" s="383"/>
      <c r="FZ126" s="383"/>
      <c r="GA126" s="383"/>
      <c r="GB126" s="383"/>
      <c r="GC126" s="383"/>
      <c r="GD126" s="383"/>
      <c r="GE126" s="383"/>
      <c r="GF126" s="383"/>
      <c r="GG126" s="383"/>
      <c r="GH126" s="383"/>
      <c r="GI126" s="383"/>
      <c r="GJ126" s="383"/>
      <c r="GK126" s="383"/>
      <c r="GL126" s="383"/>
      <c r="GM126" s="383"/>
      <c r="GN126" s="383"/>
      <c r="GO126" s="383"/>
      <c r="GP126" s="383"/>
      <c r="GQ126" s="383"/>
      <c r="GR126" s="383"/>
      <c r="GS126" s="383"/>
      <c r="GT126" s="383"/>
      <c r="GU126" s="383"/>
      <c r="GV126" s="383"/>
      <c r="GW126" s="383"/>
      <c r="GX126" s="383"/>
      <c r="GY126" s="383"/>
      <c r="GZ126" s="383"/>
      <c r="HA126" s="383"/>
      <c r="HB126" s="383"/>
      <c r="HC126" s="383"/>
      <c r="HD126" s="383"/>
      <c r="HE126" s="383"/>
      <c r="HF126" s="383"/>
      <c r="HG126" s="383"/>
      <c r="HH126" s="383"/>
    </row>
    <row r="127" spans="1:216" ht="18" customHeight="1">
      <c r="A127" s="395"/>
      <c r="B127" s="314" t="s">
        <v>11758</v>
      </c>
      <c r="C127" s="404"/>
      <c r="D127" s="399" t="s">
        <v>11758</v>
      </c>
      <c r="E127" s="317"/>
      <c r="F127" s="383"/>
      <c r="G127" s="383"/>
      <c r="H127" s="651">
        <v>1</v>
      </c>
      <c r="I127" s="317"/>
      <c r="J127" s="651">
        <v>1</v>
      </c>
      <c r="K127" s="651"/>
      <c r="L127" s="651"/>
      <c r="M127" s="653">
        <v>1</v>
      </c>
      <c r="N127" s="653">
        <v>1</v>
      </c>
      <c r="O127" s="397">
        <v>1</v>
      </c>
      <c r="P127" s="651"/>
      <c r="Q127" s="651"/>
      <c r="R127" s="651"/>
      <c r="S127" s="651"/>
      <c r="T127" s="651"/>
      <c r="U127" s="397">
        <v>1</v>
      </c>
      <c r="V127" s="651"/>
      <c r="W127" s="651"/>
      <c r="X127" s="651"/>
      <c r="Y127" s="397">
        <v>1</v>
      </c>
      <c r="Z127" s="651"/>
      <c r="AA127" s="651"/>
      <c r="AB127" s="651"/>
      <c r="AC127" s="651"/>
      <c r="AD127" s="651"/>
      <c r="AE127" s="651"/>
      <c r="AF127" s="651"/>
      <c r="AG127" s="651"/>
      <c r="AH127" s="651"/>
      <c r="AI127" s="651"/>
      <c r="AJ127" s="383"/>
      <c r="AK127" s="383"/>
      <c r="AL127" s="651"/>
      <c r="AM127" s="651"/>
      <c r="AN127" s="651"/>
      <c r="AO127" s="391"/>
      <c r="AP127" s="652"/>
      <c r="AQ127" s="652"/>
      <c r="AR127" s="652"/>
      <c r="AS127" s="652"/>
      <c r="AT127" s="652"/>
      <c r="AU127" s="652"/>
      <c r="AV127" s="652"/>
      <c r="AW127" s="652"/>
      <c r="AX127" s="652"/>
      <c r="AY127" s="652"/>
      <c r="AZ127" s="652"/>
      <c r="BA127" s="652"/>
      <c r="BB127" s="652"/>
      <c r="BC127" s="652"/>
      <c r="BD127" s="652"/>
      <c r="BE127" s="387"/>
      <c r="BF127" s="387"/>
      <c r="BG127" s="387"/>
      <c r="BH127" s="387"/>
      <c r="BI127" s="387"/>
      <c r="BJ127" s="387"/>
      <c r="BK127" s="387"/>
      <c r="BL127" s="387"/>
      <c r="BM127" s="387"/>
      <c r="BN127" s="387"/>
      <c r="BO127" s="387"/>
      <c r="BP127" s="387"/>
      <c r="BQ127" s="387"/>
      <c r="BR127" s="387"/>
      <c r="BS127" s="387"/>
      <c r="BT127" s="387"/>
      <c r="BU127" s="387"/>
      <c r="BV127" s="387"/>
      <c r="BW127" s="387"/>
      <c r="BX127" s="387"/>
      <c r="BY127" s="387"/>
      <c r="BZ127" s="387"/>
      <c r="CA127" s="387"/>
      <c r="CB127" s="387"/>
      <c r="CC127" s="387"/>
      <c r="CD127" s="387"/>
      <c r="CE127" s="387"/>
      <c r="CF127" s="387"/>
      <c r="CG127" s="387"/>
      <c r="CH127" s="387"/>
      <c r="CI127" s="387"/>
      <c r="CJ127" s="387"/>
      <c r="CK127" s="383"/>
      <c r="CL127" s="383"/>
      <c r="CM127" s="383"/>
      <c r="CN127" s="383"/>
      <c r="CO127" s="383"/>
      <c r="CP127" s="383"/>
      <c r="CQ127" s="383"/>
      <c r="CR127" s="388"/>
      <c r="CS127" s="388"/>
      <c r="CT127" s="383"/>
      <c r="CU127" s="383"/>
      <c r="CV127" s="383"/>
      <c r="CW127" s="383"/>
      <c r="CX127" s="383"/>
      <c r="CY127" s="383"/>
      <c r="CZ127" s="383"/>
      <c r="DA127" s="383"/>
      <c r="DB127" s="383"/>
      <c r="DC127" s="383"/>
      <c r="DD127" s="383"/>
      <c r="DE127" s="383"/>
      <c r="DF127" s="383"/>
      <c r="DG127" s="383"/>
      <c r="DH127" s="383"/>
      <c r="DI127" s="383"/>
      <c r="DJ127" s="383"/>
      <c r="DK127" s="383"/>
      <c r="DL127" s="383"/>
      <c r="DM127" s="383"/>
      <c r="DN127" s="383"/>
      <c r="DO127" s="383"/>
      <c r="DP127" s="383"/>
      <c r="DQ127" s="383"/>
      <c r="DR127" s="383"/>
      <c r="DS127" s="370"/>
      <c r="DT127" s="370"/>
      <c r="DU127" s="651"/>
      <c r="DV127" s="651"/>
      <c r="DW127" s="383"/>
      <c r="DX127" s="652"/>
      <c r="DY127" s="652"/>
      <c r="DZ127" s="383"/>
      <c r="EA127" s="383"/>
      <c r="EB127" s="390"/>
      <c r="EC127" s="390"/>
      <c r="ED127" s="383"/>
      <c r="EE127" s="383"/>
      <c r="EF127" s="383"/>
      <c r="EG127" s="383"/>
      <c r="EH127" s="383"/>
      <c r="EI127" s="383"/>
      <c r="EJ127" s="383"/>
      <c r="EK127" s="383"/>
      <c r="EL127" s="383"/>
      <c r="EM127" s="383"/>
      <c r="EN127" s="370"/>
      <c r="EO127" s="370"/>
      <c r="EP127" s="370"/>
      <c r="EQ127" s="370"/>
      <c r="ER127" s="370"/>
      <c r="ES127" s="370"/>
      <c r="ET127" s="383"/>
      <c r="EU127" s="383"/>
      <c r="EV127" s="383"/>
      <c r="EW127" s="383"/>
      <c r="EX127" s="383"/>
      <c r="EY127" s="383"/>
      <c r="EZ127" s="383"/>
      <c r="FA127" s="383"/>
      <c r="FB127" s="383"/>
      <c r="FC127" s="383"/>
      <c r="FD127" s="383"/>
      <c r="FE127" s="383"/>
      <c r="FF127" s="383"/>
      <c r="FG127" s="383"/>
      <c r="FH127" s="383"/>
      <c r="FI127" s="383"/>
      <c r="FJ127" s="383"/>
      <c r="FK127" s="383"/>
      <c r="FL127" s="383"/>
      <c r="FM127" s="383"/>
      <c r="FN127" s="383"/>
      <c r="FO127" s="383"/>
      <c r="FP127" s="383"/>
      <c r="FQ127" s="383"/>
      <c r="FR127" s="383"/>
      <c r="FS127" s="383"/>
      <c r="FT127" s="383"/>
      <c r="FU127" s="383"/>
      <c r="FV127" s="383"/>
      <c r="FW127" s="383"/>
      <c r="FX127" s="383"/>
      <c r="FY127" s="383"/>
      <c r="FZ127" s="383"/>
      <c r="GA127" s="383"/>
      <c r="GB127" s="383"/>
      <c r="GC127" s="383"/>
      <c r="GD127" s="383"/>
      <c r="GE127" s="383"/>
      <c r="GF127" s="383"/>
      <c r="GG127" s="383"/>
      <c r="GH127" s="383"/>
      <c r="GI127" s="383"/>
      <c r="GJ127" s="383"/>
      <c r="GK127" s="383"/>
      <c r="GL127" s="383"/>
      <c r="GM127" s="383"/>
      <c r="GN127" s="383"/>
      <c r="GO127" s="383"/>
      <c r="GP127" s="383"/>
      <c r="GQ127" s="383"/>
      <c r="GR127" s="383"/>
      <c r="GS127" s="383"/>
      <c r="GT127" s="383"/>
      <c r="GU127" s="383"/>
      <c r="GV127" s="383"/>
      <c r="GW127" s="383"/>
      <c r="GX127" s="383"/>
      <c r="GY127" s="383"/>
      <c r="GZ127" s="383"/>
      <c r="HA127" s="383"/>
      <c r="HB127" s="383"/>
      <c r="HC127" s="383"/>
      <c r="HD127" s="383"/>
      <c r="HE127" s="383"/>
      <c r="HF127" s="383"/>
      <c r="HG127" s="383"/>
      <c r="HH127" s="383"/>
    </row>
    <row r="128" spans="1:216" s="393" customFormat="1" ht="18" customHeight="1">
      <c r="A128" s="382"/>
      <c r="B128" s="382"/>
      <c r="C128" s="382"/>
      <c r="D128" s="374"/>
      <c r="E128" s="394"/>
      <c r="F128" s="370"/>
      <c r="G128" s="370"/>
      <c r="H128" s="366"/>
      <c r="I128" s="382"/>
      <c r="J128" s="384"/>
      <c r="K128" s="352"/>
      <c r="L128" s="352"/>
      <c r="M128" s="358"/>
      <c r="N128" s="358"/>
      <c r="O128" s="358"/>
      <c r="P128" s="358"/>
      <c r="Q128" s="358"/>
      <c r="R128" s="384"/>
      <c r="S128" s="384"/>
      <c r="T128" s="384"/>
      <c r="U128" s="384"/>
      <c r="V128" s="384"/>
      <c r="W128" s="384"/>
      <c r="X128" s="384"/>
      <c r="Y128" s="384"/>
      <c r="Z128" s="384"/>
      <c r="AA128" s="384"/>
      <c r="AB128" s="384"/>
      <c r="AC128" s="384"/>
      <c r="AD128" s="384"/>
      <c r="AE128" s="384"/>
      <c r="AF128" s="384"/>
      <c r="AG128" s="384"/>
      <c r="AH128" s="384"/>
      <c r="AI128" s="384"/>
      <c r="AJ128" s="384"/>
      <c r="AK128" s="384"/>
      <c r="AL128" s="384"/>
      <c r="AM128" s="384"/>
      <c r="AN128" s="384"/>
      <c r="AO128" s="391"/>
      <c r="AP128" s="384"/>
      <c r="AQ128" s="384"/>
      <c r="AR128" s="384"/>
      <c r="AS128" s="384"/>
      <c r="AT128" s="384"/>
      <c r="AU128" s="384"/>
      <c r="AV128" s="384"/>
      <c r="AW128" s="384"/>
      <c r="AX128" s="384"/>
      <c r="AY128" s="384"/>
      <c r="AZ128" s="384"/>
      <c r="BA128" s="384"/>
      <c r="BB128" s="384"/>
      <c r="BC128" s="384"/>
      <c r="BD128" s="384"/>
      <c r="BE128" s="387"/>
      <c r="BF128" s="387"/>
      <c r="BG128" s="387"/>
      <c r="BH128" s="387"/>
      <c r="BI128" s="387"/>
      <c r="BJ128" s="387"/>
      <c r="BK128" s="387"/>
      <c r="BL128" s="387"/>
      <c r="BM128" s="387"/>
      <c r="BN128" s="387"/>
      <c r="BO128" s="387"/>
      <c r="BP128" s="387"/>
      <c r="BQ128" s="387"/>
      <c r="BR128" s="387"/>
      <c r="BS128" s="387"/>
      <c r="BT128" s="387"/>
      <c r="BU128" s="387"/>
      <c r="BV128" s="387"/>
      <c r="BW128" s="387"/>
      <c r="BX128" s="387"/>
      <c r="BY128" s="387"/>
      <c r="BZ128" s="387"/>
      <c r="CA128" s="387"/>
      <c r="CB128" s="387"/>
      <c r="CC128" s="387"/>
      <c r="CD128" s="387"/>
      <c r="CE128" s="387"/>
      <c r="CF128" s="387"/>
      <c r="CG128" s="387"/>
      <c r="CH128" s="387"/>
      <c r="CI128" s="387"/>
      <c r="CJ128" s="387"/>
      <c r="CK128" s="370"/>
      <c r="CL128" s="370"/>
      <c r="CM128" s="370"/>
      <c r="CN128" s="370"/>
      <c r="CO128" s="370"/>
      <c r="CP128" s="370"/>
      <c r="CQ128" s="370"/>
      <c r="CR128" s="390"/>
      <c r="CS128" s="390"/>
      <c r="CT128" s="370"/>
      <c r="CU128" s="370"/>
      <c r="CV128" s="370"/>
      <c r="CW128" s="370"/>
      <c r="CX128" s="370"/>
      <c r="CY128" s="370"/>
      <c r="CZ128" s="370"/>
      <c r="DA128" s="370"/>
      <c r="DB128" s="370"/>
      <c r="DC128" s="370"/>
      <c r="DD128" s="370"/>
      <c r="DE128" s="370"/>
      <c r="DF128" s="370"/>
      <c r="DG128" s="370"/>
      <c r="DH128" s="370"/>
      <c r="DI128" s="370"/>
      <c r="DJ128" s="370"/>
      <c r="DK128" s="370"/>
      <c r="DL128" s="383"/>
      <c r="DM128" s="383"/>
      <c r="DN128" s="383"/>
      <c r="DO128" s="370"/>
      <c r="DP128" s="370"/>
      <c r="DQ128" s="370"/>
      <c r="DR128" s="370"/>
      <c r="DS128" s="383"/>
      <c r="DT128" s="383"/>
      <c r="DU128" s="384"/>
      <c r="DV128" s="384"/>
      <c r="DW128" s="370"/>
      <c r="DX128" s="384"/>
      <c r="DY128" s="384"/>
      <c r="DZ128" s="370"/>
      <c r="EA128" s="370"/>
      <c r="EB128" s="390"/>
      <c r="EC128" s="390"/>
      <c r="ED128" s="370"/>
      <c r="EE128" s="370"/>
      <c r="EF128" s="370"/>
      <c r="EG128" s="370"/>
      <c r="EH128" s="370"/>
      <c r="EI128" s="370"/>
      <c r="EJ128" s="370"/>
      <c r="EK128" s="370"/>
      <c r="EL128" s="370"/>
      <c r="EM128" s="370"/>
      <c r="EN128" s="370"/>
      <c r="EO128" s="370"/>
      <c r="EP128" s="370"/>
      <c r="EQ128" s="370"/>
      <c r="ER128" s="370"/>
      <c r="ES128" s="370"/>
      <c r="ET128" s="370"/>
      <c r="EU128" s="370"/>
      <c r="EV128" s="370"/>
      <c r="EW128" s="370"/>
      <c r="EX128" s="370"/>
      <c r="EY128" s="370"/>
      <c r="EZ128" s="370"/>
      <c r="FA128" s="370"/>
      <c r="FB128" s="370"/>
      <c r="FC128" s="370"/>
      <c r="FD128" s="370"/>
      <c r="FE128" s="370"/>
      <c r="FF128" s="370"/>
      <c r="FG128" s="370"/>
      <c r="FH128" s="370"/>
      <c r="FI128" s="370"/>
      <c r="FJ128" s="370"/>
      <c r="FK128" s="370"/>
      <c r="FL128" s="370"/>
      <c r="FM128" s="370"/>
      <c r="FN128" s="370"/>
      <c r="FO128" s="370"/>
      <c r="FP128" s="370"/>
      <c r="FQ128" s="370"/>
      <c r="FR128" s="370"/>
      <c r="FS128" s="370"/>
      <c r="FT128" s="370"/>
      <c r="FU128" s="370"/>
      <c r="FV128" s="370"/>
      <c r="FW128" s="370"/>
      <c r="FX128" s="370"/>
      <c r="FY128" s="370"/>
      <c r="FZ128" s="370"/>
      <c r="GA128" s="370"/>
      <c r="GB128" s="370"/>
      <c r="GC128" s="370"/>
      <c r="GD128" s="370"/>
      <c r="GE128" s="370"/>
      <c r="GF128" s="370"/>
      <c r="GG128" s="370"/>
      <c r="GH128" s="370"/>
      <c r="GI128" s="370"/>
      <c r="GJ128" s="370"/>
      <c r="GK128" s="370"/>
      <c r="GL128" s="370"/>
      <c r="GM128" s="370"/>
      <c r="GN128" s="370"/>
      <c r="GO128" s="370"/>
      <c r="GP128" s="370"/>
      <c r="GQ128" s="370"/>
      <c r="GR128" s="370"/>
      <c r="GS128" s="370"/>
      <c r="GT128" s="370"/>
      <c r="GU128" s="370"/>
      <c r="GV128" s="370"/>
      <c r="GW128" s="370"/>
      <c r="GX128" s="370"/>
      <c r="GY128" s="370"/>
      <c r="GZ128" s="370"/>
      <c r="HA128" s="370"/>
      <c r="HB128" s="370"/>
      <c r="HC128" s="370"/>
      <c r="HD128" s="370"/>
      <c r="HE128" s="370"/>
      <c r="HF128" s="370"/>
      <c r="HG128" s="370"/>
      <c r="HH128" s="370"/>
    </row>
    <row r="129" spans="1:216" s="393" customFormat="1" ht="18" customHeight="1">
      <c r="A129" s="382"/>
      <c r="B129" s="382"/>
      <c r="C129" s="382"/>
      <c r="D129" s="374"/>
      <c r="E129" s="394"/>
      <c r="F129" s="370"/>
      <c r="G129" s="370"/>
      <c r="H129" s="366"/>
      <c r="I129" s="382"/>
      <c r="J129" s="384"/>
      <c r="K129" s="352"/>
      <c r="L129" s="352"/>
      <c r="M129" s="358"/>
      <c r="N129" s="358"/>
      <c r="O129" s="358"/>
      <c r="P129" s="358"/>
      <c r="Q129" s="358"/>
      <c r="R129" s="384"/>
      <c r="S129" s="384"/>
      <c r="T129" s="384"/>
      <c r="U129" s="384"/>
      <c r="V129" s="384"/>
      <c r="W129" s="384"/>
      <c r="X129" s="384"/>
      <c r="Y129" s="384"/>
      <c r="Z129" s="384"/>
      <c r="AA129" s="384"/>
      <c r="AB129" s="384"/>
      <c r="AC129" s="384"/>
      <c r="AD129" s="384"/>
      <c r="AE129" s="384"/>
      <c r="AF129" s="384"/>
      <c r="AG129" s="384"/>
      <c r="AH129" s="384"/>
      <c r="AI129" s="384"/>
      <c r="AJ129" s="384"/>
      <c r="AK129" s="384"/>
      <c r="AL129" s="384"/>
      <c r="AM129" s="384"/>
      <c r="AN129" s="384"/>
      <c r="AO129" s="391"/>
      <c r="AP129" s="384"/>
      <c r="AQ129" s="384"/>
      <c r="AR129" s="384"/>
      <c r="AS129" s="384"/>
      <c r="AT129" s="384"/>
      <c r="AU129" s="384"/>
      <c r="AV129" s="384"/>
      <c r="AW129" s="384"/>
      <c r="AX129" s="384"/>
      <c r="AY129" s="384"/>
      <c r="AZ129" s="384"/>
      <c r="BA129" s="384"/>
      <c r="BB129" s="384"/>
      <c r="BC129" s="384"/>
      <c r="BD129" s="384"/>
      <c r="BE129" s="387"/>
      <c r="BF129" s="387"/>
      <c r="BG129" s="387"/>
      <c r="BH129" s="387"/>
      <c r="BI129" s="387"/>
      <c r="BJ129" s="387"/>
      <c r="BK129" s="387"/>
      <c r="BL129" s="387"/>
      <c r="BM129" s="387"/>
      <c r="BN129" s="387"/>
      <c r="BO129" s="387"/>
      <c r="BP129" s="387"/>
      <c r="BQ129" s="387"/>
      <c r="BR129" s="387"/>
      <c r="BS129" s="387"/>
      <c r="BT129" s="387"/>
      <c r="BU129" s="387"/>
      <c r="BV129" s="387"/>
      <c r="BW129" s="387"/>
      <c r="BX129" s="387"/>
      <c r="BY129" s="387"/>
      <c r="BZ129" s="387"/>
      <c r="CA129" s="387"/>
      <c r="CB129" s="387"/>
      <c r="CC129" s="387"/>
      <c r="CD129" s="387"/>
      <c r="CE129" s="387"/>
      <c r="CF129" s="387"/>
      <c r="CG129" s="387"/>
      <c r="CH129" s="387"/>
      <c r="CI129" s="387"/>
      <c r="CJ129" s="387"/>
      <c r="CK129" s="370"/>
      <c r="CL129" s="370"/>
      <c r="CM129" s="370"/>
      <c r="CN129" s="370"/>
      <c r="CO129" s="370"/>
      <c r="CP129" s="370"/>
      <c r="CQ129" s="370"/>
      <c r="CR129" s="390"/>
      <c r="CS129" s="390"/>
      <c r="CT129" s="370"/>
      <c r="CU129" s="370"/>
      <c r="CV129" s="370"/>
      <c r="CW129" s="370"/>
      <c r="CX129" s="370"/>
      <c r="CY129" s="370"/>
      <c r="CZ129" s="370"/>
      <c r="DA129" s="370"/>
      <c r="DB129" s="370"/>
      <c r="DC129" s="370"/>
      <c r="DD129" s="370"/>
      <c r="DE129" s="370"/>
      <c r="DF129" s="370"/>
      <c r="DG129" s="370"/>
      <c r="DH129" s="370"/>
      <c r="DI129" s="370"/>
      <c r="DJ129" s="370"/>
      <c r="DK129" s="370"/>
      <c r="DL129" s="383"/>
      <c r="DM129" s="383"/>
      <c r="DN129" s="383"/>
      <c r="DO129" s="370"/>
      <c r="DP129" s="370"/>
      <c r="DQ129" s="370"/>
      <c r="DR129" s="370"/>
      <c r="DS129" s="383"/>
      <c r="DT129" s="383"/>
      <c r="DU129" s="384"/>
      <c r="DV129" s="384"/>
      <c r="DW129" s="370"/>
      <c r="DX129" s="384"/>
      <c r="DY129" s="384"/>
      <c r="DZ129" s="370"/>
      <c r="EA129" s="370"/>
      <c r="EB129" s="390"/>
      <c r="EC129" s="390"/>
      <c r="ED129" s="370"/>
      <c r="EE129" s="370"/>
      <c r="EF129" s="370"/>
      <c r="EG129" s="370"/>
      <c r="EH129" s="370"/>
      <c r="EI129" s="370"/>
      <c r="EJ129" s="370"/>
      <c r="EK129" s="370"/>
      <c r="EL129" s="370"/>
      <c r="EM129" s="370"/>
      <c r="EN129" s="370"/>
      <c r="EO129" s="370"/>
      <c r="EP129" s="370"/>
      <c r="EQ129" s="370"/>
      <c r="ER129" s="370"/>
      <c r="ES129" s="370"/>
      <c r="ET129" s="370"/>
      <c r="EU129" s="370"/>
      <c r="EV129" s="370"/>
      <c r="EW129" s="370"/>
      <c r="EX129" s="370"/>
      <c r="EY129" s="370"/>
      <c r="EZ129" s="370"/>
      <c r="FA129" s="370"/>
      <c r="FB129" s="370"/>
      <c r="FC129" s="370"/>
      <c r="FD129" s="370"/>
      <c r="FE129" s="370"/>
      <c r="FF129" s="370"/>
      <c r="FG129" s="370"/>
      <c r="FH129" s="370"/>
      <c r="FI129" s="370"/>
      <c r="FJ129" s="370"/>
      <c r="FK129" s="370"/>
      <c r="FL129" s="370"/>
      <c r="FM129" s="370"/>
      <c r="FN129" s="370"/>
      <c r="FO129" s="370"/>
      <c r="FP129" s="370"/>
      <c r="FQ129" s="370"/>
      <c r="FR129" s="370"/>
      <c r="FS129" s="370"/>
      <c r="FT129" s="370"/>
      <c r="FU129" s="370"/>
      <c r="FV129" s="370"/>
      <c r="FW129" s="370"/>
      <c r="FX129" s="370"/>
      <c r="FY129" s="370"/>
      <c r="FZ129" s="370"/>
      <c r="GA129" s="370"/>
      <c r="GB129" s="370"/>
      <c r="GC129" s="370"/>
      <c r="GD129" s="370"/>
      <c r="GE129" s="370"/>
      <c r="GF129" s="370"/>
      <c r="GG129" s="370"/>
      <c r="GH129" s="370"/>
      <c r="GI129" s="370"/>
      <c r="GJ129" s="370"/>
      <c r="GK129" s="370"/>
      <c r="GL129" s="370"/>
      <c r="GM129" s="370"/>
      <c r="GN129" s="370"/>
      <c r="GO129" s="370"/>
      <c r="GP129" s="370"/>
      <c r="GQ129" s="370"/>
      <c r="GR129" s="370"/>
      <c r="GS129" s="370"/>
      <c r="GT129" s="370"/>
      <c r="GU129" s="370"/>
      <c r="GV129" s="370"/>
      <c r="GW129" s="370"/>
      <c r="GX129" s="370"/>
      <c r="GY129" s="370"/>
      <c r="GZ129" s="370"/>
      <c r="HA129" s="370"/>
      <c r="HB129" s="370"/>
      <c r="HC129" s="370"/>
      <c r="HD129" s="370"/>
      <c r="HE129" s="370"/>
      <c r="HF129" s="370"/>
      <c r="HG129" s="370"/>
      <c r="HH129" s="370"/>
    </row>
    <row r="130" spans="1:216" ht="18" customHeight="1">
      <c r="A130" s="395"/>
      <c r="B130" s="423" t="s">
        <v>8036</v>
      </c>
      <c r="C130" s="396"/>
      <c r="D130" s="317" t="s">
        <v>8036</v>
      </c>
      <c r="E130" s="317"/>
      <c r="F130" s="383">
        <v>1</v>
      </c>
      <c r="G130" s="383"/>
      <c r="H130" s="370"/>
      <c r="I130" s="317"/>
      <c r="J130" s="384">
        <v>1</v>
      </c>
      <c r="K130" s="384"/>
      <c r="L130" s="384"/>
      <c r="M130" s="397">
        <v>1</v>
      </c>
      <c r="N130" s="397">
        <v>1</v>
      </c>
      <c r="O130" s="397">
        <v>1</v>
      </c>
      <c r="P130" s="384"/>
      <c r="Q130" s="384"/>
      <c r="R130" s="397">
        <v>1</v>
      </c>
      <c r="S130" s="397">
        <v>1</v>
      </c>
      <c r="T130" s="397">
        <v>1</v>
      </c>
      <c r="U130" s="397">
        <v>1</v>
      </c>
      <c r="V130" s="384"/>
      <c r="W130" s="384"/>
      <c r="X130" s="384"/>
      <c r="Y130" s="384"/>
      <c r="Z130" s="384"/>
      <c r="AA130" s="384"/>
      <c r="AB130" s="384"/>
      <c r="AC130" s="384"/>
      <c r="AD130" s="384"/>
      <c r="AE130" s="384"/>
      <c r="AF130" s="384"/>
      <c r="AG130" s="384"/>
      <c r="AH130" s="384"/>
      <c r="AI130" s="384"/>
      <c r="AJ130" s="384"/>
      <c r="AK130" s="384"/>
      <c r="AL130" s="397">
        <v>1</v>
      </c>
      <c r="AM130" s="384"/>
      <c r="AN130" s="384"/>
      <c r="AO130" s="391"/>
      <c r="AP130" s="315"/>
      <c r="AQ130" s="315"/>
      <c r="AR130" s="315"/>
      <c r="AS130" s="315"/>
      <c r="AT130" s="315"/>
      <c r="AU130" s="315"/>
      <c r="AV130" s="315"/>
      <c r="AW130" s="315"/>
      <c r="AX130" s="315"/>
      <c r="AY130" s="315"/>
      <c r="AZ130" s="315"/>
      <c r="BA130" s="315"/>
      <c r="BB130" s="315"/>
      <c r="BC130" s="315"/>
      <c r="BD130" s="315"/>
      <c r="BE130" s="387"/>
      <c r="BF130" s="387"/>
      <c r="BG130" s="387"/>
      <c r="BH130" s="387"/>
      <c r="BI130" s="387"/>
      <c r="BJ130" s="387"/>
      <c r="BK130" s="387"/>
      <c r="BL130" s="387"/>
      <c r="BM130" s="387"/>
      <c r="BN130" s="387"/>
      <c r="BO130" s="387"/>
      <c r="BP130" s="387"/>
      <c r="BQ130" s="387"/>
      <c r="BR130" s="387"/>
      <c r="BS130" s="387"/>
      <c r="BT130" s="387"/>
      <c r="BU130" s="387"/>
      <c r="BV130" s="387"/>
      <c r="BW130" s="387"/>
      <c r="BX130" s="387"/>
      <c r="BY130" s="387"/>
      <c r="BZ130" s="387"/>
      <c r="CA130" s="387"/>
      <c r="CB130" s="387"/>
      <c r="CC130" s="387"/>
      <c r="CD130" s="387"/>
      <c r="CE130" s="387"/>
      <c r="CF130" s="387"/>
      <c r="CG130" s="387"/>
      <c r="CH130" s="387"/>
      <c r="CI130" s="387"/>
      <c r="CJ130" s="387"/>
      <c r="CK130" s="383"/>
      <c r="CL130" s="383"/>
      <c r="CM130" s="383"/>
      <c r="CN130" s="383"/>
      <c r="CO130" s="383"/>
      <c r="CP130" s="383"/>
      <c r="CQ130" s="383"/>
      <c r="CR130" s="390"/>
      <c r="CS130" s="390"/>
      <c r="CT130" s="383"/>
      <c r="CU130" s="383"/>
      <c r="CV130" s="383"/>
      <c r="CW130" s="383"/>
      <c r="CX130" s="383"/>
      <c r="CY130" s="383"/>
      <c r="CZ130" s="383"/>
      <c r="DA130" s="383"/>
      <c r="DB130" s="383"/>
      <c r="DC130" s="383"/>
      <c r="DD130" s="383"/>
      <c r="DE130" s="383"/>
      <c r="DF130" s="383"/>
      <c r="DG130" s="383"/>
      <c r="DH130" s="383"/>
      <c r="DI130" s="383"/>
      <c r="DJ130" s="383"/>
      <c r="DK130" s="383"/>
      <c r="DL130" s="383"/>
      <c r="DM130" s="383"/>
      <c r="DN130" s="383"/>
      <c r="DO130" s="383"/>
      <c r="DP130" s="383"/>
      <c r="DQ130" s="383"/>
      <c r="DR130" s="383"/>
      <c r="DS130" s="370"/>
      <c r="DT130" s="370"/>
      <c r="DU130" s="384"/>
      <c r="DV130" s="384"/>
      <c r="DW130" s="383"/>
      <c r="DX130" s="315"/>
      <c r="DY130" s="315"/>
      <c r="DZ130" s="383"/>
      <c r="EA130" s="383"/>
      <c r="EB130" s="390"/>
      <c r="EC130" s="390"/>
      <c r="ED130" s="383"/>
      <c r="EE130" s="383"/>
      <c r="EF130" s="383"/>
      <c r="EG130" s="383"/>
      <c r="EH130" s="383"/>
      <c r="EI130" s="383"/>
      <c r="EJ130" s="383"/>
      <c r="EK130" s="383"/>
      <c r="EL130" s="383"/>
      <c r="EM130" s="383"/>
      <c r="EN130" s="370"/>
      <c r="EO130" s="370"/>
      <c r="EP130" s="370"/>
      <c r="EQ130" s="370"/>
      <c r="ER130" s="370"/>
      <c r="ES130" s="370"/>
      <c r="ET130" s="383"/>
      <c r="EU130" s="383"/>
      <c r="EV130" s="383"/>
      <c r="EW130" s="383"/>
      <c r="EX130" s="383"/>
      <c r="EY130" s="383"/>
      <c r="EZ130" s="383"/>
      <c r="FA130" s="383"/>
      <c r="FB130" s="383"/>
      <c r="FC130" s="383"/>
      <c r="FD130" s="383"/>
      <c r="FE130" s="383"/>
      <c r="FF130" s="383"/>
      <c r="FG130" s="383"/>
      <c r="FH130" s="383"/>
      <c r="FI130" s="383"/>
      <c r="FJ130" s="383"/>
      <c r="FK130" s="383"/>
      <c r="FL130" s="383"/>
      <c r="FM130" s="383"/>
      <c r="FN130" s="383"/>
      <c r="FO130" s="383"/>
      <c r="FP130" s="383"/>
      <c r="FQ130" s="383"/>
      <c r="FR130" s="383"/>
      <c r="FS130" s="383"/>
      <c r="FT130" s="383"/>
      <c r="FU130" s="383"/>
      <c r="FV130" s="383"/>
      <c r="FW130" s="383"/>
      <c r="FX130" s="383"/>
      <c r="FY130" s="383"/>
      <c r="FZ130" s="383"/>
      <c r="GA130" s="383"/>
      <c r="GB130" s="383"/>
      <c r="GC130" s="383"/>
      <c r="GD130" s="383"/>
      <c r="GE130" s="383"/>
      <c r="GF130" s="383"/>
      <c r="GG130" s="383"/>
      <c r="GH130" s="383"/>
      <c r="GI130" s="383"/>
      <c r="GJ130" s="383"/>
      <c r="GK130" s="383"/>
      <c r="GL130" s="383"/>
      <c r="GM130" s="383"/>
      <c r="GN130" s="383"/>
      <c r="GO130" s="383"/>
      <c r="GP130" s="383"/>
      <c r="GQ130" s="383"/>
      <c r="GR130" s="383"/>
      <c r="GS130" s="383"/>
      <c r="GT130" s="383"/>
      <c r="GU130" s="383"/>
      <c r="GV130" s="383"/>
      <c r="GW130" s="383"/>
      <c r="GX130" s="383"/>
      <c r="GY130" s="383"/>
      <c r="GZ130" s="383"/>
      <c r="HA130" s="383"/>
      <c r="HB130" s="383"/>
      <c r="HC130" s="383"/>
      <c r="HD130" s="383"/>
      <c r="HE130" s="383"/>
      <c r="HF130" s="383"/>
      <c r="HG130" s="383"/>
      <c r="HH130" s="383"/>
    </row>
    <row r="131" spans="1:216" ht="18" customHeight="1">
      <c r="A131" s="395"/>
      <c r="B131" s="423" t="s">
        <v>8037</v>
      </c>
      <c r="C131" s="396"/>
      <c r="D131" s="317" t="s">
        <v>8036</v>
      </c>
      <c r="E131" s="317"/>
      <c r="F131" s="383">
        <v>1</v>
      </c>
      <c r="G131" s="383"/>
      <c r="H131" s="370"/>
      <c r="I131" s="317"/>
      <c r="J131" s="384">
        <v>1</v>
      </c>
      <c r="K131" s="384"/>
      <c r="L131" s="384"/>
      <c r="M131" s="397">
        <v>1</v>
      </c>
      <c r="N131" s="397">
        <v>1</v>
      </c>
      <c r="O131" s="397">
        <v>1</v>
      </c>
      <c r="P131" s="384"/>
      <c r="Q131" s="384"/>
      <c r="R131" s="397">
        <v>1</v>
      </c>
      <c r="S131" s="397">
        <v>1</v>
      </c>
      <c r="T131" s="397">
        <v>1</v>
      </c>
      <c r="U131" s="397">
        <v>1</v>
      </c>
      <c r="V131" s="384"/>
      <c r="W131" s="384"/>
      <c r="X131" s="384"/>
      <c r="Y131" s="384"/>
      <c r="Z131" s="384"/>
      <c r="AA131" s="384"/>
      <c r="AB131" s="384"/>
      <c r="AC131" s="384"/>
      <c r="AD131" s="384"/>
      <c r="AE131" s="384"/>
      <c r="AF131" s="384"/>
      <c r="AG131" s="384"/>
      <c r="AH131" s="384"/>
      <c r="AI131" s="384"/>
      <c r="AJ131" s="384"/>
      <c r="AK131" s="384"/>
      <c r="AL131" s="397">
        <v>1</v>
      </c>
      <c r="AM131" s="384"/>
      <c r="AN131" s="384"/>
      <c r="AO131" s="391"/>
      <c r="AP131" s="315"/>
      <c r="AQ131" s="315"/>
      <c r="AR131" s="315"/>
      <c r="AS131" s="315"/>
      <c r="AT131" s="315"/>
      <c r="AU131" s="315"/>
      <c r="AV131" s="315"/>
      <c r="AW131" s="315"/>
      <c r="AX131" s="315"/>
      <c r="AY131" s="315"/>
      <c r="AZ131" s="315"/>
      <c r="BA131" s="315"/>
      <c r="BB131" s="315"/>
      <c r="BC131" s="315"/>
      <c r="BD131" s="315"/>
      <c r="BE131" s="387"/>
      <c r="BF131" s="387"/>
      <c r="BG131" s="387"/>
      <c r="BH131" s="387"/>
      <c r="BI131" s="387"/>
      <c r="BJ131" s="387"/>
      <c r="BK131" s="387"/>
      <c r="BL131" s="387"/>
      <c r="BM131" s="387"/>
      <c r="BN131" s="387"/>
      <c r="BO131" s="387"/>
      <c r="BP131" s="387"/>
      <c r="BQ131" s="387"/>
      <c r="BR131" s="387"/>
      <c r="BS131" s="387"/>
      <c r="BT131" s="387"/>
      <c r="BU131" s="387"/>
      <c r="BV131" s="387"/>
      <c r="BW131" s="387"/>
      <c r="BX131" s="387"/>
      <c r="BY131" s="387"/>
      <c r="BZ131" s="387"/>
      <c r="CA131" s="387"/>
      <c r="CB131" s="387"/>
      <c r="CC131" s="387"/>
      <c r="CD131" s="387"/>
      <c r="CE131" s="387"/>
      <c r="CF131" s="387"/>
      <c r="CG131" s="387"/>
      <c r="CH131" s="387"/>
      <c r="CI131" s="387"/>
      <c r="CJ131" s="387"/>
      <c r="CK131" s="383"/>
      <c r="CL131" s="383"/>
      <c r="CM131" s="383"/>
      <c r="CN131" s="383"/>
      <c r="CO131" s="383"/>
      <c r="CP131" s="383"/>
      <c r="CQ131" s="383"/>
      <c r="CR131" s="390"/>
      <c r="CS131" s="390"/>
      <c r="CT131" s="383"/>
      <c r="CU131" s="383"/>
      <c r="CV131" s="383"/>
      <c r="CW131" s="383"/>
      <c r="CX131" s="383"/>
      <c r="CY131" s="383"/>
      <c r="CZ131" s="383"/>
      <c r="DA131" s="383"/>
      <c r="DB131" s="383"/>
      <c r="DC131" s="383"/>
      <c r="DD131" s="383"/>
      <c r="DE131" s="383"/>
      <c r="DF131" s="383"/>
      <c r="DG131" s="383"/>
      <c r="DH131" s="383"/>
      <c r="DI131" s="383"/>
      <c r="DJ131" s="383"/>
      <c r="DK131" s="383"/>
      <c r="DL131" s="383"/>
      <c r="DM131" s="383"/>
      <c r="DN131" s="383"/>
      <c r="DO131" s="383"/>
      <c r="DP131" s="383"/>
      <c r="DQ131" s="383"/>
      <c r="DR131" s="383"/>
      <c r="DS131" s="370"/>
      <c r="DT131" s="370"/>
      <c r="DU131" s="384"/>
      <c r="DV131" s="384"/>
      <c r="DW131" s="383"/>
      <c r="DX131" s="315"/>
      <c r="DY131" s="315"/>
      <c r="DZ131" s="383"/>
      <c r="EA131" s="383"/>
      <c r="EB131" s="390"/>
      <c r="EC131" s="390"/>
      <c r="ED131" s="383"/>
      <c r="EE131" s="383"/>
      <c r="EF131" s="383"/>
      <c r="EG131" s="383"/>
      <c r="EH131" s="383"/>
      <c r="EI131" s="383"/>
      <c r="EJ131" s="383"/>
      <c r="EK131" s="383"/>
      <c r="EL131" s="383"/>
      <c r="EM131" s="383"/>
      <c r="EN131" s="370"/>
      <c r="EO131" s="370"/>
      <c r="EP131" s="370"/>
      <c r="EQ131" s="370"/>
      <c r="ER131" s="370"/>
      <c r="ES131" s="370"/>
      <c r="ET131" s="383"/>
      <c r="EU131" s="383"/>
      <c r="EV131" s="383"/>
      <c r="EW131" s="383"/>
      <c r="EX131" s="383"/>
      <c r="EY131" s="383"/>
      <c r="EZ131" s="383"/>
      <c r="FA131" s="383"/>
      <c r="FB131" s="383"/>
      <c r="FC131" s="383"/>
      <c r="FD131" s="383"/>
      <c r="FE131" s="383"/>
      <c r="FF131" s="383"/>
      <c r="FG131" s="383"/>
      <c r="FH131" s="383"/>
      <c r="FI131" s="383"/>
      <c r="FJ131" s="383"/>
      <c r="FK131" s="383"/>
      <c r="FL131" s="383"/>
      <c r="FM131" s="383"/>
      <c r="FN131" s="383"/>
      <c r="FO131" s="383"/>
      <c r="FP131" s="383"/>
      <c r="FQ131" s="383"/>
      <c r="FR131" s="383"/>
      <c r="FS131" s="383"/>
      <c r="FT131" s="383"/>
      <c r="FU131" s="383"/>
      <c r="FV131" s="383"/>
      <c r="FW131" s="383"/>
      <c r="FX131" s="383"/>
      <c r="FY131" s="383"/>
      <c r="FZ131" s="383"/>
      <c r="GA131" s="383"/>
      <c r="GB131" s="383"/>
      <c r="GC131" s="383"/>
      <c r="GD131" s="383"/>
      <c r="GE131" s="383"/>
      <c r="GF131" s="383"/>
      <c r="GG131" s="383"/>
      <c r="GH131" s="383"/>
      <c r="GI131" s="383"/>
      <c r="GJ131" s="383"/>
      <c r="GK131" s="383"/>
      <c r="GL131" s="383"/>
      <c r="GM131" s="383"/>
      <c r="GN131" s="383"/>
      <c r="GO131" s="383"/>
      <c r="GP131" s="383"/>
      <c r="GQ131" s="383"/>
      <c r="GR131" s="383"/>
      <c r="GS131" s="383"/>
      <c r="GT131" s="383"/>
      <c r="GU131" s="383"/>
      <c r="GV131" s="383"/>
      <c r="GW131" s="383"/>
      <c r="GX131" s="383"/>
      <c r="GY131" s="383"/>
      <c r="GZ131" s="383"/>
      <c r="HA131" s="383"/>
      <c r="HB131" s="383"/>
      <c r="HC131" s="383"/>
      <c r="HD131" s="383"/>
      <c r="HE131" s="383"/>
      <c r="HF131" s="383"/>
      <c r="HG131" s="383"/>
      <c r="HH131" s="383"/>
    </row>
    <row r="132" spans="1:216" s="174" customFormat="1" ht="18" customHeight="1">
      <c r="A132" s="395"/>
      <c r="B132" s="423" t="s">
        <v>10003</v>
      </c>
      <c r="C132" s="406"/>
      <c r="D132" s="317"/>
      <c r="E132" s="317"/>
      <c r="F132" s="383">
        <v>1</v>
      </c>
      <c r="G132" s="370"/>
      <c r="H132" s="370"/>
      <c r="I132" s="317"/>
      <c r="J132" s="384"/>
      <c r="K132" s="384"/>
      <c r="L132" s="384"/>
      <c r="M132" s="384"/>
      <c r="N132" s="384"/>
      <c r="O132" s="384"/>
      <c r="P132" s="384"/>
      <c r="Q132" s="384"/>
      <c r="R132" s="384"/>
      <c r="S132" s="384"/>
      <c r="T132" s="384"/>
      <c r="U132" s="384"/>
      <c r="V132" s="384"/>
      <c r="W132" s="384"/>
      <c r="X132" s="384"/>
      <c r="Y132" s="384"/>
      <c r="Z132" s="384"/>
      <c r="AA132" s="384"/>
      <c r="AB132" s="384"/>
      <c r="AC132" s="384"/>
      <c r="AD132" s="384"/>
      <c r="AE132" s="384"/>
      <c r="AF132" s="384"/>
      <c r="AG132" s="384"/>
      <c r="AH132" s="384"/>
      <c r="AI132" s="384"/>
      <c r="AJ132" s="370"/>
      <c r="AK132" s="370"/>
      <c r="AL132" s="384"/>
      <c r="AM132" s="384"/>
      <c r="AN132" s="384"/>
      <c r="AO132" s="391"/>
      <c r="AP132" s="384"/>
      <c r="AQ132" s="384"/>
      <c r="AR132" s="384"/>
      <c r="AS132" s="384"/>
      <c r="AT132" s="384"/>
      <c r="AU132" s="384"/>
      <c r="AV132" s="384"/>
      <c r="AW132" s="384"/>
      <c r="AX132" s="384"/>
      <c r="AY132" s="384"/>
      <c r="AZ132" s="384"/>
      <c r="BA132" s="384"/>
      <c r="BB132" s="384"/>
      <c r="BC132" s="384"/>
      <c r="BD132" s="384"/>
      <c r="BE132" s="387"/>
      <c r="BF132" s="387"/>
      <c r="BG132" s="387"/>
      <c r="BH132" s="387"/>
      <c r="BI132" s="387"/>
      <c r="BJ132" s="387"/>
      <c r="BK132" s="387"/>
      <c r="BL132" s="387"/>
      <c r="BM132" s="387"/>
      <c r="BN132" s="387"/>
      <c r="BO132" s="387"/>
      <c r="BP132" s="387"/>
      <c r="BQ132" s="387"/>
      <c r="BR132" s="387"/>
      <c r="BS132" s="387"/>
      <c r="BT132" s="387"/>
      <c r="BU132" s="387"/>
      <c r="BV132" s="387"/>
      <c r="BW132" s="387"/>
      <c r="BX132" s="387"/>
      <c r="BY132" s="387"/>
      <c r="BZ132" s="387"/>
      <c r="CA132" s="387"/>
      <c r="CB132" s="387"/>
      <c r="CC132" s="387"/>
      <c r="CD132" s="387"/>
      <c r="CE132" s="387"/>
      <c r="CF132" s="387"/>
      <c r="CG132" s="387"/>
      <c r="CH132" s="387"/>
      <c r="CI132" s="387"/>
      <c r="CJ132" s="387"/>
      <c r="CK132" s="370"/>
      <c r="CL132" s="370"/>
      <c r="CM132" s="370"/>
      <c r="CN132" s="370"/>
      <c r="CO132" s="370"/>
      <c r="CP132" s="370"/>
      <c r="CQ132" s="370"/>
      <c r="CR132" s="390"/>
      <c r="CS132" s="390"/>
      <c r="CT132" s="370"/>
      <c r="CU132" s="370"/>
      <c r="CV132" s="370"/>
      <c r="CW132" s="370"/>
      <c r="CX132" s="370"/>
      <c r="CY132" s="370"/>
      <c r="CZ132" s="370"/>
      <c r="DA132" s="370"/>
      <c r="DB132" s="370"/>
      <c r="DC132" s="370"/>
      <c r="DD132" s="370"/>
      <c r="DE132" s="370"/>
      <c r="DF132" s="370"/>
      <c r="DG132" s="370"/>
      <c r="DH132" s="370"/>
      <c r="DI132" s="370"/>
      <c r="DJ132" s="370"/>
      <c r="DK132" s="370"/>
      <c r="DL132" s="383"/>
      <c r="DM132" s="383"/>
      <c r="DN132" s="383"/>
      <c r="DO132" s="370"/>
      <c r="DP132" s="370"/>
      <c r="DQ132" s="370"/>
      <c r="DR132" s="370"/>
      <c r="DS132" s="370"/>
      <c r="DT132" s="370"/>
      <c r="DU132" s="384"/>
      <c r="DV132" s="384"/>
      <c r="DW132" s="370"/>
      <c r="DX132" s="384"/>
      <c r="DY132" s="384"/>
      <c r="DZ132" s="370"/>
      <c r="EA132" s="370"/>
      <c r="EB132" s="390"/>
      <c r="EC132" s="390"/>
      <c r="ED132" s="370"/>
      <c r="EE132" s="370"/>
      <c r="EF132" s="370"/>
      <c r="EG132" s="370"/>
      <c r="EH132" s="370"/>
      <c r="EI132" s="370"/>
      <c r="EJ132" s="370"/>
      <c r="EK132" s="370"/>
      <c r="EL132" s="370"/>
      <c r="EM132" s="370"/>
      <c r="EN132" s="370"/>
      <c r="EO132" s="370"/>
      <c r="EP132" s="370"/>
      <c r="EQ132" s="370"/>
      <c r="ER132" s="370"/>
      <c r="ES132" s="370"/>
      <c r="ET132" s="370"/>
      <c r="EU132" s="370"/>
      <c r="EV132" s="370"/>
      <c r="EW132" s="370"/>
      <c r="EX132" s="370"/>
      <c r="EY132" s="370"/>
      <c r="EZ132" s="370"/>
      <c r="FA132" s="370"/>
      <c r="FB132" s="370"/>
      <c r="FC132" s="370"/>
      <c r="FD132" s="370"/>
      <c r="FE132" s="370"/>
      <c r="FF132" s="370"/>
      <c r="FG132" s="370"/>
      <c r="FH132" s="370"/>
      <c r="FI132" s="370"/>
      <c r="FJ132" s="370"/>
      <c r="FK132" s="370"/>
      <c r="FL132" s="370"/>
      <c r="FM132" s="370"/>
      <c r="FN132" s="370"/>
      <c r="FO132" s="370"/>
      <c r="FP132" s="370"/>
      <c r="FQ132" s="370"/>
      <c r="FR132" s="370"/>
      <c r="FS132" s="370"/>
      <c r="FT132" s="370"/>
      <c r="FU132" s="370"/>
      <c r="FV132" s="370"/>
      <c r="FW132" s="370"/>
      <c r="FX132" s="370"/>
      <c r="FY132" s="370"/>
      <c r="FZ132" s="370"/>
      <c r="GA132" s="370"/>
      <c r="GB132" s="370"/>
      <c r="GC132" s="370"/>
      <c r="GD132" s="370"/>
      <c r="GE132" s="370"/>
      <c r="GF132" s="370"/>
      <c r="GG132" s="370"/>
      <c r="GH132" s="370"/>
      <c r="GI132" s="370"/>
      <c r="GJ132" s="370"/>
      <c r="GK132" s="370"/>
      <c r="GL132" s="370"/>
      <c r="GM132" s="370"/>
      <c r="GN132" s="370"/>
      <c r="GO132" s="370"/>
      <c r="GP132" s="370"/>
      <c r="GQ132" s="370"/>
      <c r="GR132" s="370"/>
      <c r="GS132" s="370"/>
      <c r="GT132" s="370"/>
      <c r="GU132" s="370"/>
      <c r="GV132" s="370"/>
      <c r="GW132" s="370"/>
      <c r="GX132" s="370"/>
      <c r="GY132" s="370"/>
      <c r="GZ132" s="370"/>
      <c r="HA132" s="370"/>
      <c r="HB132" s="370"/>
      <c r="HC132" s="370"/>
      <c r="HD132" s="370"/>
      <c r="HE132" s="370"/>
      <c r="HF132" s="370"/>
      <c r="HG132" s="370"/>
      <c r="HH132" s="370"/>
    </row>
    <row r="133" spans="1:216" s="174" customFormat="1" ht="18" customHeight="1">
      <c r="A133" s="395"/>
      <c r="B133" s="423" t="s">
        <v>10004</v>
      </c>
      <c r="C133" s="406"/>
      <c r="D133" s="317"/>
      <c r="E133" s="317"/>
      <c r="F133" s="383">
        <v>1</v>
      </c>
      <c r="G133" s="370"/>
      <c r="H133" s="370"/>
      <c r="I133" s="317"/>
      <c r="J133" s="384"/>
      <c r="K133" s="384"/>
      <c r="L133" s="384"/>
      <c r="M133" s="384"/>
      <c r="N133" s="384"/>
      <c r="O133" s="384"/>
      <c r="P133" s="384"/>
      <c r="Q133" s="384"/>
      <c r="R133" s="384"/>
      <c r="S133" s="384"/>
      <c r="T133" s="384"/>
      <c r="U133" s="384"/>
      <c r="V133" s="384"/>
      <c r="W133" s="384"/>
      <c r="X133" s="384"/>
      <c r="Y133" s="384"/>
      <c r="Z133" s="384"/>
      <c r="AA133" s="384"/>
      <c r="AB133" s="384"/>
      <c r="AC133" s="384"/>
      <c r="AD133" s="384"/>
      <c r="AE133" s="384"/>
      <c r="AF133" s="384"/>
      <c r="AG133" s="384"/>
      <c r="AH133" s="384"/>
      <c r="AI133" s="384"/>
      <c r="AJ133" s="370"/>
      <c r="AK133" s="370"/>
      <c r="AL133" s="384"/>
      <c r="AM133" s="384"/>
      <c r="AN133" s="384"/>
      <c r="AO133" s="391"/>
      <c r="AP133" s="384"/>
      <c r="AQ133" s="384"/>
      <c r="AR133" s="384"/>
      <c r="AS133" s="384"/>
      <c r="AT133" s="384"/>
      <c r="AU133" s="384"/>
      <c r="AV133" s="384"/>
      <c r="AW133" s="384"/>
      <c r="AX133" s="384"/>
      <c r="AY133" s="384"/>
      <c r="AZ133" s="384"/>
      <c r="BA133" s="384"/>
      <c r="BB133" s="384"/>
      <c r="BC133" s="384"/>
      <c r="BD133" s="384"/>
      <c r="BE133" s="387"/>
      <c r="BF133" s="387"/>
      <c r="BG133" s="387"/>
      <c r="BH133" s="387"/>
      <c r="BI133" s="387"/>
      <c r="BJ133" s="387"/>
      <c r="BK133" s="387"/>
      <c r="BL133" s="387"/>
      <c r="BM133" s="387"/>
      <c r="BN133" s="387"/>
      <c r="BO133" s="387"/>
      <c r="BP133" s="387"/>
      <c r="BQ133" s="387"/>
      <c r="BR133" s="387"/>
      <c r="BS133" s="387"/>
      <c r="BT133" s="387"/>
      <c r="BU133" s="387"/>
      <c r="BV133" s="387"/>
      <c r="BW133" s="387"/>
      <c r="BX133" s="387"/>
      <c r="BY133" s="387"/>
      <c r="BZ133" s="387"/>
      <c r="CA133" s="387"/>
      <c r="CB133" s="387"/>
      <c r="CC133" s="387"/>
      <c r="CD133" s="387"/>
      <c r="CE133" s="387"/>
      <c r="CF133" s="387"/>
      <c r="CG133" s="387"/>
      <c r="CH133" s="387"/>
      <c r="CI133" s="387"/>
      <c r="CJ133" s="387"/>
      <c r="CK133" s="370"/>
      <c r="CL133" s="370"/>
      <c r="CM133" s="370"/>
      <c r="CN133" s="370"/>
      <c r="CO133" s="370"/>
      <c r="CP133" s="370"/>
      <c r="CQ133" s="370"/>
      <c r="CR133" s="390"/>
      <c r="CS133" s="390"/>
      <c r="CT133" s="370"/>
      <c r="CU133" s="370"/>
      <c r="CV133" s="370"/>
      <c r="CW133" s="370"/>
      <c r="CX133" s="370"/>
      <c r="CY133" s="370"/>
      <c r="CZ133" s="370"/>
      <c r="DA133" s="370"/>
      <c r="DB133" s="370"/>
      <c r="DC133" s="370"/>
      <c r="DD133" s="370"/>
      <c r="DE133" s="370"/>
      <c r="DF133" s="370"/>
      <c r="DG133" s="370"/>
      <c r="DH133" s="370"/>
      <c r="DI133" s="370"/>
      <c r="DJ133" s="370"/>
      <c r="DK133" s="370"/>
      <c r="DL133" s="383"/>
      <c r="DM133" s="383"/>
      <c r="DN133" s="383"/>
      <c r="DO133" s="370"/>
      <c r="DP133" s="370"/>
      <c r="DQ133" s="370"/>
      <c r="DR133" s="370"/>
      <c r="DS133" s="370"/>
      <c r="DT133" s="370"/>
      <c r="DU133" s="384"/>
      <c r="DV133" s="384"/>
      <c r="DW133" s="370"/>
      <c r="DX133" s="384"/>
      <c r="DY133" s="384"/>
      <c r="DZ133" s="370"/>
      <c r="EA133" s="370"/>
      <c r="EB133" s="390"/>
      <c r="EC133" s="390"/>
      <c r="ED133" s="370"/>
      <c r="EE133" s="370"/>
      <c r="EF133" s="370"/>
      <c r="EG133" s="370"/>
      <c r="EH133" s="370"/>
      <c r="EI133" s="370"/>
      <c r="EJ133" s="370"/>
      <c r="EK133" s="370"/>
      <c r="EL133" s="370"/>
      <c r="EM133" s="370"/>
      <c r="EN133" s="370"/>
      <c r="EO133" s="370"/>
      <c r="EP133" s="370"/>
      <c r="EQ133" s="370"/>
      <c r="ER133" s="370"/>
      <c r="ES133" s="370"/>
      <c r="ET133" s="370"/>
      <c r="EU133" s="370"/>
      <c r="EV133" s="370"/>
      <c r="EW133" s="370"/>
      <c r="EX133" s="370"/>
      <c r="EY133" s="370"/>
      <c r="EZ133" s="370"/>
      <c r="FA133" s="370"/>
      <c r="FB133" s="370"/>
      <c r="FC133" s="370"/>
      <c r="FD133" s="370"/>
      <c r="FE133" s="370"/>
      <c r="FF133" s="370"/>
      <c r="FG133" s="370"/>
      <c r="FH133" s="370"/>
      <c r="FI133" s="370"/>
      <c r="FJ133" s="370"/>
      <c r="FK133" s="370"/>
      <c r="FL133" s="370"/>
      <c r="FM133" s="370"/>
      <c r="FN133" s="370"/>
      <c r="FO133" s="370"/>
      <c r="FP133" s="370"/>
      <c r="FQ133" s="370"/>
      <c r="FR133" s="370"/>
      <c r="FS133" s="370"/>
      <c r="FT133" s="370"/>
      <c r="FU133" s="370"/>
      <c r="FV133" s="370"/>
      <c r="FW133" s="370"/>
      <c r="FX133" s="370"/>
      <c r="FY133" s="370"/>
      <c r="FZ133" s="370"/>
      <c r="GA133" s="370"/>
      <c r="GB133" s="370"/>
      <c r="GC133" s="370"/>
      <c r="GD133" s="370"/>
      <c r="GE133" s="370"/>
      <c r="GF133" s="370"/>
      <c r="GG133" s="370"/>
      <c r="GH133" s="370"/>
      <c r="GI133" s="370"/>
      <c r="GJ133" s="370"/>
      <c r="GK133" s="370"/>
      <c r="GL133" s="370"/>
      <c r="GM133" s="370"/>
      <c r="GN133" s="370"/>
      <c r="GO133" s="370"/>
      <c r="GP133" s="370"/>
      <c r="GQ133" s="370"/>
      <c r="GR133" s="370"/>
      <c r="GS133" s="370"/>
      <c r="GT133" s="370"/>
      <c r="GU133" s="370"/>
      <c r="GV133" s="370"/>
      <c r="GW133" s="370"/>
      <c r="GX133" s="370"/>
      <c r="GY133" s="370"/>
      <c r="GZ133" s="370"/>
      <c r="HA133" s="370"/>
      <c r="HB133" s="370"/>
      <c r="HC133" s="370"/>
      <c r="HD133" s="370"/>
      <c r="HE133" s="370"/>
      <c r="HF133" s="370"/>
      <c r="HG133" s="370"/>
      <c r="HH133" s="370"/>
    </row>
    <row r="134" spans="1:216" s="174" customFormat="1" ht="18" customHeight="1">
      <c r="A134" s="395"/>
      <c r="B134" s="423" t="s">
        <v>10007</v>
      </c>
      <c r="C134" s="406"/>
      <c r="D134" s="317"/>
      <c r="E134" s="317"/>
      <c r="F134" s="383">
        <v>1</v>
      </c>
      <c r="G134" s="370"/>
      <c r="H134" s="370"/>
      <c r="I134" s="317"/>
      <c r="J134" s="384"/>
      <c r="K134" s="384"/>
      <c r="L134" s="384"/>
      <c r="M134" s="384"/>
      <c r="N134" s="384"/>
      <c r="O134" s="384"/>
      <c r="P134" s="384"/>
      <c r="Q134" s="384"/>
      <c r="R134" s="384"/>
      <c r="S134" s="384"/>
      <c r="T134" s="384"/>
      <c r="U134" s="384"/>
      <c r="V134" s="384"/>
      <c r="W134" s="384"/>
      <c r="X134" s="384"/>
      <c r="Y134" s="384"/>
      <c r="Z134" s="384"/>
      <c r="AA134" s="384"/>
      <c r="AB134" s="384"/>
      <c r="AC134" s="384"/>
      <c r="AD134" s="384"/>
      <c r="AE134" s="384"/>
      <c r="AF134" s="384"/>
      <c r="AG134" s="384"/>
      <c r="AH134" s="384"/>
      <c r="AI134" s="384"/>
      <c r="AJ134" s="370"/>
      <c r="AK134" s="370"/>
      <c r="AL134" s="384"/>
      <c r="AM134" s="384"/>
      <c r="AN134" s="384"/>
      <c r="AO134" s="391"/>
      <c r="AP134" s="384"/>
      <c r="AQ134" s="384"/>
      <c r="AR134" s="384"/>
      <c r="AS134" s="384"/>
      <c r="AT134" s="384"/>
      <c r="AU134" s="384"/>
      <c r="AV134" s="384"/>
      <c r="AW134" s="384"/>
      <c r="AX134" s="384"/>
      <c r="AY134" s="384"/>
      <c r="AZ134" s="384"/>
      <c r="BA134" s="384"/>
      <c r="BB134" s="384"/>
      <c r="BC134" s="384"/>
      <c r="BD134" s="384"/>
      <c r="BE134" s="387"/>
      <c r="BF134" s="387"/>
      <c r="BG134" s="387"/>
      <c r="BH134" s="387"/>
      <c r="BI134" s="387"/>
      <c r="BJ134" s="387"/>
      <c r="BK134" s="387"/>
      <c r="BL134" s="387"/>
      <c r="BM134" s="387"/>
      <c r="BN134" s="387"/>
      <c r="BO134" s="387"/>
      <c r="BP134" s="387"/>
      <c r="BQ134" s="387"/>
      <c r="BR134" s="387"/>
      <c r="BS134" s="387"/>
      <c r="BT134" s="387"/>
      <c r="BU134" s="387"/>
      <c r="BV134" s="387"/>
      <c r="BW134" s="387"/>
      <c r="BX134" s="387"/>
      <c r="BY134" s="387"/>
      <c r="BZ134" s="387"/>
      <c r="CA134" s="387"/>
      <c r="CB134" s="387"/>
      <c r="CC134" s="387"/>
      <c r="CD134" s="387"/>
      <c r="CE134" s="387"/>
      <c r="CF134" s="387"/>
      <c r="CG134" s="387"/>
      <c r="CH134" s="387"/>
      <c r="CI134" s="387"/>
      <c r="CJ134" s="387"/>
      <c r="CK134" s="370"/>
      <c r="CL134" s="370"/>
      <c r="CM134" s="370"/>
      <c r="CN134" s="370"/>
      <c r="CO134" s="370"/>
      <c r="CP134" s="370"/>
      <c r="CQ134" s="370"/>
      <c r="CR134" s="390"/>
      <c r="CS134" s="390"/>
      <c r="CT134" s="370"/>
      <c r="CU134" s="370"/>
      <c r="CV134" s="370"/>
      <c r="CW134" s="370"/>
      <c r="CX134" s="370"/>
      <c r="CY134" s="370"/>
      <c r="CZ134" s="370"/>
      <c r="DA134" s="370"/>
      <c r="DB134" s="370"/>
      <c r="DC134" s="370"/>
      <c r="DD134" s="370"/>
      <c r="DE134" s="370"/>
      <c r="DF134" s="370"/>
      <c r="DG134" s="370"/>
      <c r="DH134" s="370"/>
      <c r="DI134" s="370"/>
      <c r="DJ134" s="370"/>
      <c r="DK134" s="370"/>
      <c r="DL134" s="383"/>
      <c r="DM134" s="383"/>
      <c r="DN134" s="383"/>
      <c r="DO134" s="370"/>
      <c r="DP134" s="370"/>
      <c r="DQ134" s="370"/>
      <c r="DR134" s="370"/>
      <c r="DS134" s="370"/>
      <c r="DT134" s="370"/>
      <c r="DU134" s="384"/>
      <c r="DV134" s="384"/>
      <c r="DW134" s="370"/>
      <c r="DX134" s="384"/>
      <c r="DY134" s="384"/>
      <c r="DZ134" s="370"/>
      <c r="EA134" s="370"/>
      <c r="EB134" s="390"/>
      <c r="EC134" s="390"/>
      <c r="ED134" s="370"/>
      <c r="EE134" s="370"/>
      <c r="EF134" s="370"/>
      <c r="EG134" s="370"/>
      <c r="EH134" s="370"/>
      <c r="EI134" s="370"/>
      <c r="EJ134" s="370"/>
      <c r="EK134" s="370"/>
      <c r="EL134" s="370"/>
      <c r="EM134" s="370"/>
      <c r="EN134" s="370"/>
      <c r="EO134" s="370"/>
      <c r="EP134" s="370"/>
      <c r="EQ134" s="370"/>
      <c r="ER134" s="370"/>
      <c r="ES134" s="370"/>
      <c r="ET134" s="370"/>
      <c r="EU134" s="370"/>
      <c r="EV134" s="370"/>
      <c r="EW134" s="370"/>
      <c r="EX134" s="370"/>
      <c r="EY134" s="370"/>
      <c r="EZ134" s="370"/>
      <c r="FA134" s="370"/>
      <c r="FB134" s="370"/>
      <c r="FC134" s="370"/>
      <c r="FD134" s="370"/>
      <c r="FE134" s="370"/>
      <c r="FF134" s="370"/>
      <c r="FG134" s="370"/>
      <c r="FH134" s="370"/>
      <c r="FI134" s="370"/>
      <c r="FJ134" s="370"/>
      <c r="FK134" s="370"/>
      <c r="FL134" s="370"/>
      <c r="FM134" s="370"/>
      <c r="FN134" s="370"/>
      <c r="FO134" s="370"/>
      <c r="FP134" s="370"/>
      <c r="FQ134" s="370"/>
      <c r="FR134" s="370"/>
      <c r="FS134" s="370"/>
      <c r="FT134" s="370"/>
      <c r="FU134" s="370"/>
      <c r="FV134" s="370"/>
      <c r="FW134" s="370"/>
      <c r="FX134" s="370"/>
      <c r="FY134" s="370"/>
      <c r="FZ134" s="370"/>
      <c r="GA134" s="370"/>
      <c r="GB134" s="370"/>
      <c r="GC134" s="370"/>
      <c r="GD134" s="370"/>
      <c r="GE134" s="370"/>
      <c r="GF134" s="370"/>
      <c r="GG134" s="370"/>
      <c r="GH134" s="370"/>
      <c r="GI134" s="370"/>
      <c r="GJ134" s="370"/>
      <c r="GK134" s="370"/>
      <c r="GL134" s="370"/>
      <c r="GM134" s="370"/>
      <c r="GN134" s="370"/>
      <c r="GO134" s="370"/>
      <c r="GP134" s="370"/>
      <c r="GQ134" s="370"/>
      <c r="GR134" s="370"/>
      <c r="GS134" s="370"/>
      <c r="GT134" s="370"/>
      <c r="GU134" s="370"/>
      <c r="GV134" s="370"/>
      <c r="GW134" s="370"/>
      <c r="GX134" s="370"/>
      <c r="GY134" s="370"/>
      <c r="GZ134" s="370"/>
      <c r="HA134" s="370"/>
      <c r="HB134" s="370"/>
      <c r="HC134" s="370"/>
      <c r="HD134" s="370"/>
      <c r="HE134" s="370"/>
      <c r="HF134" s="370"/>
      <c r="HG134" s="370"/>
      <c r="HH134" s="370"/>
    </row>
    <row r="135" spans="1:216" s="393" customFormat="1" ht="18" customHeight="1">
      <c r="A135" s="382"/>
      <c r="B135" s="382"/>
      <c r="C135" s="382"/>
      <c r="D135" s="374"/>
      <c r="E135" s="394"/>
      <c r="F135" s="370"/>
      <c r="G135" s="370"/>
      <c r="H135" s="366"/>
      <c r="I135" s="382"/>
      <c r="J135" s="384"/>
      <c r="K135" s="352"/>
      <c r="L135" s="352"/>
      <c r="M135" s="358"/>
      <c r="N135" s="358"/>
      <c r="O135" s="358"/>
      <c r="P135" s="358"/>
      <c r="Q135" s="358"/>
      <c r="R135" s="384"/>
      <c r="S135" s="384"/>
      <c r="T135" s="384"/>
      <c r="U135" s="384"/>
      <c r="V135" s="384"/>
      <c r="W135" s="384"/>
      <c r="X135" s="384"/>
      <c r="Y135" s="384"/>
      <c r="Z135" s="384"/>
      <c r="AA135" s="384"/>
      <c r="AB135" s="384"/>
      <c r="AC135" s="384"/>
      <c r="AD135" s="384"/>
      <c r="AE135" s="384"/>
      <c r="AF135" s="384"/>
      <c r="AG135" s="384"/>
      <c r="AH135" s="384"/>
      <c r="AI135" s="384"/>
      <c r="AJ135" s="384"/>
      <c r="AK135" s="384"/>
      <c r="AL135" s="384"/>
      <c r="AM135" s="384"/>
      <c r="AN135" s="384"/>
      <c r="AO135" s="391"/>
      <c r="AP135" s="384"/>
      <c r="AQ135" s="384"/>
      <c r="AR135" s="384"/>
      <c r="AS135" s="384"/>
      <c r="AT135" s="384"/>
      <c r="AU135" s="384"/>
      <c r="AV135" s="384"/>
      <c r="AW135" s="384"/>
      <c r="AX135" s="384"/>
      <c r="AY135" s="384"/>
      <c r="AZ135" s="384"/>
      <c r="BA135" s="384"/>
      <c r="BB135" s="384"/>
      <c r="BC135" s="384"/>
      <c r="BD135" s="384"/>
      <c r="BE135" s="387"/>
      <c r="BF135" s="387"/>
      <c r="BG135" s="387"/>
      <c r="BH135" s="387"/>
      <c r="BI135" s="387"/>
      <c r="BJ135" s="387"/>
      <c r="BK135" s="387"/>
      <c r="BL135" s="387"/>
      <c r="BM135" s="387"/>
      <c r="BN135" s="387"/>
      <c r="BO135" s="387"/>
      <c r="BP135" s="387"/>
      <c r="BQ135" s="387"/>
      <c r="BR135" s="387"/>
      <c r="BS135" s="387"/>
      <c r="BT135" s="387"/>
      <c r="BU135" s="387"/>
      <c r="BV135" s="387"/>
      <c r="BW135" s="387"/>
      <c r="BX135" s="387"/>
      <c r="BY135" s="387"/>
      <c r="BZ135" s="387"/>
      <c r="CA135" s="387"/>
      <c r="CB135" s="387"/>
      <c r="CC135" s="387"/>
      <c r="CD135" s="387"/>
      <c r="CE135" s="387"/>
      <c r="CF135" s="387"/>
      <c r="CG135" s="387"/>
      <c r="CH135" s="387"/>
      <c r="CI135" s="387"/>
      <c r="CJ135" s="387"/>
      <c r="CK135" s="370"/>
      <c r="CL135" s="370"/>
      <c r="CM135" s="370"/>
      <c r="CN135" s="370"/>
      <c r="CO135" s="370"/>
      <c r="CP135" s="370"/>
      <c r="CQ135" s="370"/>
      <c r="CR135" s="390"/>
      <c r="CS135" s="390"/>
      <c r="CT135" s="370"/>
      <c r="CU135" s="370"/>
      <c r="CV135" s="370"/>
      <c r="CW135" s="370"/>
      <c r="CX135" s="370"/>
      <c r="CY135" s="370"/>
      <c r="CZ135" s="370"/>
      <c r="DA135" s="370"/>
      <c r="DB135" s="370"/>
      <c r="DC135" s="370"/>
      <c r="DD135" s="370"/>
      <c r="DE135" s="370"/>
      <c r="DF135" s="370"/>
      <c r="DG135" s="370"/>
      <c r="DH135" s="370"/>
      <c r="DI135" s="370"/>
      <c r="DJ135" s="370"/>
      <c r="DK135" s="370"/>
      <c r="DL135" s="383"/>
      <c r="DM135" s="383"/>
      <c r="DN135" s="383"/>
      <c r="DO135" s="370"/>
      <c r="DP135" s="370"/>
      <c r="DQ135" s="370"/>
      <c r="DR135" s="370"/>
      <c r="DS135" s="383"/>
      <c r="DT135" s="383"/>
      <c r="DU135" s="384"/>
      <c r="DV135" s="384"/>
      <c r="DW135" s="370"/>
      <c r="DX135" s="384"/>
      <c r="DY135" s="384"/>
      <c r="DZ135" s="370"/>
      <c r="EA135" s="370"/>
      <c r="EB135" s="390"/>
      <c r="EC135" s="390"/>
      <c r="ED135" s="370"/>
      <c r="EE135" s="370"/>
      <c r="EF135" s="370"/>
      <c r="EG135" s="370"/>
      <c r="EH135" s="370"/>
      <c r="EI135" s="370"/>
      <c r="EJ135" s="370"/>
      <c r="EK135" s="370"/>
      <c r="EL135" s="370"/>
      <c r="EM135" s="370"/>
      <c r="EN135" s="370"/>
      <c r="EO135" s="370"/>
      <c r="EP135" s="370"/>
      <c r="EQ135" s="370"/>
      <c r="ER135" s="370"/>
      <c r="ES135" s="370"/>
      <c r="ET135" s="370"/>
      <c r="EU135" s="370"/>
      <c r="EV135" s="370"/>
      <c r="EW135" s="370"/>
      <c r="EX135" s="370"/>
      <c r="EY135" s="370"/>
      <c r="EZ135" s="370"/>
      <c r="FA135" s="370"/>
      <c r="FB135" s="370"/>
      <c r="FC135" s="370"/>
      <c r="FD135" s="370"/>
      <c r="FE135" s="370"/>
      <c r="FF135" s="370"/>
      <c r="FG135" s="370"/>
      <c r="FH135" s="370"/>
      <c r="FI135" s="370"/>
      <c r="FJ135" s="370"/>
      <c r="FK135" s="370"/>
      <c r="FL135" s="370"/>
      <c r="FM135" s="370"/>
      <c r="FN135" s="370"/>
      <c r="FO135" s="370"/>
      <c r="FP135" s="370"/>
      <c r="FQ135" s="370"/>
      <c r="FR135" s="370"/>
      <c r="FS135" s="370"/>
      <c r="FT135" s="370"/>
      <c r="FU135" s="370"/>
      <c r="FV135" s="370"/>
      <c r="FW135" s="370"/>
      <c r="FX135" s="370"/>
      <c r="FY135" s="370"/>
      <c r="FZ135" s="370"/>
      <c r="GA135" s="370"/>
      <c r="GB135" s="370"/>
      <c r="GC135" s="370"/>
      <c r="GD135" s="370"/>
      <c r="GE135" s="370"/>
      <c r="GF135" s="370"/>
      <c r="GG135" s="370"/>
      <c r="GH135" s="370"/>
      <c r="GI135" s="370"/>
      <c r="GJ135" s="370"/>
      <c r="GK135" s="370"/>
      <c r="GL135" s="370"/>
      <c r="GM135" s="370"/>
      <c r="GN135" s="370"/>
      <c r="GO135" s="370"/>
      <c r="GP135" s="370"/>
      <c r="GQ135" s="370"/>
      <c r="GR135" s="370"/>
      <c r="GS135" s="370"/>
      <c r="GT135" s="370"/>
      <c r="GU135" s="370"/>
      <c r="GV135" s="370"/>
      <c r="GW135" s="370"/>
      <c r="GX135" s="370"/>
      <c r="GY135" s="370"/>
      <c r="GZ135" s="370"/>
      <c r="HA135" s="370"/>
      <c r="HB135" s="370"/>
      <c r="HC135" s="370"/>
      <c r="HD135" s="370"/>
      <c r="HE135" s="370"/>
      <c r="HF135" s="370"/>
      <c r="HG135" s="370"/>
      <c r="HH135" s="370"/>
    </row>
    <row r="136" spans="1:216" s="174" customFormat="1" ht="18" customHeight="1">
      <c r="A136" s="366"/>
      <c r="B136" s="317"/>
      <c r="C136" s="406"/>
      <c r="D136" s="317"/>
      <c r="E136" s="317"/>
      <c r="F136" s="370"/>
      <c r="G136" s="370"/>
      <c r="H136" s="370"/>
      <c r="I136" s="317"/>
      <c r="J136" s="384"/>
      <c r="K136" s="384"/>
      <c r="L136" s="384"/>
      <c r="M136" s="384"/>
      <c r="N136" s="384"/>
      <c r="O136" s="384"/>
      <c r="P136" s="384"/>
      <c r="Q136" s="384"/>
      <c r="R136" s="384"/>
      <c r="S136" s="384"/>
      <c r="T136" s="384"/>
      <c r="U136" s="384"/>
      <c r="V136" s="384"/>
      <c r="W136" s="384"/>
      <c r="X136" s="384"/>
      <c r="Y136" s="384"/>
      <c r="Z136" s="384"/>
      <c r="AA136" s="384"/>
      <c r="AB136" s="384"/>
      <c r="AC136" s="384"/>
      <c r="AD136" s="384"/>
      <c r="AE136" s="384"/>
      <c r="AF136" s="384"/>
      <c r="AG136" s="384"/>
      <c r="AH136" s="384"/>
      <c r="AI136" s="384"/>
      <c r="AJ136" s="370"/>
      <c r="AK136" s="370"/>
      <c r="AL136" s="384"/>
      <c r="AM136" s="384"/>
      <c r="AN136" s="384"/>
      <c r="AO136" s="391"/>
      <c r="AP136" s="384"/>
      <c r="AQ136" s="384"/>
      <c r="AR136" s="384"/>
      <c r="AS136" s="384"/>
      <c r="AT136" s="384"/>
      <c r="AU136" s="384"/>
      <c r="AV136" s="384"/>
      <c r="AW136" s="384"/>
      <c r="AX136" s="384"/>
      <c r="AY136" s="384"/>
      <c r="AZ136" s="384"/>
      <c r="BA136" s="384"/>
      <c r="BB136" s="384"/>
      <c r="BC136" s="384"/>
      <c r="BD136" s="384"/>
      <c r="BE136" s="387"/>
      <c r="BF136" s="387"/>
      <c r="BG136" s="387"/>
      <c r="BH136" s="387"/>
      <c r="BI136" s="387"/>
      <c r="BJ136" s="387"/>
      <c r="BK136" s="387"/>
      <c r="BL136" s="387"/>
      <c r="BM136" s="387"/>
      <c r="BN136" s="387"/>
      <c r="BO136" s="387"/>
      <c r="BP136" s="387"/>
      <c r="BQ136" s="387"/>
      <c r="BR136" s="387"/>
      <c r="BS136" s="387"/>
      <c r="BT136" s="387"/>
      <c r="BU136" s="387"/>
      <c r="BV136" s="387"/>
      <c r="BW136" s="387"/>
      <c r="BX136" s="387"/>
      <c r="BY136" s="387"/>
      <c r="BZ136" s="387"/>
      <c r="CA136" s="387"/>
      <c r="CB136" s="387"/>
      <c r="CC136" s="387"/>
      <c r="CD136" s="387"/>
      <c r="CE136" s="387"/>
      <c r="CF136" s="387"/>
      <c r="CG136" s="387"/>
      <c r="CH136" s="387"/>
      <c r="CI136" s="387"/>
      <c r="CJ136" s="387"/>
      <c r="CK136" s="370"/>
      <c r="CL136" s="370"/>
      <c r="CM136" s="370"/>
      <c r="CN136" s="370"/>
      <c r="CO136" s="370"/>
      <c r="CP136" s="370"/>
      <c r="CQ136" s="370"/>
      <c r="CR136" s="390"/>
      <c r="CS136" s="390"/>
      <c r="CT136" s="370"/>
      <c r="CU136" s="370"/>
      <c r="CV136" s="370"/>
      <c r="CW136" s="370"/>
      <c r="CX136" s="370"/>
      <c r="CY136" s="370"/>
      <c r="CZ136" s="370"/>
      <c r="DA136" s="370"/>
      <c r="DB136" s="370"/>
      <c r="DC136" s="370"/>
      <c r="DD136" s="370"/>
      <c r="DE136" s="370"/>
      <c r="DF136" s="370"/>
      <c r="DG136" s="370"/>
      <c r="DH136" s="370"/>
      <c r="DI136" s="370"/>
      <c r="DJ136" s="370"/>
      <c r="DK136" s="370"/>
      <c r="DL136" s="383"/>
      <c r="DM136" s="383"/>
      <c r="DN136" s="383"/>
      <c r="DO136" s="370"/>
      <c r="DP136" s="370"/>
      <c r="DQ136" s="370"/>
      <c r="DR136" s="370"/>
      <c r="DS136" s="370"/>
      <c r="DT136" s="370"/>
      <c r="DU136" s="384"/>
      <c r="DV136" s="384"/>
      <c r="DW136" s="370"/>
      <c r="DX136" s="384"/>
      <c r="DY136" s="384"/>
      <c r="DZ136" s="370"/>
      <c r="EA136" s="370"/>
      <c r="EB136" s="390"/>
      <c r="EC136" s="390"/>
      <c r="ED136" s="370"/>
      <c r="EE136" s="370"/>
      <c r="EF136" s="370"/>
      <c r="EG136" s="370"/>
      <c r="EH136" s="370"/>
      <c r="EI136" s="370"/>
      <c r="EJ136" s="370"/>
      <c r="EK136" s="370"/>
      <c r="EL136" s="370"/>
      <c r="EM136" s="370"/>
      <c r="EN136" s="370"/>
      <c r="EO136" s="370"/>
      <c r="EP136" s="370"/>
      <c r="EQ136" s="370"/>
      <c r="ER136" s="370"/>
      <c r="ES136" s="370"/>
      <c r="ET136" s="370"/>
      <c r="EU136" s="370"/>
      <c r="EV136" s="370"/>
      <c r="EW136" s="370"/>
      <c r="EX136" s="370"/>
      <c r="EY136" s="370"/>
      <c r="EZ136" s="370"/>
      <c r="FA136" s="370"/>
      <c r="FB136" s="370"/>
      <c r="FC136" s="370"/>
      <c r="FD136" s="370"/>
      <c r="FE136" s="370"/>
      <c r="FF136" s="370"/>
      <c r="FG136" s="370"/>
      <c r="FH136" s="370"/>
      <c r="FI136" s="370"/>
      <c r="FJ136" s="370"/>
      <c r="FK136" s="370"/>
      <c r="FL136" s="370"/>
      <c r="FM136" s="370"/>
      <c r="FN136" s="370"/>
      <c r="FO136" s="370"/>
      <c r="FP136" s="370"/>
      <c r="FQ136" s="370"/>
      <c r="FR136" s="370"/>
      <c r="FS136" s="370"/>
      <c r="FT136" s="370"/>
      <c r="FU136" s="370"/>
      <c r="FV136" s="370"/>
      <c r="FW136" s="370"/>
      <c r="FX136" s="370"/>
      <c r="FY136" s="370"/>
      <c r="FZ136" s="370"/>
      <c r="GA136" s="370"/>
      <c r="GB136" s="370"/>
      <c r="GC136" s="370"/>
      <c r="GD136" s="370"/>
      <c r="GE136" s="370"/>
      <c r="GF136" s="370"/>
      <c r="GG136" s="370"/>
      <c r="GH136" s="370"/>
      <c r="GI136" s="370"/>
      <c r="GJ136" s="370"/>
      <c r="GK136" s="370"/>
      <c r="GL136" s="370"/>
      <c r="GM136" s="370"/>
      <c r="GN136" s="370"/>
      <c r="GO136" s="370"/>
      <c r="GP136" s="370"/>
      <c r="GQ136" s="370"/>
      <c r="GR136" s="370"/>
      <c r="GS136" s="370"/>
      <c r="GT136" s="370"/>
      <c r="GU136" s="370"/>
      <c r="GV136" s="370"/>
      <c r="GW136" s="370"/>
      <c r="GX136" s="370"/>
      <c r="GY136" s="370"/>
      <c r="GZ136" s="370"/>
      <c r="HA136" s="370"/>
      <c r="HB136" s="370"/>
      <c r="HC136" s="370"/>
      <c r="HD136" s="370"/>
      <c r="HE136" s="370"/>
      <c r="HF136" s="370"/>
      <c r="HG136" s="370"/>
      <c r="HH136" s="370"/>
    </row>
    <row r="137" spans="1:216" s="393" customFormat="1" ht="18" customHeight="1">
      <c r="A137" s="382"/>
      <c r="B137" s="382" t="s">
        <v>8754</v>
      </c>
      <c r="C137" s="382"/>
      <c r="D137" s="382"/>
      <c r="E137" s="382" t="s">
        <v>8755</v>
      </c>
      <c r="F137" s="370"/>
      <c r="G137" s="370">
        <v>1</v>
      </c>
      <c r="H137" s="366"/>
      <c r="I137" s="382"/>
      <c r="J137" s="384"/>
      <c r="K137" s="384"/>
      <c r="L137" s="384"/>
      <c r="M137" s="358"/>
      <c r="N137" s="358"/>
      <c r="O137" s="358"/>
      <c r="P137" s="358"/>
      <c r="Q137" s="358"/>
      <c r="R137" s="384"/>
      <c r="S137" s="384"/>
      <c r="T137" s="384"/>
      <c r="U137" s="384"/>
      <c r="V137" s="384"/>
      <c r="W137" s="384"/>
      <c r="X137" s="384"/>
      <c r="Y137" s="384"/>
      <c r="Z137" s="384"/>
      <c r="AA137" s="384"/>
      <c r="AB137" s="384"/>
      <c r="AC137" s="384"/>
      <c r="AD137" s="384"/>
      <c r="AE137" s="384"/>
      <c r="AF137" s="384"/>
      <c r="AG137" s="384"/>
      <c r="AH137" s="384"/>
      <c r="AI137" s="384"/>
      <c r="AJ137" s="383"/>
      <c r="AK137" s="383"/>
      <c r="AL137" s="384"/>
      <c r="AM137" s="384"/>
      <c r="AN137" s="384"/>
      <c r="AO137" s="391"/>
      <c r="AP137" s="384"/>
      <c r="AQ137" s="384"/>
      <c r="AR137" s="384"/>
      <c r="AS137" s="384"/>
      <c r="AT137" s="384"/>
      <c r="AU137" s="384"/>
      <c r="AV137" s="384"/>
      <c r="AW137" s="384"/>
      <c r="AX137" s="384"/>
      <c r="AY137" s="384"/>
      <c r="AZ137" s="384"/>
      <c r="BA137" s="384"/>
      <c r="BB137" s="384"/>
      <c r="BC137" s="384"/>
      <c r="BD137" s="384"/>
      <c r="BE137" s="387"/>
      <c r="BF137" s="387"/>
      <c r="BG137" s="387"/>
      <c r="BH137" s="387"/>
      <c r="BI137" s="387"/>
      <c r="BJ137" s="387"/>
      <c r="BK137" s="387"/>
      <c r="BL137" s="387"/>
      <c r="BM137" s="387"/>
      <c r="BN137" s="387"/>
      <c r="BO137" s="387"/>
      <c r="BP137" s="387"/>
      <c r="BQ137" s="387"/>
      <c r="BR137" s="387"/>
      <c r="BS137" s="387"/>
      <c r="BT137" s="387"/>
      <c r="BU137" s="387"/>
      <c r="BV137" s="387"/>
      <c r="BW137" s="387"/>
      <c r="BX137" s="387"/>
      <c r="BY137" s="387"/>
      <c r="BZ137" s="387"/>
      <c r="CA137" s="387"/>
      <c r="CB137" s="387"/>
      <c r="CC137" s="387"/>
      <c r="CD137" s="387"/>
      <c r="CE137" s="387"/>
      <c r="CF137" s="387"/>
      <c r="CG137" s="387"/>
      <c r="CH137" s="387"/>
      <c r="CI137" s="387"/>
      <c r="CJ137" s="387"/>
      <c r="CK137" s="370"/>
      <c r="CL137" s="370"/>
      <c r="CM137" s="370"/>
      <c r="CN137" s="370"/>
      <c r="CO137" s="370"/>
      <c r="CP137" s="370"/>
      <c r="CQ137" s="370"/>
      <c r="CR137" s="388"/>
      <c r="CS137" s="388"/>
      <c r="CT137" s="370"/>
      <c r="CU137" s="370"/>
      <c r="CV137" s="370"/>
      <c r="CW137" s="370"/>
      <c r="CX137" s="370"/>
      <c r="CY137" s="370"/>
      <c r="CZ137" s="370"/>
      <c r="DA137" s="370"/>
      <c r="DB137" s="370"/>
      <c r="DC137" s="370"/>
      <c r="DD137" s="370"/>
      <c r="DE137" s="370"/>
      <c r="DF137" s="370"/>
      <c r="DG137" s="370"/>
      <c r="DH137" s="370"/>
      <c r="DI137" s="370"/>
      <c r="DJ137" s="370"/>
      <c r="DK137" s="370"/>
      <c r="DL137" s="383"/>
      <c r="DM137" s="383"/>
      <c r="DN137" s="383"/>
      <c r="DO137" s="370"/>
      <c r="DP137" s="370"/>
      <c r="DQ137" s="370"/>
      <c r="DR137" s="370"/>
      <c r="DS137" s="370"/>
      <c r="DT137" s="370"/>
      <c r="DU137" s="384"/>
      <c r="DV137" s="384"/>
      <c r="DW137" s="370"/>
      <c r="DX137" s="384"/>
      <c r="DY137" s="384"/>
      <c r="DZ137" s="370"/>
      <c r="EA137" s="370"/>
      <c r="EB137" s="390"/>
      <c r="EC137" s="390"/>
      <c r="ED137" s="370"/>
      <c r="EE137" s="370"/>
      <c r="EF137" s="370"/>
      <c r="EG137" s="370"/>
      <c r="EH137" s="370"/>
      <c r="EI137" s="370"/>
      <c r="EJ137" s="370"/>
      <c r="EK137" s="370"/>
      <c r="EL137" s="370"/>
      <c r="EM137" s="370"/>
      <c r="EN137" s="370"/>
      <c r="EO137" s="370"/>
      <c r="EP137" s="370"/>
      <c r="EQ137" s="370"/>
      <c r="ER137" s="370"/>
      <c r="ES137" s="370"/>
      <c r="ET137" s="370"/>
      <c r="EU137" s="370"/>
      <c r="EV137" s="370"/>
      <c r="EW137" s="370"/>
      <c r="EX137" s="370"/>
      <c r="EY137" s="370"/>
      <c r="EZ137" s="370"/>
      <c r="FA137" s="370"/>
      <c r="FB137" s="370"/>
      <c r="FC137" s="370"/>
      <c r="FD137" s="370"/>
      <c r="FE137" s="370"/>
      <c r="FF137" s="370"/>
      <c r="FG137" s="370"/>
      <c r="FH137" s="370"/>
      <c r="FI137" s="370"/>
      <c r="FJ137" s="370"/>
      <c r="FK137" s="370"/>
      <c r="FL137" s="370"/>
      <c r="FM137" s="370"/>
      <c r="FN137" s="370"/>
      <c r="FO137" s="370"/>
      <c r="FP137" s="370"/>
      <c r="FQ137" s="370"/>
      <c r="FR137" s="370"/>
      <c r="FS137" s="370"/>
      <c r="FT137" s="370"/>
      <c r="FU137" s="370"/>
      <c r="FV137" s="370"/>
      <c r="FW137" s="370"/>
      <c r="FX137" s="370"/>
      <c r="FY137" s="370"/>
      <c r="FZ137" s="370"/>
      <c r="GA137" s="370"/>
      <c r="GB137" s="370"/>
      <c r="GC137" s="370"/>
      <c r="GD137" s="370"/>
      <c r="GE137" s="370"/>
      <c r="GF137" s="370"/>
      <c r="GG137" s="370"/>
      <c r="GH137" s="370"/>
      <c r="GI137" s="370"/>
      <c r="GJ137" s="370"/>
      <c r="GK137" s="370"/>
      <c r="GL137" s="370"/>
      <c r="GM137" s="370"/>
      <c r="GN137" s="370"/>
      <c r="GO137" s="370"/>
      <c r="GP137" s="370"/>
      <c r="GQ137" s="370"/>
      <c r="GR137" s="370"/>
      <c r="GS137" s="370"/>
      <c r="GT137" s="370"/>
      <c r="GU137" s="370"/>
      <c r="GV137" s="370"/>
      <c r="GW137" s="370"/>
      <c r="GX137" s="370"/>
      <c r="GY137" s="370"/>
      <c r="GZ137" s="370"/>
      <c r="HA137" s="370"/>
      <c r="HB137" s="370"/>
      <c r="HC137" s="370"/>
      <c r="HD137" s="370"/>
      <c r="HE137" s="370"/>
      <c r="HF137" s="370"/>
      <c r="HG137" s="370"/>
      <c r="HH137" s="370"/>
    </row>
    <row r="138" spans="1:216" ht="18" customHeight="1">
      <c r="A138" s="354" t="s">
        <v>1306</v>
      </c>
      <c r="B138" s="407"/>
      <c r="C138" s="398"/>
      <c r="D138" s="400"/>
      <c r="E138" s="313"/>
      <c r="F138" s="383"/>
      <c r="G138" s="383"/>
      <c r="H138" s="315"/>
      <c r="I138" s="313"/>
      <c r="J138" s="384"/>
      <c r="K138" s="384"/>
      <c r="L138" s="384"/>
      <c r="M138" s="358"/>
      <c r="N138" s="384"/>
      <c r="O138" s="384"/>
      <c r="P138" s="384"/>
      <c r="Q138" s="384"/>
      <c r="R138" s="384"/>
      <c r="S138" s="384"/>
      <c r="T138" s="384"/>
      <c r="U138" s="384"/>
      <c r="V138" s="384"/>
      <c r="W138" s="384"/>
      <c r="X138" s="384"/>
      <c r="Y138" s="384"/>
      <c r="Z138" s="384"/>
      <c r="AA138" s="384"/>
      <c r="AB138" s="384"/>
      <c r="AC138" s="384"/>
      <c r="AD138" s="384"/>
      <c r="AE138" s="384"/>
      <c r="AF138" s="384"/>
      <c r="AG138" s="384"/>
      <c r="AH138" s="384"/>
      <c r="AI138" s="384"/>
      <c r="AJ138" s="383"/>
      <c r="AK138" s="383"/>
      <c r="AL138" s="384"/>
      <c r="AM138" s="384"/>
      <c r="AN138" s="384"/>
      <c r="AO138" s="391"/>
      <c r="AP138" s="315"/>
      <c r="AQ138" s="315"/>
      <c r="AR138" s="315"/>
      <c r="AS138" s="315"/>
      <c r="AT138" s="315"/>
      <c r="AU138" s="315"/>
      <c r="AV138" s="315"/>
      <c r="AW138" s="315"/>
      <c r="AX138" s="315"/>
      <c r="AY138" s="315"/>
      <c r="AZ138" s="315"/>
      <c r="BA138" s="315"/>
      <c r="BB138" s="315"/>
      <c r="BC138" s="315"/>
      <c r="BD138" s="315"/>
      <c r="BE138" s="387"/>
      <c r="BF138" s="387"/>
      <c r="BG138" s="387"/>
      <c r="BH138" s="387"/>
      <c r="BI138" s="387"/>
      <c r="BJ138" s="387"/>
      <c r="BK138" s="387"/>
      <c r="BL138" s="387"/>
      <c r="BM138" s="387"/>
      <c r="BN138" s="387"/>
      <c r="BO138" s="387"/>
      <c r="BP138" s="387"/>
      <c r="BQ138" s="387"/>
      <c r="BR138" s="387"/>
      <c r="BS138" s="387"/>
      <c r="BT138" s="387"/>
      <c r="BU138" s="387"/>
      <c r="BV138" s="387"/>
      <c r="BW138" s="387"/>
      <c r="BX138" s="387"/>
      <c r="BY138" s="387"/>
      <c r="BZ138" s="387"/>
      <c r="CA138" s="387"/>
      <c r="CB138" s="387"/>
      <c r="CC138" s="387"/>
      <c r="CD138" s="387"/>
      <c r="CE138" s="387"/>
      <c r="CF138" s="387"/>
      <c r="CG138" s="387"/>
      <c r="CH138" s="387"/>
      <c r="CI138" s="387"/>
      <c r="CJ138" s="387"/>
      <c r="CK138" s="383"/>
      <c r="CL138" s="383"/>
      <c r="CM138" s="383"/>
      <c r="CN138" s="383"/>
      <c r="CO138" s="383"/>
      <c r="CP138" s="383"/>
      <c r="CQ138" s="383"/>
      <c r="CR138" s="388"/>
      <c r="CS138" s="388"/>
      <c r="CT138" s="383"/>
      <c r="CU138" s="383"/>
      <c r="CV138" s="383"/>
      <c r="CW138" s="383"/>
      <c r="CX138" s="383"/>
      <c r="CY138" s="383"/>
      <c r="CZ138" s="383"/>
      <c r="DA138" s="383"/>
      <c r="DB138" s="383"/>
      <c r="DC138" s="383"/>
      <c r="DD138" s="383"/>
      <c r="DE138" s="383"/>
      <c r="DF138" s="383"/>
      <c r="DG138" s="383"/>
      <c r="DH138" s="383"/>
      <c r="DI138" s="383"/>
      <c r="DJ138" s="383"/>
      <c r="DK138" s="383"/>
      <c r="DL138" s="383"/>
      <c r="DM138" s="383"/>
      <c r="DN138" s="383"/>
      <c r="DO138" s="383"/>
      <c r="DP138" s="383"/>
      <c r="DQ138" s="383"/>
      <c r="DR138" s="383"/>
      <c r="DS138" s="370"/>
      <c r="DT138" s="370"/>
      <c r="DU138" s="384"/>
      <c r="DV138" s="384"/>
      <c r="DW138" s="383"/>
      <c r="DX138" s="315"/>
      <c r="DY138" s="315"/>
      <c r="DZ138" s="383"/>
      <c r="EA138" s="383"/>
      <c r="EB138" s="390"/>
      <c r="EC138" s="390"/>
      <c r="ED138" s="383"/>
      <c r="EE138" s="383"/>
      <c r="EF138" s="383"/>
      <c r="EG138" s="383"/>
      <c r="EH138" s="383"/>
      <c r="EI138" s="383"/>
      <c r="EJ138" s="383"/>
      <c r="EK138" s="383"/>
      <c r="EL138" s="383"/>
      <c r="EM138" s="383"/>
      <c r="EN138" s="370"/>
      <c r="EO138" s="370"/>
      <c r="EP138" s="370"/>
      <c r="EQ138" s="370"/>
      <c r="ER138" s="370"/>
      <c r="ES138" s="370"/>
      <c r="ET138" s="383"/>
      <c r="EU138" s="383"/>
      <c r="EV138" s="383"/>
      <c r="EW138" s="383"/>
      <c r="EX138" s="383"/>
      <c r="EY138" s="383"/>
      <c r="EZ138" s="383"/>
      <c r="FA138" s="383"/>
      <c r="FB138" s="383"/>
      <c r="FC138" s="383"/>
      <c r="FD138" s="383"/>
      <c r="FE138" s="383"/>
      <c r="FF138" s="383"/>
      <c r="FG138" s="383"/>
      <c r="FH138" s="383"/>
      <c r="FI138" s="383"/>
      <c r="FJ138" s="383"/>
      <c r="FK138" s="383"/>
      <c r="FL138" s="383"/>
      <c r="FM138" s="383"/>
      <c r="FN138" s="383"/>
      <c r="FO138" s="383"/>
      <c r="FP138" s="383"/>
      <c r="FQ138" s="383"/>
      <c r="FR138" s="383"/>
      <c r="FS138" s="383"/>
      <c r="FT138" s="383"/>
      <c r="FU138" s="383"/>
      <c r="FV138" s="383"/>
      <c r="FW138" s="383"/>
      <c r="FX138" s="383"/>
      <c r="FY138" s="383"/>
      <c r="FZ138" s="383"/>
      <c r="GA138" s="383"/>
      <c r="GB138" s="383"/>
      <c r="GC138" s="383"/>
      <c r="GD138" s="383"/>
      <c r="GE138" s="383"/>
      <c r="GF138" s="383"/>
      <c r="GG138" s="383"/>
      <c r="GH138" s="383"/>
      <c r="GI138" s="383"/>
      <c r="GJ138" s="383"/>
      <c r="GK138" s="383"/>
      <c r="GL138" s="383"/>
      <c r="GM138" s="383"/>
      <c r="GN138" s="383"/>
      <c r="GO138" s="383"/>
      <c r="GP138" s="383"/>
      <c r="GQ138" s="383"/>
      <c r="GR138" s="383"/>
      <c r="GS138" s="383"/>
      <c r="GT138" s="383"/>
      <c r="GU138" s="383"/>
      <c r="GV138" s="383"/>
      <c r="GW138" s="383"/>
      <c r="GX138" s="383"/>
      <c r="GY138" s="383"/>
      <c r="GZ138" s="383"/>
      <c r="HA138" s="383"/>
      <c r="HB138" s="383"/>
      <c r="HC138" s="383"/>
      <c r="HD138" s="383"/>
      <c r="HE138" s="383"/>
      <c r="HF138" s="383"/>
      <c r="HG138" s="383"/>
      <c r="HH138" s="383"/>
    </row>
    <row r="139" spans="1:216" ht="18" customHeight="1">
      <c r="AJ139" s="166"/>
      <c r="AK139" s="166"/>
      <c r="AL139" s="408"/>
      <c r="AM139" s="408"/>
      <c r="CR139" s="411"/>
      <c r="CS139" s="411"/>
      <c r="DS139" s="412"/>
      <c r="DT139" s="412"/>
      <c r="DU139" s="413"/>
      <c r="DV139" s="413"/>
      <c r="EN139" s="412"/>
      <c r="EO139" s="412"/>
      <c r="EP139" s="412"/>
      <c r="EQ139" s="412"/>
      <c r="ER139" s="412"/>
      <c r="ES139" s="412"/>
    </row>
    <row r="140" spans="1:216" ht="18" customHeight="1">
      <c r="AJ140" s="166"/>
      <c r="AK140" s="166"/>
      <c r="AL140" s="408"/>
      <c r="AM140" s="408"/>
      <c r="CR140" s="411"/>
      <c r="CS140" s="411"/>
      <c r="DS140" s="404"/>
      <c r="DT140" s="404"/>
      <c r="DU140" s="384"/>
      <c r="DV140" s="384"/>
      <c r="EN140" s="404"/>
      <c r="EO140" s="404"/>
      <c r="EP140" s="404"/>
      <c r="EQ140" s="404"/>
      <c r="ER140" s="404"/>
      <c r="ES140" s="404"/>
    </row>
    <row r="141" spans="1:216" ht="18" customHeight="1">
      <c r="AJ141" s="166"/>
      <c r="AK141" s="166"/>
      <c r="AL141" s="408"/>
      <c r="AM141" s="408"/>
      <c r="CR141" s="411"/>
      <c r="CS141" s="411"/>
      <c r="DS141" s="404"/>
      <c r="DT141" s="404"/>
      <c r="DU141" s="384"/>
      <c r="DV141" s="384"/>
      <c r="EN141" s="404"/>
      <c r="EO141" s="404"/>
      <c r="EP141" s="404"/>
      <c r="EQ141" s="404"/>
      <c r="ER141" s="404"/>
      <c r="ES141" s="404"/>
    </row>
    <row r="142" spans="1:216" ht="18" customHeight="1">
      <c r="AJ142" s="166"/>
      <c r="AK142" s="166"/>
      <c r="AL142" s="408"/>
      <c r="AM142" s="408"/>
      <c r="CR142" s="411"/>
      <c r="CS142" s="411"/>
      <c r="DS142" s="404"/>
      <c r="DT142" s="404"/>
      <c r="DU142" s="384"/>
      <c r="DV142" s="384"/>
      <c r="EN142" s="404"/>
      <c r="EO142" s="404"/>
      <c r="EP142" s="404"/>
      <c r="EQ142" s="404"/>
      <c r="ER142" s="404"/>
      <c r="ES142" s="404"/>
    </row>
    <row r="143" spans="1:216" ht="18" customHeight="1">
      <c r="AJ143" s="166"/>
      <c r="AK143" s="166"/>
      <c r="AL143" s="408"/>
      <c r="AM143" s="408"/>
      <c r="CR143" s="411"/>
      <c r="CS143" s="411"/>
      <c r="DS143" s="404"/>
      <c r="DT143" s="404"/>
      <c r="DU143" s="384"/>
      <c r="DV143" s="384"/>
      <c r="EN143" s="404"/>
      <c r="EO143" s="404"/>
      <c r="EP143" s="404"/>
      <c r="EQ143" s="404"/>
      <c r="ER143" s="404"/>
      <c r="ES143" s="404"/>
    </row>
    <row r="144" spans="1:216" ht="18" customHeight="1">
      <c r="AJ144" s="166"/>
      <c r="AK144" s="166"/>
      <c r="AL144" s="408"/>
      <c r="AM144" s="408"/>
      <c r="CR144" s="411"/>
      <c r="CS144" s="411"/>
      <c r="DS144" s="404"/>
      <c r="DT144" s="404"/>
      <c r="DU144" s="384"/>
      <c r="DV144" s="384"/>
      <c r="EN144" s="404"/>
      <c r="EO144" s="404"/>
      <c r="EP144" s="404"/>
      <c r="EQ144" s="404"/>
      <c r="ER144" s="404"/>
      <c r="ES144" s="404"/>
    </row>
    <row r="145" spans="1:149" ht="18" customHeight="1">
      <c r="AJ145" s="166"/>
      <c r="AK145" s="166"/>
      <c r="AL145" s="408"/>
      <c r="AM145" s="408"/>
      <c r="CR145" s="411"/>
      <c r="CS145" s="411"/>
      <c r="DS145" s="404"/>
      <c r="DT145" s="404"/>
      <c r="DU145" s="384"/>
      <c r="DV145" s="384"/>
      <c r="EN145" s="404"/>
      <c r="EO145" s="404"/>
      <c r="EP145" s="404"/>
      <c r="EQ145" s="404"/>
      <c r="ER145" s="404"/>
      <c r="ES145" s="404"/>
    </row>
    <row r="146" spans="1:149" ht="18" customHeight="1">
      <c r="AJ146" s="166"/>
      <c r="AK146" s="166"/>
      <c r="AL146" s="408"/>
      <c r="AM146" s="408"/>
      <c r="CR146" s="411"/>
      <c r="CS146" s="411"/>
      <c r="DS146" s="404"/>
      <c r="DT146" s="404"/>
      <c r="DU146" s="384"/>
      <c r="DV146" s="384"/>
      <c r="EN146" s="404"/>
      <c r="EO146" s="404"/>
      <c r="EP146" s="404"/>
      <c r="EQ146" s="404"/>
      <c r="ER146" s="404"/>
      <c r="ES146" s="404"/>
    </row>
    <row r="147" spans="1:149" ht="18" customHeight="1">
      <c r="AJ147" s="166"/>
      <c r="AK147" s="166"/>
      <c r="AL147" s="408"/>
      <c r="AM147" s="408"/>
      <c r="CR147" s="411"/>
      <c r="CS147" s="411"/>
      <c r="DS147" s="404"/>
      <c r="DT147" s="404"/>
      <c r="DU147" s="384"/>
      <c r="DV147" s="384"/>
      <c r="EN147" s="404"/>
      <c r="EO147" s="404"/>
      <c r="EP147" s="404"/>
      <c r="EQ147" s="404"/>
      <c r="ER147" s="404"/>
      <c r="ES147" s="404"/>
    </row>
    <row r="148" spans="1:149" ht="18" customHeight="1">
      <c r="AJ148" s="166"/>
      <c r="AK148" s="166"/>
      <c r="AL148" s="408"/>
      <c r="AM148" s="408"/>
      <c r="CR148" s="411"/>
      <c r="CS148" s="411"/>
      <c r="DS148" s="404"/>
      <c r="DT148" s="404"/>
      <c r="DU148" s="384"/>
      <c r="DV148" s="384"/>
      <c r="EN148" s="404"/>
      <c r="EO148" s="404"/>
      <c r="EP148" s="404"/>
      <c r="EQ148" s="404"/>
      <c r="ER148" s="404"/>
      <c r="ES148" s="404"/>
    </row>
    <row r="149" spans="1:149" ht="18" customHeight="1">
      <c r="AJ149" s="166"/>
      <c r="AK149" s="166"/>
      <c r="AL149" s="408"/>
      <c r="AM149" s="408"/>
      <c r="CR149" s="411"/>
      <c r="CS149" s="411"/>
      <c r="DS149" s="404"/>
      <c r="DT149" s="404"/>
      <c r="DU149" s="384"/>
      <c r="DV149" s="384"/>
      <c r="EN149" s="404"/>
      <c r="EO149" s="404"/>
      <c r="EP149" s="404"/>
      <c r="EQ149" s="404"/>
      <c r="ER149" s="404"/>
      <c r="ES149" s="404"/>
    </row>
    <row r="150" spans="1:149" ht="18" customHeight="1">
      <c r="A150" s="166"/>
      <c r="B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408"/>
      <c r="AM150" s="408"/>
      <c r="AN150" s="166"/>
      <c r="AO150" s="166"/>
      <c r="AP150" s="166"/>
      <c r="AQ150" s="166"/>
      <c r="AR150" s="166"/>
      <c r="AS150" s="166"/>
      <c r="AT150" s="166"/>
      <c r="AU150" s="166"/>
      <c r="AV150" s="166"/>
      <c r="AW150" s="166"/>
      <c r="AX150" s="166"/>
      <c r="AY150" s="166"/>
      <c r="AZ150" s="166"/>
      <c r="BA150" s="166"/>
      <c r="BB150" s="166"/>
      <c r="BC150" s="166"/>
      <c r="BD150" s="166"/>
      <c r="CR150" s="411"/>
      <c r="CS150" s="411"/>
      <c r="DS150" s="404"/>
      <c r="DT150" s="404"/>
      <c r="DU150" s="384"/>
      <c r="DV150" s="384"/>
      <c r="DX150" s="166"/>
      <c r="DY150" s="166"/>
      <c r="EB150" s="166"/>
      <c r="EC150" s="166"/>
      <c r="EN150" s="404"/>
      <c r="EO150" s="404"/>
      <c r="EP150" s="404"/>
      <c r="EQ150" s="404"/>
      <c r="ER150" s="404"/>
      <c r="ES150" s="404"/>
    </row>
    <row r="151" spans="1:149" ht="18" customHeight="1">
      <c r="A151" s="166"/>
      <c r="B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408"/>
      <c r="AM151" s="408"/>
      <c r="AN151" s="166"/>
      <c r="AO151" s="166"/>
      <c r="AP151" s="166"/>
      <c r="AQ151" s="166"/>
      <c r="AR151" s="166"/>
      <c r="AS151" s="166"/>
      <c r="AT151" s="166"/>
      <c r="AU151" s="166"/>
      <c r="AV151" s="166"/>
      <c r="AW151" s="166"/>
      <c r="AX151" s="166"/>
      <c r="AY151" s="166"/>
      <c r="AZ151" s="166"/>
      <c r="BA151" s="166"/>
      <c r="BB151" s="166"/>
      <c r="BC151" s="166"/>
      <c r="BD151" s="166"/>
      <c r="CR151" s="411"/>
      <c r="CS151" s="411"/>
      <c r="DS151" s="404"/>
      <c r="DT151" s="404"/>
      <c r="DU151" s="384"/>
      <c r="DV151" s="384"/>
      <c r="DX151" s="166"/>
      <c r="DY151" s="166"/>
      <c r="EB151" s="166"/>
      <c r="EC151" s="166"/>
      <c r="EN151" s="404"/>
      <c r="EO151" s="404"/>
      <c r="EP151" s="404"/>
      <c r="EQ151" s="404"/>
      <c r="ER151" s="404"/>
      <c r="ES151" s="404"/>
    </row>
    <row r="152" spans="1:149" ht="18" customHeight="1">
      <c r="A152" s="166"/>
      <c r="B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408"/>
      <c r="AM152" s="408"/>
      <c r="AN152" s="166"/>
      <c r="AO152" s="166"/>
      <c r="AP152" s="166"/>
      <c r="AQ152" s="166"/>
      <c r="AR152" s="166"/>
      <c r="AS152" s="166"/>
      <c r="AT152" s="166"/>
      <c r="AU152" s="166"/>
      <c r="AV152" s="166"/>
      <c r="AW152" s="166"/>
      <c r="AX152" s="166"/>
      <c r="AY152" s="166"/>
      <c r="AZ152" s="166"/>
      <c r="BA152" s="166"/>
      <c r="BB152" s="166"/>
      <c r="BC152" s="166"/>
      <c r="BD152" s="166"/>
      <c r="CR152" s="411"/>
      <c r="CS152" s="411"/>
      <c r="DS152" s="404"/>
      <c r="DT152" s="404"/>
      <c r="DU152" s="384"/>
      <c r="DV152" s="384"/>
      <c r="DX152" s="166"/>
      <c r="DY152" s="166"/>
      <c r="EB152" s="166"/>
      <c r="EC152" s="166"/>
      <c r="EN152" s="404"/>
      <c r="EO152" s="404"/>
      <c r="EP152" s="404"/>
      <c r="EQ152" s="404"/>
      <c r="ER152" s="404"/>
      <c r="ES152" s="404"/>
    </row>
    <row r="153" spans="1:149" ht="18" customHeight="1">
      <c r="A153" s="166"/>
      <c r="B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408"/>
      <c r="AM153" s="408"/>
      <c r="AN153" s="166"/>
      <c r="AO153" s="166"/>
      <c r="AP153" s="166"/>
      <c r="AQ153" s="166"/>
      <c r="AR153" s="166"/>
      <c r="AS153" s="166"/>
      <c r="AT153" s="166"/>
      <c r="AU153" s="166"/>
      <c r="AV153" s="166"/>
      <c r="AW153" s="166"/>
      <c r="AX153" s="166"/>
      <c r="AY153" s="166"/>
      <c r="AZ153" s="166"/>
      <c r="BA153" s="166"/>
      <c r="BB153" s="166"/>
      <c r="BC153" s="166"/>
      <c r="BD153" s="166"/>
      <c r="CR153" s="411"/>
      <c r="CS153" s="411"/>
      <c r="DS153" s="404"/>
      <c r="DT153" s="404"/>
      <c r="DU153" s="384"/>
      <c r="DV153" s="384"/>
      <c r="DX153" s="166"/>
      <c r="DY153" s="166"/>
      <c r="EB153" s="166"/>
      <c r="EC153" s="166"/>
      <c r="EN153" s="404"/>
      <c r="EO153" s="404"/>
      <c r="EP153" s="404"/>
      <c r="EQ153" s="404"/>
      <c r="ER153" s="404"/>
      <c r="ES153" s="404"/>
    </row>
    <row r="154" spans="1:149" ht="18" customHeight="1">
      <c r="A154" s="166"/>
      <c r="B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6"/>
      <c r="AL154" s="408"/>
      <c r="AM154" s="408"/>
      <c r="AN154" s="166"/>
      <c r="AO154" s="166"/>
      <c r="AP154" s="166"/>
      <c r="AQ154" s="166"/>
      <c r="AR154" s="166"/>
      <c r="AS154" s="166"/>
      <c r="AT154" s="166"/>
      <c r="AU154" s="166"/>
      <c r="AV154" s="166"/>
      <c r="AW154" s="166"/>
      <c r="AX154" s="166"/>
      <c r="AY154" s="166"/>
      <c r="AZ154" s="166"/>
      <c r="BA154" s="166"/>
      <c r="BB154" s="166"/>
      <c r="BC154" s="166"/>
      <c r="BD154" s="166"/>
      <c r="CR154" s="411"/>
      <c r="CS154" s="411"/>
      <c r="DS154" s="404"/>
      <c r="DT154" s="404"/>
      <c r="DU154" s="384"/>
      <c r="DV154" s="384"/>
      <c r="DX154" s="166"/>
      <c r="DY154" s="166"/>
      <c r="EB154" s="166"/>
      <c r="EC154" s="166"/>
      <c r="EN154" s="404"/>
      <c r="EO154" s="404"/>
      <c r="EP154" s="404"/>
      <c r="EQ154" s="404"/>
      <c r="ER154" s="404"/>
      <c r="ES154" s="404"/>
    </row>
    <row r="155" spans="1:149" ht="18" customHeight="1">
      <c r="A155" s="166"/>
      <c r="B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408"/>
      <c r="AM155" s="408"/>
      <c r="AN155" s="166"/>
      <c r="AO155" s="166"/>
      <c r="AP155" s="166"/>
      <c r="AQ155" s="166"/>
      <c r="AR155" s="166"/>
      <c r="AS155" s="166"/>
      <c r="AT155" s="166"/>
      <c r="AU155" s="166"/>
      <c r="AV155" s="166"/>
      <c r="AW155" s="166"/>
      <c r="AX155" s="166"/>
      <c r="AY155" s="166"/>
      <c r="AZ155" s="166"/>
      <c r="BA155" s="166"/>
      <c r="BB155" s="166"/>
      <c r="BC155" s="166"/>
      <c r="BD155" s="166"/>
      <c r="CR155" s="411"/>
      <c r="CS155" s="411"/>
      <c r="DS155" s="404"/>
      <c r="DT155" s="404"/>
      <c r="DU155" s="384"/>
      <c r="DV155" s="384"/>
      <c r="DX155" s="166"/>
      <c r="DY155" s="166"/>
      <c r="EB155" s="166"/>
      <c r="EC155" s="166"/>
      <c r="EN155" s="404"/>
      <c r="EO155" s="404"/>
      <c r="EP155" s="404"/>
      <c r="EQ155" s="404"/>
      <c r="ER155" s="404"/>
      <c r="ES155" s="404"/>
    </row>
    <row r="156" spans="1:149" ht="18" customHeight="1">
      <c r="A156" s="166"/>
      <c r="B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408"/>
      <c r="AM156" s="408"/>
      <c r="AN156" s="166"/>
      <c r="AO156" s="166"/>
      <c r="AP156" s="166"/>
      <c r="AQ156" s="166"/>
      <c r="AR156" s="166"/>
      <c r="AS156" s="166"/>
      <c r="AT156" s="166"/>
      <c r="AU156" s="166"/>
      <c r="AV156" s="166"/>
      <c r="AW156" s="166"/>
      <c r="AX156" s="166"/>
      <c r="AY156" s="166"/>
      <c r="AZ156" s="166"/>
      <c r="BA156" s="166"/>
      <c r="BB156" s="166"/>
      <c r="BC156" s="166"/>
      <c r="BD156" s="166"/>
      <c r="CR156" s="411"/>
      <c r="CS156" s="411"/>
      <c r="DS156" s="404"/>
      <c r="DT156" s="404"/>
      <c r="DU156" s="384"/>
      <c r="DV156" s="384"/>
      <c r="DX156" s="166"/>
      <c r="DY156" s="166"/>
      <c r="EB156" s="166"/>
      <c r="EC156" s="166"/>
      <c r="EN156" s="404"/>
      <c r="EO156" s="404"/>
      <c r="EP156" s="404"/>
      <c r="EQ156" s="404"/>
      <c r="ER156" s="404"/>
      <c r="ES156" s="404"/>
    </row>
    <row r="157" spans="1:149" ht="18" customHeight="1">
      <c r="A157" s="166"/>
      <c r="B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6"/>
      <c r="AL157" s="408"/>
      <c r="AM157" s="408"/>
      <c r="AN157" s="166"/>
      <c r="AO157" s="166"/>
      <c r="AP157" s="166"/>
      <c r="AQ157" s="166"/>
      <c r="AR157" s="166"/>
      <c r="AS157" s="166"/>
      <c r="AT157" s="166"/>
      <c r="AU157" s="166"/>
      <c r="AV157" s="166"/>
      <c r="AW157" s="166"/>
      <c r="AX157" s="166"/>
      <c r="AY157" s="166"/>
      <c r="AZ157" s="166"/>
      <c r="BA157" s="166"/>
      <c r="BB157" s="166"/>
      <c r="BC157" s="166"/>
      <c r="BD157" s="166"/>
      <c r="CR157" s="411"/>
      <c r="CS157" s="411"/>
      <c r="DS157" s="404"/>
      <c r="DT157" s="404"/>
      <c r="DU157" s="384"/>
      <c r="DV157" s="384"/>
      <c r="DX157" s="166"/>
      <c r="DY157" s="166"/>
      <c r="EB157" s="166"/>
      <c r="EC157" s="166"/>
      <c r="EN157" s="404"/>
      <c r="EO157" s="404"/>
      <c r="EP157" s="404"/>
      <c r="EQ157" s="404"/>
      <c r="ER157" s="404"/>
      <c r="ES157" s="404"/>
    </row>
    <row r="158" spans="1:149" ht="18" customHeight="1">
      <c r="A158" s="166"/>
      <c r="B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408"/>
      <c r="AM158" s="408"/>
      <c r="AN158" s="166"/>
      <c r="AO158" s="166"/>
      <c r="AP158" s="166"/>
      <c r="AQ158" s="166"/>
      <c r="AR158" s="166"/>
      <c r="AS158" s="166"/>
      <c r="AT158" s="166"/>
      <c r="AU158" s="166"/>
      <c r="AV158" s="166"/>
      <c r="AW158" s="166"/>
      <c r="AX158" s="166"/>
      <c r="AY158" s="166"/>
      <c r="AZ158" s="166"/>
      <c r="BA158" s="166"/>
      <c r="BB158" s="166"/>
      <c r="BC158" s="166"/>
      <c r="BD158" s="166"/>
      <c r="CR158" s="411"/>
      <c r="CS158" s="411"/>
      <c r="DS158" s="404"/>
      <c r="DT158" s="404"/>
      <c r="DU158" s="384"/>
      <c r="DV158" s="384"/>
      <c r="DX158" s="166"/>
      <c r="DY158" s="166"/>
      <c r="EB158" s="166"/>
      <c r="EC158" s="166"/>
      <c r="EN158" s="404"/>
      <c r="EO158" s="404"/>
      <c r="EP158" s="404"/>
      <c r="EQ158" s="404"/>
      <c r="ER158" s="404"/>
      <c r="ES158" s="404"/>
    </row>
    <row r="159" spans="1:149" ht="18" customHeight="1">
      <c r="A159" s="166"/>
      <c r="B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408"/>
      <c r="AM159" s="408"/>
      <c r="AN159" s="166"/>
      <c r="AO159" s="166"/>
      <c r="AP159" s="166"/>
      <c r="AQ159" s="166"/>
      <c r="AR159" s="166"/>
      <c r="AS159" s="166"/>
      <c r="AT159" s="166"/>
      <c r="AU159" s="166"/>
      <c r="AV159" s="166"/>
      <c r="AW159" s="166"/>
      <c r="AX159" s="166"/>
      <c r="AY159" s="166"/>
      <c r="AZ159" s="166"/>
      <c r="BA159" s="166"/>
      <c r="BB159" s="166"/>
      <c r="BC159" s="166"/>
      <c r="BD159" s="166"/>
      <c r="CR159" s="411"/>
      <c r="CS159" s="411"/>
      <c r="DS159" s="404"/>
      <c r="DT159" s="404"/>
      <c r="DU159" s="384"/>
      <c r="DV159" s="384"/>
      <c r="DX159" s="166"/>
      <c r="DY159" s="166"/>
      <c r="EB159" s="166"/>
      <c r="EC159" s="166"/>
      <c r="EN159" s="404"/>
      <c r="EO159" s="404"/>
      <c r="EP159" s="404"/>
      <c r="EQ159" s="404"/>
      <c r="ER159" s="404"/>
      <c r="ES159" s="404"/>
    </row>
    <row r="160" spans="1:149" ht="18" customHeight="1">
      <c r="A160" s="166"/>
      <c r="B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408"/>
      <c r="AM160" s="408"/>
      <c r="AN160" s="166"/>
      <c r="AO160" s="166"/>
      <c r="AP160" s="166"/>
      <c r="AQ160" s="166"/>
      <c r="AR160" s="166"/>
      <c r="AS160" s="166"/>
      <c r="AT160" s="166"/>
      <c r="AU160" s="166"/>
      <c r="AV160" s="166"/>
      <c r="AW160" s="166"/>
      <c r="AX160" s="166"/>
      <c r="AY160" s="166"/>
      <c r="AZ160" s="166"/>
      <c r="BA160" s="166"/>
      <c r="BB160" s="166"/>
      <c r="BC160" s="166"/>
      <c r="BD160" s="166"/>
      <c r="CR160" s="411"/>
      <c r="CS160" s="411"/>
      <c r="DS160" s="404"/>
      <c r="DT160" s="404"/>
      <c r="DU160" s="384"/>
      <c r="DV160" s="384"/>
      <c r="DX160" s="166"/>
      <c r="DY160" s="166"/>
      <c r="EB160" s="166"/>
      <c r="EC160" s="166"/>
      <c r="EN160" s="404"/>
      <c r="EO160" s="404"/>
      <c r="EP160" s="404"/>
      <c r="EQ160" s="404"/>
      <c r="ER160" s="404"/>
      <c r="ES160" s="404"/>
    </row>
    <row r="161" spans="1:149" ht="18" customHeight="1">
      <c r="A161" s="166"/>
      <c r="B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408"/>
      <c r="AM161" s="408"/>
      <c r="AN161" s="166"/>
      <c r="AO161" s="166"/>
      <c r="AP161" s="166"/>
      <c r="AQ161" s="166"/>
      <c r="AR161" s="166"/>
      <c r="AS161" s="166"/>
      <c r="AT161" s="166"/>
      <c r="AU161" s="166"/>
      <c r="AV161" s="166"/>
      <c r="AW161" s="166"/>
      <c r="AX161" s="166"/>
      <c r="AY161" s="166"/>
      <c r="AZ161" s="166"/>
      <c r="BA161" s="166"/>
      <c r="BB161" s="166"/>
      <c r="BC161" s="166"/>
      <c r="BD161" s="166"/>
      <c r="CR161" s="411"/>
      <c r="CS161" s="411"/>
      <c r="DS161" s="404"/>
      <c r="DT161" s="404"/>
      <c r="DU161" s="384"/>
      <c r="DV161" s="384"/>
      <c r="DX161" s="166"/>
      <c r="DY161" s="166"/>
      <c r="EB161" s="166"/>
      <c r="EC161" s="166"/>
      <c r="EN161" s="404"/>
      <c r="EO161" s="404"/>
      <c r="EP161" s="404"/>
      <c r="EQ161" s="404"/>
      <c r="ER161" s="404"/>
      <c r="ES161" s="404"/>
    </row>
    <row r="162" spans="1:149" ht="18" customHeight="1">
      <c r="A162" s="166"/>
      <c r="B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6"/>
      <c r="AL162" s="408"/>
      <c r="AM162" s="408"/>
      <c r="AN162" s="166"/>
      <c r="AO162" s="166"/>
      <c r="AP162" s="166"/>
      <c r="AQ162" s="166"/>
      <c r="AR162" s="166"/>
      <c r="AS162" s="166"/>
      <c r="AT162" s="166"/>
      <c r="AU162" s="166"/>
      <c r="AV162" s="166"/>
      <c r="AW162" s="166"/>
      <c r="AX162" s="166"/>
      <c r="AY162" s="166"/>
      <c r="AZ162" s="166"/>
      <c r="BA162" s="166"/>
      <c r="BB162" s="166"/>
      <c r="BC162" s="166"/>
      <c r="BD162" s="166"/>
      <c r="CR162" s="411"/>
      <c r="CS162" s="411"/>
      <c r="DS162" s="404"/>
      <c r="DT162" s="404"/>
      <c r="DU162" s="384"/>
      <c r="DV162" s="384"/>
      <c r="DX162" s="166"/>
      <c r="DY162" s="166"/>
      <c r="EB162" s="166"/>
      <c r="EC162" s="166"/>
      <c r="EN162" s="404"/>
      <c r="EO162" s="404"/>
      <c r="EP162" s="404"/>
      <c r="EQ162" s="404"/>
      <c r="ER162" s="404"/>
      <c r="ES162" s="404"/>
    </row>
    <row r="163" spans="1:149" ht="18" customHeight="1">
      <c r="A163" s="166"/>
      <c r="B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AK163" s="166"/>
      <c r="AL163" s="408"/>
      <c r="AM163" s="408"/>
      <c r="AN163" s="166"/>
      <c r="AO163" s="166"/>
      <c r="AP163" s="166"/>
      <c r="AQ163" s="166"/>
      <c r="AR163" s="166"/>
      <c r="AS163" s="166"/>
      <c r="AT163" s="166"/>
      <c r="AU163" s="166"/>
      <c r="AV163" s="166"/>
      <c r="AW163" s="166"/>
      <c r="AX163" s="166"/>
      <c r="AY163" s="166"/>
      <c r="AZ163" s="166"/>
      <c r="BA163" s="166"/>
      <c r="BB163" s="166"/>
      <c r="BC163" s="166"/>
      <c r="BD163" s="166"/>
      <c r="CR163" s="411"/>
      <c r="CS163" s="411"/>
      <c r="DS163" s="404"/>
      <c r="DT163" s="404"/>
      <c r="DU163" s="384"/>
      <c r="DV163" s="384"/>
      <c r="DX163" s="166"/>
      <c r="DY163" s="166"/>
      <c r="EB163" s="166"/>
      <c r="EC163" s="166"/>
      <c r="EN163" s="404"/>
      <c r="EO163" s="404"/>
      <c r="EP163" s="404"/>
      <c r="EQ163" s="404"/>
      <c r="ER163" s="404"/>
      <c r="ES163" s="404"/>
    </row>
    <row r="164" spans="1:149" ht="18" customHeight="1">
      <c r="A164" s="166"/>
      <c r="B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AK164" s="166"/>
      <c r="AL164" s="408"/>
      <c r="AM164" s="408"/>
      <c r="AN164" s="166"/>
      <c r="AO164" s="166"/>
      <c r="AP164" s="166"/>
      <c r="AQ164" s="166"/>
      <c r="AR164" s="166"/>
      <c r="AS164" s="166"/>
      <c r="AT164" s="166"/>
      <c r="AU164" s="166"/>
      <c r="AV164" s="166"/>
      <c r="AW164" s="166"/>
      <c r="AX164" s="166"/>
      <c r="AY164" s="166"/>
      <c r="AZ164" s="166"/>
      <c r="BA164" s="166"/>
      <c r="BB164" s="166"/>
      <c r="BC164" s="166"/>
      <c r="BD164" s="166"/>
      <c r="CR164" s="411"/>
      <c r="CS164" s="411"/>
      <c r="DS164" s="404"/>
      <c r="DT164" s="404"/>
      <c r="DU164" s="384"/>
      <c r="DV164" s="384"/>
      <c r="DX164" s="166"/>
      <c r="DY164" s="166"/>
      <c r="EB164" s="166"/>
      <c r="EC164" s="166"/>
      <c r="EN164" s="404"/>
      <c r="EO164" s="404"/>
      <c r="EP164" s="404"/>
      <c r="EQ164" s="404"/>
      <c r="ER164" s="404"/>
      <c r="ES164" s="404"/>
    </row>
    <row r="165" spans="1:149" ht="18" customHeight="1">
      <c r="A165" s="166"/>
      <c r="B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166"/>
      <c r="AL165" s="408"/>
      <c r="AM165" s="408"/>
      <c r="AN165" s="166"/>
      <c r="AO165" s="166"/>
      <c r="AP165" s="166"/>
      <c r="AQ165" s="166"/>
      <c r="AR165" s="166"/>
      <c r="AS165" s="166"/>
      <c r="AT165" s="166"/>
      <c r="AU165" s="166"/>
      <c r="AV165" s="166"/>
      <c r="AW165" s="166"/>
      <c r="AX165" s="166"/>
      <c r="AY165" s="166"/>
      <c r="AZ165" s="166"/>
      <c r="BA165" s="166"/>
      <c r="BB165" s="166"/>
      <c r="BC165" s="166"/>
      <c r="BD165" s="166"/>
      <c r="CR165" s="411"/>
      <c r="CS165" s="411"/>
      <c r="DS165" s="404"/>
      <c r="DT165" s="404"/>
      <c r="DU165" s="384"/>
      <c r="DV165" s="384"/>
      <c r="DX165" s="166"/>
      <c r="DY165" s="166"/>
      <c r="EB165" s="166"/>
      <c r="EC165" s="166"/>
      <c r="EN165" s="404"/>
      <c r="EO165" s="404"/>
      <c r="EP165" s="404"/>
      <c r="EQ165" s="404"/>
      <c r="ER165" s="404"/>
      <c r="ES165" s="404"/>
    </row>
    <row r="166" spans="1:149" ht="18" customHeight="1">
      <c r="A166" s="166"/>
      <c r="B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AK166" s="166"/>
      <c r="AL166" s="408"/>
      <c r="AM166" s="408"/>
      <c r="AN166" s="166"/>
      <c r="AO166" s="166"/>
      <c r="AP166" s="166"/>
      <c r="AQ166" s="166"/>
      <c r="AR166" s="166"/>
      <c r="AS166" s="166"/>
      <c r="AT166" s="166"/>
      <c r="AU166" s="166"/>
      <c r="AV166" s="166"/>
      <c r="AW166" s="166"/>
      <c r="AX166" s="166"/>
      <c r="AY166" s="166"/>
      <c r="AZ166" s="166"/>
      <c r="BA166" s="166"/>
      <c r="BB166" s="166"/>
      <c r="BC166" s="166"/>
      <c r="BD166" s="166"/>
      <c r="CR166" s="411"/>
      <c r="CS166" s="411"/>
      <c r="DS166" s="404"/>
      <c r="DT166" s="404"/>
      <c r="DU166" s="384"/>
      <c r="DV166" s="384"/>
      <c r="DX166" s="166"/>
      <c r="DY166" s="166"/>
      <c r="EB166" s="166"/>
      <c r="EC166" s="166"/>
      <c r="EN166" s="404"/>
      <c r="EO166" s="404"/>
      <c r="EP166" s="404"/>
      <c r="EQ166" s="404"/>
      <c r="ER166" s="404"/>
      <c r="ES166" s="404"/>
    </row>
    <row r="167" spans="1:149" ht="18" customHeight="1">
      <c r="A167" s="166"/>
      <c r="B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L167" s="408"/>
      <c r="AM167" s="408"/>
      <c r="AN167" s="166"/>
      <c r="AO167" s="166"/>
      <c r="AP167" s="166"/>
      <c r="AQ167" s="166"/>
      <c r="AR167" s="166"/>
      <c r="AS167" s="166"/>
      <c r="AT167" s="166"/>
      <c r="AU167" s="166"/>
      <c r="AV167" s="166"/>
      <c r="AW167" s="166"/>
      <c r="AX167" s="166"/>
      <c r="AY167" s="166"/>
      <c r="AZ167" s="166"/>
      <c r="BA167" s="166"/>
      <c r="BB167" s="166"/>
      <c r="BC167" s="166"/>
      <c r="BD167" s="166"/>
      <c r="CR167" s="411"/>
      <c r="CS167" s="411"/>
      <c r="DS167" s="404"/>
      <c r="DT167" s="404"/>
      <c r="DU167" s="384"/>
      <c r="DV167" s="384"/>
      <c r="DX167" s="166"/>
      <c r="DY167" s="166"/>
      <c r="EB167" s="166"/>
      <c r="EC167" s="166"/>
      <c r="EN167" s="404"/>
      <c r="EO167" s="404"/>
      <c r="EP167" s="404"/>
      <c r="EQ167" s="404"/>
      <c r="ER167" s="404"/>
      <c r="ES167" s="404"/>
    </row>
    <row r="168" spans="1:149" ht="18" customHeight="1">
      <c r="A168" s="166"/>
      <c r="B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408"/>
      <c r="AM168" s="408"/>
      <c r="AN168" s="166"/>
      <c r="AO168" s="166"/>
      <c r="AP168" s="166"/>
      <c r="AQ168" s="166"/>
      <c r="AR168" s="166"/>
      <c r="AS168" s="166"/>
      <c r="AT168" s="166"/>
      <c r="AU168" s="166"/>
      <c r="AV168" s="166"/>
      <c r="AW168" s="166"/>
      <c r="AX168" s="166"/>
      <c r="AY168" s="166"/>
      <c r="AZ168" s="166"/>
      <c r="BA168" s="166"/>
      <c r="BB168" s="166"/>
      <c r="BC168" s="166"/>
      <c r="BD168" s="166"/>
      <c r="CR168" s="411"/>
      <c r="CS168" s="411"/>
      <c r="DS168" s="404"/>
      <c r="DT168" s="404"/>
      <c r="DU168" s="384"/>
      <c r="DV168" s="384"/>
      <c r="DX168" s="166"/>
      <c r="DY168" s="166"/>
      <c r="EB168" s="166"/>
      <c r="EC168" s="166"/>
      <c r="EN168" s="404"/>
      <c r="EO168" s="404"/>
      <c r="EP168" s="404"/>
      <c r="EQ168" s="404"/>
      <c r="ER168" s="404"/>
      <c r="ES168" s="404"/>
    </row>
    <row r="169" spans="1:149" ht="18" customHeight="1">
      <c r="A169" s="166"/>
      <c r="B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L169" s="408"/>
      <c r="AM169" s="408"/>
      <c r="AN169" s="166"/>
      <c r="AO169" s="166"/>
      <c r="AP169" s="166"/>
      <c r="AQ169" s="166"/>
      <c r="AR169" s="166"/>
      <c r="AS169" s="166"/>
      <c r="AT169" s="166"/>
      <c r="AU169" s="166"/>
      <c r="AV169" s="166"/>
      <c r="AW169" s="166"/>
      <c r="AX169" s="166"/>
      <c r="AY169" s="166"/>
      <c r="AZ169" s="166"/>
      <c r="BA169" s="166"/>
      <c r="BB169" s="166"/>
      <c r="BC169" s="166"/>
      <c r="BD169" s="166"/>
      <c r="CR169" s="411"/>
      <c r="CS169" s="411"/>
      <c r="DS169" s="404"/>
      <c r="DT169" s="404"/>
      <c r="DU169" s="384"/>
      <c r="DV169" s="384"/>
      <c r="DX169" s="166"/>
      <c r="DY169" s="166"/>
      <c r="EB169" s="166"/>
      <c r="EC169" s="166"/>
      <c r="EN169" s="404"/>
      <c r="EO169" s="404"/>
      <c r="EP169" s="404"/>
      <c r="EQ169" s="404"/>
      <c r="ER169" s="404"/>
      <c r="ES169" s="404"/>
    </row>
    <row r="170" spans="1:149" ht="18" customHeight="1">
      <c r="A170" s="166"/>
      <c r="B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L170" s="408"/>
      <c r="AM170" s="408"/>
      <c r="AN170" s="166"/>
      <c r="AO170" s="166"/>
      <c r="AP170" s="166"/>
      <c r="AQ170" s="166"/>
      <c r="AR170" s="166"/>
      <c r="AS170" s="166"/>
      <c r="AT170" s="166"/>
      <c r="AU170" s="166"/>
      <c r="AV170" s="166"/>
      <c r="AW170" s="166"/>
      <c r="AX170" s="166"/>
      <c r="AY170" s="166"/>
      <c r="AZ170" s="166"/>
      <c r="BA170" s="166"/>
      <c r="BB170" s="166"/>
      <c r="BC170" s="166"/>
      <c r="BD170" s="166"/>
      <c r="CR170" s="411"/>
      <c r="CS170" s="411"/>
      <c r="DS170" s="404"/>
      <c r="DT170" s="404"/>
      <c r="DU170" s="384"/>
      <c r="DV170" s="384"/>
      <c r="DX170" s="166"/>
      <c r="DY170" s="166"/>
      <c r="EB170" s="166"/>
      <c r="EC170" s="166"/>
      <c r="EN170" s="404"/>
      <c r="EO170" s="404"/>
      <c r="EP170" s="404"/>
      <c r="EQ170" s="404"/>
      <c r="ER170" s="404"/>
      <c r="ES170" s="404"/>
    </row>
    <row r="171" spans="1:149" ht="18" customHeight="1">
      <c r="A171" s="166"/>
      <c r="B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L171" s="408"/>
      <c r="AM171" s="408"/>
      <c r="AN171" s="166"/>
      <c r="AO171" s="166"/>
      <c r="AP171" s="166"/>
      <c r="AQ171" s="166"/>
      <c r="AR171" s="166"/>
      <c r="AS171" s="166"/>
      <c r="AT171" s="166"/>
      <c r="AU171" s="166"/>
      <c r="AV171" s="166"/>
      <c r="AW171" s="166"/>
      <c r="AX171" s="166"/>
      <c r="AY171" s="166"/>
      <c r="AZ171" s="166"/>
      <c r="BA171" s="166"/>
      <c r="BB171" s="166"/>
      <c r="BC171" s="166"/>
      <c r="BD171" s="166"/>
      <c r="CR171" s="411"/>
      <c r="CS171" s="411"/>
      <c r="DS171" s="404"/>
      <c r="DT171" s="404"/>
      <c r="DU171" s="384"/>
      <c r="DV171" s="384"/>
      <c r="DX171" s="166"/>
      <c r="DY171" s="166"/>
      <c r="EB171" s="166"/>
      <c r="EC171" s="166"/>
      <c r="EN171" s="404"/>
      <c r="EO171" s="404"/>
      <c r="EP171" s="404"/>
      <c r="EQ171" s="404"/>
      <c r="ER171" s="404"/>
      <c r="ES171" s="404"/>
    </row>
    <row r="172" spans="1:149" ht="18" customHeight="1">
      <c r="A172" s="166"/>
      <c r="B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L172" s="408"/>
      <c r="AM172" s="408"/>
      <c r="AN172" s="166"/>
      <c r="AO172" s="166"/>
      <c r="AP172" s="166"/>
      <c r="AQ172" s="166"/>
      <c r="AR172" s="166"/>
      <c r="AS172" s="166"/>
      <c r="AT172" s="166"/>
      <c r="AU172" s="166"/>
      <c r="AV172" s="166"/>
      <c r="AW172" s="166"/>
      <c r="AX172" s="166"/>
      <c r="AY172" s="166"/>
      <c r="AZ172" s="166"/>
      <c r="BA172" s="166"/>
      <c r="BB172" s="166"/>
      <c r="BC172" s="166"/>
      <c r="BD172" s="166"/>
      <c r="CR172" s="411"/>
      <c r="CS172" s="411"/>
      <c r="DS172" s="404"/>
      <c r="DT172" s="404"/>
      <c r="DU172" s="384"/>
      <c r="DV172" s="384"/>
      <c r="DX172" s="166"/>
      <c r="DY172" s="166"/>
      <c r="EB172" s="166"/>
      <c r="EC172" s="166"/>
      <c r="EN172" s="404"/>
      <c r="EO172" s="404"/>
      <c r="EP172" s="404"/>
      <c r="EQ172" s="404"/>
      <c r="ER172" s="404"/>
      <c r="ES172" s="404"/>
    </row>
    <row r="173" spans="1:149" ht="18" customHeight="1">
      <c r="A173" s="166"/>
      <c r="B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L173" s="408"/>
      <c r="AM173" s="408"/>
      <c r="AN173" s="166"/>
      <c r="AO173" s="166"/>
      <c r="AP173" s="166"/>
      <c r="AQ173" s="166"/>
      <c r="AR173" s="166"/>
      <c r="AS173" s="166"/>
      <c r="AT173" s="166"/>
      <c r="AU173" s="166"/>
      <c r="AV173" s="166"/>
      <c r="AW173" s="166"/>
      <c r="AX173" s="166"/>
      <c r="AY173" s="166"/>
      <c r="AZ173" s="166"/>
      <c r="BA173" s="166"/>
      <c r="BB173" s="166"/>
      <c r="BC173" s="166"/>
      <c r="BD173" s="166"/>
      <c r="CR173" s="411"/>
      <c r="CS173" s="411"/>
      <c r="DS173" s="404"/>
      <c r="DT173" s="404"/>
      <c r="DU173" s="384"/>
      <c r="DV173" s="384"/>
      <c r="DX173" s="166"/>
      <c r="DY173" s="166"/>
      <c r="EB173" s="166"/>
      <c r="EC173" s="166"/>
      <c r="EN173" s="404"/>
      <c r="EO173" s="404"/>
      <c r="EP173" s="404"/>
      <c r="EQ173" s="404"/>
      <c r="ER173" s="404"/>
      <c r="ES173" s="404"/>
    </row>
    <row r="174" spans="1:149" ht="18" customHeight="1">
      <c r="A174" s="166"/>
      <c r="B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L174" s="408"/>
      <c r="AM174" s="408"/>
      <c r="AN174" s="166"/>
      <c r="AO174" s="166"/>
      <c r="AP174" s="166"/>
      <c r="AQ174" s="166"/>
      <c r="AR174" s="166"/>
      <c r="AS174" s="166"/>
      <c r="AT174" s="166"/>
      <c r="AU174" s="166"/>
      <c r="AV174" s="166"/>
      <c r="AW174" s="166"/>
      <c r="AX174" s="166"/>
      <c r="AY174" s="166"/>
      <c r="AZ174" s="166"/>
      <c r="BA174" s="166"/>
      <c r="BB174" s="166"/>
      <c r="BC174" s="166"/>
      <c r="BD174" s="166"/>
      <c r="CR174" s="411"/>
      <c r="CS174" s="411"/>
      <c r="DS174" s="404"/>
      <c r="DT174" s="404"/>
      <c r="DU174" s="384"/>
      <c r="DV174" s="384"/>
      <c r="DX174" s="166"/>
      <c r="DY174" s="166"/>
      <c r="EB174" s="166"/>
      <c r="EC174" s="166"/>
      <c r="EN174" s="404"/>
      <c r="EO174" s="404"/>
      <c r="EP174" s="404"/>
      <c r="EQ174" s="404"/>
      <c r="ER174" s="404"/>
      <c r="ES174" s="404"/>
    </row>
    <row r="175" spans="1:149" ht="18" customHeight="1">
      <c r="A175" s="166"/>
      <c r="B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L175" s="408"/>
      <c r="AM175" s="408"/>
      <c r="AN175" s="166"/>
      <c r="AO175" s="166"/>
      <c r="AP175" s="166"/>
      <c r="AQ175" s="166"/>
      <c r="AR175" s="166"/>
      <c r="AS175" s="166"/>
      <c r="AT175" s="166"/>
      <c r="AU175" s="166"/>
      <c r="AV175" s="166"/>
      <c r="AW175" s="166"/>
      <c r="AX175" s="166"/>
      <c r="AY175" s="166"/>
      <c r="AZ175" s="166"/>
      <c r="BA175" s="166"/>
      <c r="BB175" s="166"/>
      <c r="BC175" s="166"/>
      <c r="BD175" s="166"/>
      <c r="CR175" s="411"/>
      <c r="CS175" s="411"/>
      <c r="DS175" s="404"/>
      <c r="DT175" s="404"/>
      <c r="DU175" s="384"/>
      <c r="DV175" s="384"/>
      <c r="DX175" s="166"/>
      <c r="DY175" s="166"/>
      <c r="EB175" s="166"/>
      <c r="EC175" s="166"/>
      <c r="EN175" s="404"/>
      <c r="EO175" s="404"/>
      <c r="EP175" s="404"/>
      <c r="EQ175" s="404"/>
      <c r="ER175" s="404"/>
      <c r="ES175" s="404"/>
    </row>
    <row r="176" spans="1:149" ht="18" customHeight="1">
      <c r="A176" s="166"/>
      <c r="B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L176" s="408"/>
      <c r="AM176" s="408"/>
      <c r="AN176" s="166"/>
      <c r="AO176" s="166"/>
      <c r="AP176" s="166"/>
      <c r="AQ176" s="166"/>
      <c r="AR176" s="166"/>
      <c r="AS176" s="166"/>
      <c r="AT176" s="166"/>
      <c r="AU176" s="166"/>
      <c r="AV176" s="166"/>
      <c r="AW176" s="166"/>
      <c r="AX176" s="166"/>
      <c r="AY176" s="166"/>
      <c r="AZ176" s="166"/>
      <c r="BA176" s="166"/>
      <c r="BB176" s="166"/>
      <c r="BC176" s="166"/>
      <c r="BD176" s="166"/>
      <c r="CR176" s="411"/>
      <c r="CS176" s="411"/>
      <c r="DS176" s="404"/>
      <c r="DT176" s="404"/>
      <c r="DU176" s="384"/>
      <c r="DV176" s="384"/>
      <c r="DX176" s="166"/>
      <c r="DY176" s="166"/>
      <c r="EB176" s="166"/>
      <c r="EC176" s="166"/>
      <c r="EN176" s="404"/>
      <c r="EO176" s="404"/>
      <c r="EP176" s="404"/>
      <c r="EQ176" s="404"/>
      <c r="ER176" s="404"/>
      <c r="ES176" s="404"/>
    </row>
    <row r="177" spans="1:149" ht="18" customHeight="1">
      <c r="A177" s="166"/>
      <c r="B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L177" s="149"/>
      <c r="AM177" s="149"/>
      <c r="AN177" s="166"/>
      <c r="AO177" s="166"/>
      <c r="AP177" s="166"/>
      <c r="AQ177" s="166"/>
      <c r="AR177" s="166"/>
      <c r="AS177" s="166"/>
      <c r="AT177" s="166"/>
      <c r="AU177" s="166"/>
      <c r="AV177" s="166"/>
      <c r="AW177" s="166"/>
      <c r="AX177" s="166"/>
      <c r="AY177" s="166"/>
      <c r="AZ177" s="166"/>
      <c r="BA177" s="166"/>
      <c r="BB177" s="166"/>
      <c r="BC177" s="166"/>
      <c r="BD177" s="166"/>
      <c r="CR177" s="411"/>
      <c r="CS177" s="411"/>
      <c r="DS177" s="370"/>
      <c r="DT177" s="370"/>
      <c r="DU177" s="384"/>
      <c r="DV177" s="384"/>
      <c r="DX177" s="166"/>
      <c r="DY177" s="166"/>
      <c r="EB177" s="166"/>
      <c r="EC177" s="166"/>
      <c r="EN177" s="370"/>
      <c r="EO177" s="370"/>
      <c r="EP177" s="370"/>
      <c r="EQ177" s="370"/>
      <c r="ER177" s="370"/>
      <c r="ES177" s="370"/>
    </row>
    <row r="178" spans="1:149" ht="18" customHeight="1">
      <c r="A178" s="166"/>
      <c r="B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L178" s="149"/>
      <c r="AM178" s="149"/>
      <c r="AN178" s="166"/>
      <c r="AO178" s="166"/>
      <c r="AP178" s="166"/>
      <c r="AQ178" s="166"/>
      <c r="AR178" s="166"/>
      <c r="AS178" s="166"/>
      <c r="AT178" s="166"/>
      <c r="AU178" s="166"/>
      <c r="AV178" s="166"/>
      <c r="AW178" s="166"/>
      <c r="AX178" s="166"/>
      <c r="AY178" s="166"/>
      <c r="AZ178" s="166"/>
      <c r="BA178" s="166"/>
      <c r="BB178" s="166"/>
      <c r="BC178" s="166"/>
      <c r="BD178" s="166"/>
      <c r="CR178" s="411"/>
      <c r="CS178" s="411"/>
      <c r="DS178" s="404"/>
      <c r="DT178" s="404"/>
      <c r="DU178" s="384"/>
      <c r="DV178" s="384"/>
      <c r="DX178" s="166"/>
      <c r="DY178" s="166"/>
      <c r="EB178" s="166"/>
      <c r="EC178" s="166"/>
      <c r="EN178" s="404"/>
      <c r="EO178" s="404"/>
      <c r="EP178" s="404"/>
      <c r="EQ178" s="404"/>
      <c r="ER178" s="404"/>
      <c r="ES178" s="404"/>
    </row>
    <row r="179" spans="1:149" ht="18" customHeight="1">
      <c r="A179" s="166"/>
      <c r="B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L179" s="100"/>
      <c r="AM179" s="100"/>
      <c r="AN179" s="166"/>
      <c r="AO179" s="166"/>
      <c r="AP179" s="166"/>
      <c r="AQ179" s="166"/>
      <c r="AR179" s="166"/>
      <c r="AS179" s="166"/>
      <c r="AT179" s="166"/>
      <c r="AU179" s="166"/>
      <c r="AV179" s="166"/>
      <c r="AW179" s="166"/>
      <c r="AX179" s="166"/>
      <c r="AY179" s="166"/>
      <c r="AZ179" s="166"/>
      <c r="BA179" s="166"/>
      <c r="BB179" s="166"/>
      <c r="BC179" s="166"/>
      <c r="BD179" s="166"/>
      <c r="CR179" s="411"/>
      <c r="CS179" s="411"/>
      <c r="DX179" s="166"/>
      <c r="DY179" s="166"/>
      <c r="EB179" s="166"/>
      <c r="EC179" s="166"/>
      <c r="EN179" s="174"/>
    </row>
    <row r="180" spans="1:149" ht="18" customHeight="1">
      <c r="A180" s="166"/>
      <c r="B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L180" s="100"/>
      <c r="AM180" s="100"/>
      <c r="AN180" s="166"/>
      <c r="AO180" s="166"/>
      <c r="AP180" s="166"/>
      <c r="AQ180" s="166"/>
      <c r="AR180" s="166"/>
      <c r="AS180" s="166"/>
      <c r="AT180" s="166"/>
      <c r="AU180" s="166"/>
      <c r="AV180" s="166"/>
      <c r="AW180" s="166"/>
      <c r="AX180" s="166"/>
      <c r="AY180" s="166"/>
      <c r="AZ180" s="166"/>
      <c r="BA180" s="166"/>
      <c r="BB180" s="166"/>
      <c r="BC180" s="166"/>
      <c r="BD180" s="166"/>
      <c r="CR180" s="411"/>
      <c r="CS180" s="411"/>
      <c r="DX180" s="166"/>
      <c r="DY180" s="166"/>
      <c r="EB180" s="166"/>
      <c r="EC180" s="166"/>
      <c r="EN180" s="174"/>
    </row>
    <row r="181" spans="1:149" ht="18" customHeight="1">
      <c r="A181" s="166"/>
      <c r="B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L181" s="166"/>
      <c r="AM181" s="166"/>
      <c r="AN181" s="166"/>
      <c r="AO181" s="166"/>
      <c r="AP181" s="166"/>
      <c r="AQ181" s="166"/>
      <c r="AR181" s="166"/>
      <c r="AS181" s="166"/>
      <c r="AT181" s="166"/>
      <c r="AU181" s="166"/>
      <c r="AV181" s="166"/>
      <c r="AW181" s="166"/>
      <c r="AX181" s="166"/>
      <c r="AY181" s="166"/>
      <c r="AZ181" s="166"/>
      <c r="BA181" s="166"/>
      <c r="BB181" s="166"/>
      <c r="BC181" s="166"/>
      <c r="BD181" s="166"/>
      <c r="CR181" s="411"/>
      <c r="CS181" s="411"/>
      <c r="DX181" s="166"/>
      <c r="DY181" s="166"/>
      <c r="EB181" s="166"/>
      <c r="EC181" s="166"/>
      <c r="EN181" s="174"/>
    </row>
    <row r="182" spans="1:149" ht="18" customHeight="1">
      <c r="A182" s="166"/>
      <c r="B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c r="AF182" s="166"/>
      <c r="AG182" s="166"/>
      <c r="AH182" s="166"/>
      <c r="AI182" s="166"/>
      <c r="AL182" s="166"/>
      <c r="AM182" s="166"/>
      <c r="AN182" s="166"/>
      <c r="AO182" s="166"/>
      <c r="AP182" s="166"/>
      <c r="AQ182" s="166"/>
      <c r="AR182" s="166"/>
      <c r="AS182" s="166"/>
      <c r="AT182" s="166"/>
      <c r="AU182" s="166"/>
      <c r="AV182" s="166"/>
      <c r="AW182" s="166"/>
      <c r="AX182" s="166"/>
      <c r="AY182" s="166"/>
      <c r="AZ182" s="166"/>
      <c r="BA182" s="166"/>
      <c r="BB182" s="166"/>
      <c r="BC182" s="166"/>
      <c r="BD182" s="166"/>
      <c r="CR182" s="411"/>
      <c r="CS182" s="411"/>
      <c r="DX182" s="166"/>
      <c r="DY182" s="166"/>
      <c r="EB182" s="166"/>
      <c r="EC182" s="166"/>
      <c r="EN182" s="174"/>
    </row>
    <row r="183" spans="1:149" ht="18" customHeight="1">
      <c r="A183" s="166"/>
      <c r="B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c r="AB183" s="166"/>
      <c r="AC183" s="166"/>
      <c r="AD183" s="166"/>
      <c r="AE183" s="166"/>
      <c r="AF183" s="166"/>
      <c r="AG183" s="166"/>
      <c r="AH183" s="166"/>
      <c r="AI183" s="166"/>
      <c r="AL183" s="166"/>
      <c r="AM183" s="166"/>
      <c r="AN183" s="166"/>
      <c r="AO183" s="166"/>
      <c r="AP183" s="166"/>
      <c r="AQ183" s="166"/>
      <c r="AR183" s="166"/>
      <c r="AS183" s="166"/>
      <c r="AT183" s="166"/>
      <c r="AU183" s="166"/>
      <c r="AV183" s="166"/>
      <c r="AW183" s="166"/>
      <c r="AX183" s="166"/>
      <c r="AY183" s="166"/>
      <c r="AZ183" s="166"/>
      <c r="BA183" s="166"/>
      <c r="BB183" s="166"/>
      <c r="BC183" s="166"/>
      <c r="BD183" s="166"/>
      <c r="CR183" s="411"/>
      <c r="CS183" s="411"/>
      <c r="DX183" s="166"/>
      <c r="DY183" s="166"/>
      <c r="EB183" s="166"/>
      <c r="EC183" s="166"/>
      <c r="EN183" s="174"/>
    </row>
    <row r="184" spans="1:149" ht="18" customHeight="1">
      <c r="A184" s="166"/>
      <c r="B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L184" s="166"/>
      <c r="AM184" s="166"/>
      <c r="AN184" s="166"/>
      <c r="AO184" s="166"/>
      <c r="AP184" s="166"/>
      <c r="AQ184" s="166"/>
      <c r="AR184" s="166"/>
      <c r="AS184" s="166"/>
      <c r="AT184" s="166"/>
      <c r="AU184" s="166"/>
      <c r="AV184" s="166"/>
      <c r="AW184" s="166"/>
      <c r="AX184" s="166"/>
      <c r="AY184" s="166"/>
      <c r="AZ184" s="166"/>
      <c r="BA184" s="166"/>
      <c r="BB184" s="166"/>
      <c r="BC184" s="166"/>
      <c r="BD184" s="166"/>
      <c r="CR184" s="411"/>
      <c r="CS184" s="411"/>
      <c r="DX184" s="166"/>
      <c r="DY184" s="166"/>
      <c r="EB184" s="166"/>
      <c r="EC184" s="166"/>
      <c r="EN184" s="174"/>
    </row>
    <row r="185" spans="1:149" ht="18" customHeight="1">
      <c r="A185" s="166"/>
      <c r="B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L185" s="166"/>
      <c r="AM185" s="166"/>
      <c r="AN185" s="166"/>
      <c r="AO185" s="166"/>
      <c r="AP185" s="166"/>
      <c r="AQ185" s="166"/>
      <c r="AR185" s="166"/>
      <c r="AS185" s="166"/>
      <c r="AT185" s="166"/>
      <c r="AU185" s="166"/>
      <c r="AV185" s="166"/>
      <c r="AW185" s="166"/>
      <c r="AX185" s="166"/>
      <c r="AY185" s="166"/>
      <c r="AZ185" s="166"/>
      <c r="BA185" s="166"/>
      <c r="BB185" s="166"/>
      <c r="BC185" s="166"/>
      <c r="BD185" s="166"/>
      <c r="CR185" s="411"/>
      <c r="CS185" s="411"/>
      <c r="DX185" s="166"/>
      <c r="DY185" s="166"/>
      <c r="EB185" s="166"/>
      <c r="EC185" s="166"/>
      <c r="EN185" s="174"/>
    </row>
    <row r="186" spans="1:149" ht="18" customHeight="1">
      <c r="A186" s="166"/>
      <c r="B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6"/>
      <c r="AC186" s="166"/>
      <c r="AD186" s="166"/>
      <c r="AE186" s="166"/>
      <c r="AF186" s="166"/>
      <c r="AG186" s="166"/>
      <c r="AH186" s="166"/>
      <c r="AI186" s="166"/>
      <c r="AL186" s="166"/>
      <c r="AM186" s="166"/>
      <c r="AN186" s="166"/>
      <c r="AO186" s="166"/>
      <c r="AP186" s="166"/>
      <c r="AQ186" s="166"/>
      <c r="AR186" s="166"/>
      <c r="AS186" s="166"/>
      <c r="AT186" s="166"/>
      <c r="AU186" s="166"/>
      <c r="AV186" s="166"/>
      <c r="AW186" s="166"/>
      <c r="AX186" s="166"/>
      <c r="AY186" s="166"/>
      <c r="AZ186" s="166"/>
      <c r="BA186" s="166"/>
      <c r="BB186" s="166"/>
      <c r="BC186" s="166"/>
      <c r="BD186" s="166"/>
      <c r="CR186" s="411"/>
      <c r="CS186" s="411"/>
      <c r="DX186" s="166"/>
      <c r="DY186" s="166"/>
      <c r="EB186" s="166"/>
      <c r="EC186" s="166"/>
      <c r="EN186" s="174"/>
    </row>
    <row r="187" spans="1:149" ht="18" customHeight="1">
      <c r="A187" s="166"/>
      <c r="B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L187" s="166"/>
      <c r="AM187" s="166"/>
      <c r="AN187" s="166"/>
      <c r="AO187" s="166"/>
      <c r="AP187" s="166"/>
      <c r="AQ187" s="166"/>
      <c r="AR187" s="166"/>
      <c r="AS187" s="166"/>
      <c r="AT187" s="166"/>
      <c r="AU187" s="166"/>
      <c r="AV187" s="166"/>
      <c r="AW187" s="166"/>
      <c r="AX187" s="166"/>
      <c r="AY187" s="166"/>
      <c r="AZ187" s="166"/>
      <c r="BA187" s="166"/>
      <c r="BB187" s="166"/>
      <c r="BC187" s="166"/>
      <c r="BD187" s="166"/>
      <c r="CR187" s="411"/>
      <c r="CS187" s="411"/>
      <c r="DX187" s="166"/>
      <c r="DY187" s="166"/>
      <c r="EB187" s="166"/>
      <c r="EC187" s="166"/>
      <c r="EN187" s="174"/>
    </row>
    <row r="188" spans="1:149" ht="18" customHeight="1">
      <c r="A188" s="166"/>
      <c r="B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L188" s="166"/>
      <c r="AM188" s="166"/>
      <c r="AN188" s="166"/>
      <c r="AO188" s="166"/>
      <c r="AP188" s="166"/>
      <c r="AQ188" s="166"/>
      <c r="AR188" s="166"/>
      <c r="AS188" s="166"/>
      <c r="AT188" s="166"/>
      <c r="AU188" s="166"/>
      <c r="AV188" s="166"/>
      <c r="AW188" s="166"/>
      <c r="AX188" s="166"/>
      <c r="AY188" s="166"/>
      <c r="AZ188" s="166"/>
      <c r="BA188" s="166"/>
      <c r="BB188" s="166"/>
      <c r="BC188" s="166"/>
      <c r="BD188" s="166"/>
      <c r="CR188" s="411"/>
      <c r="CS188" s="411"/>
      <c r="DX188" s="166"/>
      <c r="DY188" s="166"/>
      <c r="EB188" s="166"/>
      <c r="EC188" s="166"/>
      <c r="EN188" s="174"/>
    </row>
    <row r="189" spans="1:149" ht="18" customHeight="1">
      <c r="A189" s="166"/>
      <c r="B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L189" s="166"/>
      <c r="AM189" s="166"/>
      <c r="AN189" s="166"/>
      <c r="AO189" s="166"/>
      <c r="AP189" s="166"/>
      <c r="AQ189" s="166"/>
      <c r="AR189" s="166"/>
      <c r="AS189" s="166"/>
      <c r="AT189" s="166"/>
      <c r="AU189" s="166"/>
      <c r="AV189" s="166"/>
      <c r="AW189" s="166"/>
      <c r="AX189" s="166"/>
      <c r="AY189" s="166"/>
      <c r="AZ189" s="166"/>
      <c r="BA189" s="166"/>
      <c r="BB189" s="166"/>
      <c r="BC189" s="166"/>
      <c r="BD189" s="166"/>
      <c r="CR189" s="411"/>
      <c r="CS189" s="411"/>
      <c r="DX189" s="166"/>
      <c r="DY189" s="166"/>
      <c r="EB189" s="166"/>
      <c r="EC189" s="166"/>
      <c r="EN189" s="174"/>
    </row>
    <row r="190" spans="1:149" ht="18" customHeight="1">
      <c r="A190" s="166"/>
      <c r="B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L190" s="166"/>
      <c r="AM190" s="166"/>
      <c r="AN190" s="166"/>
      <c r="AO190" s="166"/>
      <c r="AP190" s="166"/>
      <c r="AQ190" s="166"/>
      <c r="AR190" s="166"/>
      <c r="AS190" s="166"/>
      <c r="AT190" s="166"/>
      <c r="AU190" s="166"/>
      <c r="AV190" s="166"/>
      <c r="AW190" s="166"/>
      <c r="AX190" s="166"/>
      <c r="AY190" s="166"/>
      <c r="AZ190" s="166"/>
      <c r="BA190" s="166"/>
      <c r="BB190" s="166"/>
      <c r="BC190" s="166"/>
      <c r="BD190" s="166"/>
      <c r="CR190" s="411"/>
      <c r="CS190" s="411"/>
      <c r="DX190" s="166"/>
      <c r="DY190" s="166"/>
      <c r="EB190" s="166"/>
      <c r="EC190" s="166"/>
      <c r="EN190" s="174"/>
    </row>
    <row r="191" spans="1:149" ht="18" customHeight="1">
      <c r="A191" s="166"/>
      <c r="B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L191" s="166"/>
      <c r="AM191" s="166"/>
      <c r="AN191" s="166"/>
      <c r="AO191" s="166"/>
      <c r="AP191" s="166"/>
      <c r="AQ191" s="166"/>
      <c r="AR191" s="166"/>
      <c r="AS191" s="166"/>
      <c r="AT191" s="166"/>
      <c r="AU191" s="166"/>
      <c r="AV191" s="166"/>
      <c r="AW191" s="166"/>
      <c r="AX191" s="166"/>
      <c r="AY191" s="166"/>
      <c r="AZ191" s="166"/>
      <c r="BA191" s="166"/>
      <c r="BB191" s="166"/>
      <c r="BC191" s="166"/>
      <c r="BD191" s="166"/>
      <c r="CR191" s="411"/>
      <c r="CS191" s="411"/>
      <c r="DX191" s="166"/>
      <c r="DY191" s="166"/>
      <c r="EB191" s="166"/>
      <c r="EC191" s="166"/>
      <c r="EN191" s="174"/>
    </row>
    <row r="192" spans="1:149" ht="18" customHeight="1">
      <c r="A192" s="166"/>
      <c r="B192" s="166"/>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c r="AA192" s="166"/>
      <c r="AB192" s="166"/>
      <c r="AC192" s="166"/>
      <c r="AD192" s="166"/>
      <c r="AE192" s="166"/>
      <c r="AF192" s="166"/>
      <c r="AG192" s="166"/>
      <c r="AH192" s="166"/>
      <c r="AI192" s="166"/>
      <c r="AL192" s="166"/>
      <c r="AM192" s="166"/>
      <c r="AN192" s="166"/>
      <c r="AO192" s="166"/>
      <c r="AP192" s="166"/>
      <c r="AQ192" s="166"/>
      <c r="AR192" s="166"/>
      <c r="AS192" s="166"/>
      <c r="AT192" s="166"/>
      <c r="AU192" s="166"/>
      <c r="AV192" s="166"/>
      <c r="AW192" s="166"/>
      <c r="AX192" s="166"/>
      <c r="AY192" s="166"/>
      <c r="AZ192" s="166"/>
      <c r="BA192" s="166"/>
      <c r="BB192" s="166"/>
      <c r="BC192" s="166"/>
      <c r="BD192" s="166"/>
      <c r="CR192" s="411"/>
      <c r="CS192" s="411"/>
      <c r="DX192" s="166"/>
      <c r="DY192" s="166"/>
      <c r="EB192" s="166"/>
      <c r="EC192" s="166"/>
      <c r="EN192" s="174"/>
    </row>
    <row r="193" spans="1:144" ht="18" customHeight="1">
      <c r="A193" s="166"/>
      <c r="B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L193" s="166"/>
      <c r="AM193" s="166"/>
      <c r="AN193" s="166"/>
      <c r="AO193" s="166"/>
      <c r="AP193" s="166"/>
      <c r="AQ193" s="166"/>
      <c r="AR193" s="166"/>
      <c r="AS193" s="166"/>
      <c r="AT193" s="166"/>
      <c r="AU193" s="166"/>
      <c r="AV193" s="166"/>
      <c r="AW193" s="166"/>
      <c r="AX193" s="166"/>
      <c r="AY193" s="166"/>
      <c r="AZ193" s="166"/>
      <c r="BA193" s="166"/>
      <c r="BB193" s="166"/>
      <c r="BC193" s="166"/>
      <c r="BD193" s="166"/>
      <c r="CR193" s="411"/>
      <c r="CS193" s="411"/>
      <c r="DX193" s="166"/>
      <c r="DY193" s="166"/>
      <c r="EB193" s="166"/>
      <c r="EC193" s="166"/>
      <c r="EN193" s="174"/>
    </row>
    <row r="194" spans="1:144" ht="18" customHeight="1">
      <c r="A194" s="166"/>
      <c r="B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L194" s="166"/>
      <c r="AM194" s="166"/>
      <c r="AN194" s="166"/>
      <c r="AO194" s="166"/>
      <c r="AP194" s="166"/>
      <c r="AQ194" s="166"/>
      <c r="AR194" s="166"/>
      <c r="AS194" s="166"/>
      <c r="AT194" s="166"/>
      <c r="AU194" s="166"/>
      <c r="AV194" s="166"/>
      <c r="AW194" s="166"/>
      <c r="AX194" s="166"/>
      <c r="AY194" s="166"/>
      <c r="AZ194" s="166"/>
      <c r="BA194" s="166"/>
      <c r="BB194" s="166"/>
      <c r="BC194" s="166"/>
      <c r="BD194" s="166"/>
      <c r="CR194" s="411"/>
      <c r="CS194" s="411"/>
      <c r="DX194" s="166"/>
      <c r="DY194" s="166"/>
      <c r="EB194" s="166"/>
      <c r="EC194" s="166"/>
      <c r="EN194" s="174"/>
    </row>
    <row r="195" spans="1:144" ht="18" customHeight="1">
      <c r="A195" s="166"/>
      <c r="B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166"/>
      <c r="AB195" s="166"/>
      <c r="AC195" s="166"/>
      <c r="AD195" s="166"/>
      <c r="AE195" s="166"/>
      <c r="AF195" s="166"/>
      <c r="AG195" s="166"/>
      <c r="AH195" s="166"/>
      <c r="AI195" s="166"/>
      <c r="AL195" s="166"/>
      <c r="AM195" s="166"/>
      <c r="AN195" s="166"/>
      <c r="AO195" s="166"/>
      <c r="AP195" s="166"/>
      <c r="AQ195" s="166"/>
      <c r="AR195" s="166"/>
      <c r="AS195" s="166"/>
      <c r="AT195" s="166"/>
      <c r="AU195" s="166"/>
      <c r="AV195" s="166"/>
      <c r="AW195" s="166"/>
      <c r="AX195" s="166"/>
      <c r="AY195" s="166"/>
      <c r="AZ195" s="166"/>
      <c r="BA195" s="166"/>
      <c r="BB195" s="166"/>
      <c r="BC195" s="166"/>
      <c r="BD195" s="166"/>
      <c r="CR195" s="411"/>
      <c r="CS195" s="411"/>
      <c r="DX195" s="166"/>
      <c r="DY195" s="166"/>
      <c r="EB195" s="166"/>
      <c r="EC195" s="166"/>
      <c r="EN195" s="174"/>
    </row>
    <row r="196" spans="1:144" ht="18" customHeight="1">
      <c r="A196" s="166"/>
      <c r="B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166"/>
      <c r="AB196" s="166"/>
      <c r="AC196" s="166"/>
      <c r="AD196" s="166"/>
      <c r="AE196" s="166"/>
      <c r="AF196" s="166"/>
      <c r="AG196" s="166"/>
      <c r="AH196" s="166"/>
      <c r="AI196" s="166"/>
      <c r="AL196" s="166"/>
      <c r="AM196" s="166"/>
      <c r="AN196" s="166"/>
      <c r="AO196" s="166"/>
      <c r="AP196" s="166"/>
      <c r="AQ196" s="166"/>
      <c r="AR196" s="166"/>
      <c r="AS196" s="166"/>
      <c r="AT196" s="166"/>
      <c r="AU196" s="166"/>
      <c r="AV196" s="166"/>
      <c r="AW196" s="166"/>
      <c r="AX196" s="166"/>
      <c r="AY196" s="166"/>
      <c r="AZ196" s="166"/>
      <c r="BA196" s="166"/>
      <c r="BB196" s="166"/>
      <c r="BC196" s="166"/>
      <c r="BD196" s="166"/>
      <c r="CR196" s="411"/>
      <c r="CS196" s="411"/>
      <c r="DX196" s="166"/>
      <c r="DY196" s="166"/>
      <c r="EB196" s="166"/>
      <c r="EC196" s="166"/>
      <c r="EN196" s="174"/>
    </row>
    <row r="197" spans="1:144" ht="18" customHeight="1">
      <c r="A197" s="166"/>
      <c r="B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L197" s="166"/>
      <c r="AM197" s="166"/>
      <c r="AN197" s="166"/>
      <c r="AO197" s="166"/>
      <c r="AP197" s="166"/>
      <c r="AQ197" s="166"/>
      <c r="AR197" s="166"/>
      <c r="AS197" s="166"/>
      <c r="AT197" s="166"/>
      <c r="AU197" s="166"/>
      <c r="AV197" s="166"/>
      <c r="AW197" s="166"/>
      <c r="AX197" s="166"/>
      <c r="AY197" s="166"/>
      <c r="AZ197" s="166"/>
      <c r="BA197" s="166"/>
      <c r="BB197" s="166"/>
      <c r="BC197" s="166"/>
      <c r="BD197" s="166"/>
      <c r="CR197" s="411"/>
      <c r="CS197" s="411"/>
      <c r="DX197" s="166"/>
      <c r="DY197" s="166"/>
      <c r="EB197" s="166"/>
      <c r="EC197" s="166"/>
      <c r="EN197" s="174"/>
    </row>
    <row r="198" spans="1:144" ht="18" customHeight="1">
      <c r="A198" s="166"/>
      <c r="B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c r="AB198" s="166"/>
      <c r="AC198" s="166"/>
      <c r="AD198" s="166"/>
      <c r="AE198" s="166"/>
      <c r="AF198" s="166"/>
      <c r="AG198" s="166"/>
      <c r="AH198" s="166"/>
      <c r="AI198" s="166"/>
      <c r="AL198" s="166"/>
      <c r="AM198" s="166"/>
      <c r="AN198" s="166"/>
      <c r="AO198" s="166"/>
      <c r="AP198" s="166"/>
      <c r="AQ198" s="166"/>
      <c r="AR198" s="166"/>
      <c r="AS198" s="166"/>
      <c r="AT198" s="166"/>
      <c r="AU198" s="166"/>
      <c r="AV198" s="166"/>
      <c r="AW198" s="166"/>
      <c r="AX198" s="166"/>
      <c r="AY198" s="166"/>
      <c r="AZ198" s="166"/>
      <c r="BA198" s="166"/>
      <c r="BB198" s="166"/>
      <c r="BC198" s="166"/>
      <c r="BD198" s="166"/>
      <c r="CR198" s="411"/>
      <c r="CS198" s="411"/>
      <c r="DX198" s="166"/>
      <c r="DY198" s="166"/>
      <c r="EB198" s="166"/>
      <c r="EC198" s="166"/>
      <c r="EN198" s="174"/>
    </row>
    <row r="199" spans="1:144" ht="18" customHeight="1">
      <c r="A199" s="166"/>
      <c r="B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166"/>
      <c r="AB199" s="166"/>
      <c r="AC199" s="166"/>
      <c r="AD199" s="166"/>
      <c r="AE199" s="166"/>
      <c r="AF199" s="166"/>
      <c r="AG199" s="166"/>
      <c r="AH199" s="166"/>
      <c r="AI199" s="166"/>
      <c r="AL199" s="166"/>
      <c r="AM199" s="166"/>
      <c r="AN199" s="166"/>
      <c r="AO199" s="166"/>
      <c r="AP199" s="166"/>
      <c r="AQ199" s="166"/>
      <c r="AR199" s="166"/>
      <c r="AS199" s="166"/>
      <c r="AT199" s="166"/>
      <c r="AU199" s="166"/>
      <c r="AV199" s="166"/>
      <c r="AW199" s="166"/>
      <c r="AX199" s="166"/>
      <c r="AY199" s="166"/>
      <c r="AZ199" s="166"/>
      <c r="BA199" s="166"/>
      <c r="BB199" s="166"/>
      <c r="BC199" s="166"/>
      <c r="BD199" s="166"/>
      <c r="CR199" s="411"/>
      <c r="CS199" s="411"/>
      <c r="DX199" s="166"/>
      <c r="DY199" s="166"/>
      <c r="EB199" s="166"/>
      <c r="EC199" s="166"/>
      <c r="EN199" s="174"/>
    </row>
    <row r="200" spans="1:144" ht="18" customHeight="1">
      <c r="A200" s="166"/>
      <c r="B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c r="AA200" s="166"/>
      <c r="AB200" s="166"/>
      <c r="AC200" s="166"/>
      <c r="AD200" s="166"/>
      <c r="AE200" s="166"/>
      <c r="AF200" s="166"/>
      <c r="AG200" s="166"/>
      <c r="AH200" s="166"/>
      <c r="AI200" s="166"/>
      <c r="AL200" s="166"/>
      <c r="AM200" s="166"/>
      <c r="AN200" s="166"/>
      <c r="AO200" s="166"/>
      <c r="AP200" s="166"/>
      <c r="AQ200" s="166"/>
      <c r="AR200" s="166"/>
      <c r="AS200" s="166"/>
      <c r="AT200" s="166"/>
      <c r="AU200" s="166"/>
      <c r="AV200" s="166"/>
      <c r="AW200" s="166"/>
      <c r="AX200" s="166"/>
      <c r="AY200" s="166"/>
      <c r="AZ200" s="166"/>
      <c r="BA200" s="166"/>
      <c r="BB200" s="166"/>
      <c r="BC200" s="166"/>
      <c r="BD200" s="166"/>
      <c r="CR200" s="411"/>
      <c r="CS200" s="411"/>
      <c r="DX200" s="166"/>
      <c r="DY200" s="166"/>
      <c r="EB200" s="166"/>
      <c r="EC200" s="166"/>
      <c r="EN200" s="174"/>
    </row>
    <row r="201" spans="1:144" ht="18" customHeight="1">
      <c r="A201" s="166"/>
      <c r="B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166"/>
      <c r="AB201" s="166"/>
      <c r="AC201" s="166"/>
      <c r="AD201" s="166"/>
      <c r="AE201" s="166"/>
      <c r="AF201" s="166"/>
      <c r="AG201" s="166"/>
      <c r="AH201" s="166"/>
      <c r="AI201" s="166"/>
      <c r="AL201" s="166"/>
      <c r="AM201" s="166"/>
      <c r="AN201" s="166"/>
      <c r="AO201" s="166"/>
      <c r="AP201" s="166"/>
      <c r="AQ201" s="166"/>
      <c r="AR201" s="166"/>
      <c r="AS201" s="166"/>
      <c r="AT201" s="166"/>
      <c r="AU201" s="166"/>
      <c r="AV201" s="166"/>
      <c r="AW201" s="166"/>
      <c r="AX201" s="166"/>
      <c r="AY201" s="166"/>
      <c r="AZ201" s="166"/>
      <c r="BA201" s="166"/>
      <c r="BB201" s="166"/>
      <c r="BC201" s="166"/>
      <c r="BD201" s="166"/>
      <c r="CR201" s="411"/>
      <c r="CS201" s="411"/>
      <c r="DX201" s="166"/>
      <c r="DY201" s="166"/>
      <c r="EB201" s="166"/>
      <c r="EC201" s="166"/>
      <c r="EN201" s="174"/>
    </row>
    <row r="202" spans="1:144" ht="18" customHeight="1">
      <c r="A202" s="166"/>
      <c r="B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c r="AB202" s="166"/>
      <c r="AC202" s="166"/>
      <c r="AD202" s="166"/>
      <c r="AE202" s="166"/>
      <c r="AF202" s="166"/>
      <c r="AG202" s="166"/>
      <c r="AH202" s="166"/>
      <c r="AI202" s="166"/>
      <c r="AL202" s="166"/>
      <c r="AM202" s="166"/>
      <c r="AN202" s="166"/>
      <c r="AO202" s="166"/>
      <c r="AP202" s="166"/>
      <c r="AQ202" s="166"/>
      <c r="AR202" s="166"/>
      <c r="AS202" s="166"/>
      <c r="AT202" s="166"/>
      <c r="AU202" s="166"/>
      <c r="AV202" s="166"/>
      <c r="AW202" s="166"/>
      <c r="AX202" s="166"/>
      <c r="AY202" s="166"/>
      <c r="AZ202" s="166"/>
      <c r="BA202" s="166"/>
      <c r="BB202" s="166"/>
      <c r="BC202" s="166"/>
      <c r="BD202" s="166"/>
      <c r="CR202" s="411"/>
      <c r="CS202" s="411"/>
      <c r="DX202" s="166"/>
      <c r="DY202" s="166"/>
      <c r="EB202" s="166"/>
      <c r="EC202" s="166"/>
      <c r="EN202" s="174"/>
    </row>
    <row r="203" spans="1:144" ht="18" customHeight="1">
      <c r="A203" s="166"/>
      <c r="B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166"/>
      <c r="AB203" s="166"/>
      <c r="AC203" s="166"/>
      <c r="AD203" s="166"/>
      <c r="AE203" s="166"/>
      <c r="AF203" s="166"/>
      <c r="AG203" s="166"/>
      <c r="AH203" s="166"/>
      <c r="AI203" s="166"/>
      <c r="AL203" s="166"/>
      <c r="AM203" s="166"/>
      <c r="AN203" s="166"/>
      <c r="AO203" s="166"/>
      <c r="AP203" s="166"/>
      <c r="AQ203" s="166"/>
      <c r="AR203" s="166"/>
      <c r="AS203" s="166"/>
      <c r="AT203" s="166"/>
      <c r="AU203" s="166"/>
      <c r="AV203" s="166"/>
      <c r="AW203" s="166"/>
      <c r="AX203" s="166"/>
      <c r="AY203" s="166"/>
      <c r="AZ203" s="166"/>
      <c r="BA203" s="166"/>
      <c r="BB203" s="166"/>
      <c r="BC203" s="166"/>
      <c r="BD203" s="166"/>
      <c r="CR203" s="411"/>
      <c r="CS203" s="411"/>
      <c r="DX203" s="166"/>
      <c r="DY203" s="166"/>
      <c r="EB203" s="166"/>
      <c r="EC203" s="166"/>
      <c r="EN203" s="174"/>
    </row>
    <row r="204" spans="1:144" ht="18" customHeight="1">
      <c r="A204" s="166"/>
      <c r="B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166"/>
      <c r="AB204" s="166"/>
      <c r="AC204" s="166"/>
      <c r="AD204" s="166"/>
      <c r="AE204" s="166"/>
      <c r="AF204" s="166"/>
      <c r="AG204" s="166"/>
      <c r="AH204" s="166"/>
      <c r="AI204" s="166"/>
      <c r="AL204" s="166"/>
      <c r="AM204" s="166"/>
      <c r="AN204" s="166"/>
      <c r="AO204" s="166"/>
      <c r="AP204" s="166"/>
      <c r="AQ204" s="166"/>
      <c r="AR204" s="166"/>
      <c r="AS204" s="166"/>
      <c r="AT204" s="166"/>
      <c r="AU204" s="166"/>
      <c r="AV204" s="166"/>
      <c r="AW204" s="166"/>
      <c r="AX204" s="166"/>
      <c r="AY204" s="166"/>
      <c r="AZ204" s="166"/>
      <c r="BA204" s="166"/>
      <c r="BB204" s="166"/>
      <c r="BC204" s="166"/>
      <c r="BD204" s="166"/>
      <c r="CR204" s="411"/>
      <c r="CS204" s="411"/>
      <c r="DX204" s="166"/>
      <c r="DY204" s="166"/>
      <c r="EB204" s="166"/>
      <c r="EC204" s="166"/>
      <c r="EN204" s="174"/>
    </row>
    <row r="205" spans="1:144" ht="18" customHeight="1">
      <c r="A205" s="166"/>
      <c r="B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166"/>
      <c r="AB205" s="166"/>
      <c r="AC205" s="166"/>
      <c r="AD205" s="166"/>
      <c r="AE205" s="166"/>
      <c r="AF205" s="166"/>
      <c r="AG205" s="166"/>
      <c r="AH205" s="166"/>
      <c r="AI205" s="166"/>
      <c r="AL205" s="166"/>
      <c r="AM205" s="166"/>
      <c r="AN205" s="166"/>
      <c r="AO205" s="166"/>
      <c r="AP205" s="166"/>
      <c r="AQ205" s="166"/>
      <c r="AR205" s="166"/>
      <c r="AS205" s="166"/>
      <c r="AT205" s="166"/>
      <c r="AU205" s="166"/>
      <c r="AV205" s="166"/>
      <c r="AW205" s="166"/>
      <c r="AX205" s="166"/>
      <c r="AY205" s="166"/>
      <c r="AZ205" s="166"/>
      <c r="BA205" s="166"/>
      <c r="BB205" s="166"/>
      <c r="BC205" s="166"/>
      <c r="BD205" s="166"/>
      <c r="CR205" s="411"/>
      <c r="CS205" s="411"/>
      <c r="DX205" s="166"/>
      <c r="DY205" s="166"/>
      <c r="EB205" s="166"/>
      <c r="EC205" s="166"/>
      <c r="EN205" s="174"/>
    </row>
    <row r="206" spans="1:144" ht="18" customHeight="1">
      <c r="A206" s="166"/>
      <c r="B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166"/>
      <c r="AB206" s="166"/>
      <c r="AC206" s="166"/>
      <c r="AD206" s="166"/>
      <c r="AE206" s="166"/>
      <c r="AF206" s="166"/>
      <c r="AG206" s="166"/>
      <c r="AH206" s="166"/>
      <c r="AI206" s="166"/>
      <c r="AL206" s="166"/>
      <c r="AM206" s="166"/>
      <c r="AN206" s="166"/>
      <c r="AO206" s="166"/>
      <c r="AP206" s="166"/>
      <c r="AQ206" s="166"/>
      <c r="AR206" s="166"/>
      <c r="AS206" s="166"/>
      <c r="AT206" s="166"/>
      <c r="AU206" s="166"/>
      <c r="AV206" s="166"/>
      <c r="AW206" s="166"/>
      <c r="AX206" s="166"/>
      <c r="AY206" s="166"/>
      <c r="AZ206" s="166"/>
      <c r="BA206" s="166"/>
      <c r="BB206" s="166"/>
      <c r="BC206" s="166"/>
      <c r="BD206" s="166"/>
      <c r="CR206" s="411"/>
      <c r="CS206" s="411"/>
      <c r="DX206" s="166"/>
      <c r="DY206" s="166"/>
      <c r="EB206" s="166"/>
      <c r="EC206" s="166"/>
      <c r="EN206" s="174"/>
    </row>
    <row r="207" spans="1:144" ht="18" customHeight="1">
      <c r="A207" s="166"/>
      <c r="B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c r="AB207" s="166"/>
      <c r="AC207" s="166"/>
      <c r="AD207" s="166"/>
      <c r="AE207" s="166"/>
      <c r="AF207" s="166"/>
      <c r="AG207" s="166"/>
      <c r="AH207" s="166"/>
      <c r="AI207" s="166"/>
      <c r="AN207" s="166"/>
      <c r="AO207" s="166"/>
      <c r="AP207" s="166"/>
      <c r="AQ207" s="166"/>
      <c r="AR207" s="166"/>
      <c r="AS207" s="166"/>
      <c r="AT207" s="166"/>
      <c r="AU207" s="166"/>
      <c r="AV207" s="166"/>
      <c r="AW207" s="166"/>
      <c r="AX207" s="166"/>
      <c r="AY207" s="166"/>
      <c r="AZ207" s="166"/>
      <c r="BA207" s="166"/>
      <c r="BB207" s="166"/>
      <c r="BC207" s="166"/>
      <c r="BD207" s="166"/>
      <c r="CR207" s="411"/>
      <c r="CS207" s="411"/>
      <c r="DX207" s="166"/>
      <c r="DY207" s="166"/>
      <c r="EB207" s="166"/>
      <c r="EC207" s="166"/>
      <c r="EN207" s="174"/>
    </row>
    <row r="208" spans="1:144" ht="18" customHeight="1">
      <c r="A208" s="166"/>
      <c r="B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c r="AB208" s="166"/>
      <c r="AC208" s="166"/>
      <c r="AD208" s="166"/>
      <c r="AE208" s="166"/>
      <c r="AF208" s="166"/>
      <c r="AG208" s="166"/>
      <c r="AH208" s="166"/>
      <c r="AI208" s="166"/>
      <c r="AL208" s="166"/>
      <c r="AM208" s="166"/>
      <c r="AN208" s="166"/>
      <c r="AO208" s="166"/>
      <c r="AP208" s="166"/>
      <c r="AQ208" s="166"/>
      <c r="AR208" s="166"/>
      <c r="AS208" s="166"/>
      <c r="AT208" s="166"/>
      <c r="AU208" s="166"/>
      <c r="AV208" s="166"/>
      <c r="AW208" s="166"/>
      <c r="AX208" s="166"/>
      <c r="AY208" s="166"/>
      <c r="AZ208" s="166"/>
      <c r="BA208" s="166"/>
      <c r="BB208" s="166"/>
      <c r="BC208" s="166"/>
      <c r="BD208" s="166"/>
      <c r="CR208" s="411"/>
      <c r="CS208" s="411"/>
      <c r="DX208" s="166"/>
      <c r="DY208" s="166"/>
      <c r="EB208" s="166"/>
      <c r="EC208" s="166"/>
      <c r="EN208" s="174"/>
    </row>
    <row r="209" spans="1:144" ht="18" customHeight="1">
      <c r="A209" s="166"/>
      <c r="B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c r="AB209" s="166"/>
      <c r="AC209" s="166"/>
      <c r="AD209" s="166"/>
      <c r="AE209" s="166"/>
      <c r="AF209" s="166"/>
      <c r="AG209" s="166"/>
      <c r="AH209" s="166"/>
      <c r="AI209" s="166"/>
      <c r="AN209" s="166"/>
      <c r="AO209" s="166"/>
      <c r="AP209" s="166"/>
      <c r="AQ209" s="166"/>
      <c r="AR209" s="166"/>
      <c r="AS209" s="166"/>
      <c r="AT209" s="166"/>
      <c r="AU209" s="166"/>
      <c r="AV209" s="166"/>
      <c r="AW209" s="166"/>
      <c r="AX209" s="166"/>
      <c r="AY209" s="166"/>
      <c r="AZ209" s="166"/>
      <c r="BA209" s="166"/>
      <c r="BB209" s="166"/>
      <c r="BC209" s="166"/>
      <c r="BD209" s="166"/>
      <c r="CR209" s="411"/>
      <c r="CS209" s="411"/>
      <c r="DX209" s="166"/>
      <c r="DY209" s="166"/>
      <c r="EB209" s="166"/>
      <c r="EC209" s="166"/>
      <c r="EN209" s="174"/>
    </row>
    <row r="210" spans="1:144" ht="18" customHeight="1">
      <c r="A210" s="166"/>
      <c r="B210" s="166"/>
      <c r="D210" s="166"/>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c r="AA210" s="166"/>
      <c r="AB210" s="166"/>
      <c r="AC210" s="166"/>
      <c r="AD210" s="166"/>
      <c r="AE210" s="166"/>
      <c r="AF210" s="166"/>
      <c r="AG210" s="166"/>
      <c r="AH210" s="166"/>
      <c r="AI210" s="166"/>
      <c r="AN210" s="166"/>
      <c r="AO210" s="166"/>
      <c r="AP210" s="166"/>
      <c r="AQ210" s="166"/>
      <c r="AR210" s="166"/>
      <c r="AS210" s="166"/>
      <c r="AT210" s="166"/>
      <c r="AU210" s="166"/>
      <c r="AV210" s="166"/>
      <c r="AW210" s="166"/>
      <c r="AX210" s="166"/>
      <c r="AY210" s="166"/>
      <c r="AZ210" s="166"/>
      <c r="BA210" s="166"/>
      <c r="BB210" s="166"/>
      <c r="BC210" s="166"/>
      <c r="BD210" s="166"/>
      <c r="CR210" s="411"/>
      <c r="CS210" s="411"/>
      <c r="DX210" s="166"/>
      <c r="DY210" s="166"/>
      <c r="EB210" s="166"/>
      <c r="EC210" s="166"/>
      <c r="EN210" s="174"/>
    </row>
    <row r="211" spans="1:144" ht="18" customHeight="1">
      <c r="A211" s="166"/>
      <c r="B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c r="AA211" s="166"/>
      <c r="AB211" s="166"/>
      <c r="AC211" s="166"/>
      <c r="AD211" s="166"/>
      <c r="AE211" s="166"/>
      <c r="AF211" s="166"/>
      <c r="AG211" s="166"/>
      <c r="AH211" s="166"/>
      <c r="AI211" s="166"/>
      <c r="AN211" s="166"/>
      <c r="AO211" s="166"/>
      <c r="AP211" s="166"/>
      <c r="AQ211" s="166"/>
      <c r="AR211" s="166"/>
      <c r="AS211" s="166"/>
      <c r="AT211" s="166"/>
      <c r="AU211" s="166"/>
      <c r="AV211" s="166"/>
      <c r="AW211" s="166"/>
      <c r="AX211" s="166"/>
      <c r="AY211" s="166"/>
      <c r="AZ211" s="166"/>
      <c r="BA211" s="166"/>
      <c r="BB211" s="166"/>
      <c r="BC211" s="166"/>
      <c r="BD211" s="166"/>
      <c r="CR211" s="411"/>
      <c r="CS211" s="411"/>
      <c r="DX211" s="166"/>
      <c r="DY211" s="166"/>
      <c r="EB211" s="166"/>
      <c r="EC211" s="166"/>
      <c r="EN211" s="174"/>
    </row>
    <row r="212" spans="1:144" ht="18" customHeight="1">
      <c r="A212" s="166"/>
      <c r="B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c r="AA212" s="166"/>
      <c r="AB212" s="166"/>
      <c r="AC212" s="166"/>
      <c r="AD212" s="166"/>
      <c r="AE212" s="166"/>
      <c r="AF212" s="166"/>
      <c r="AG212" s="166"/>
      <c r="AH212" s="166"/>
      <c r="AI212" s="166"/>
      <c r="AN212" s="166"/>
      <c r="AO212" s="166"/>
      <c r="AP212" s="166"/>
      <c r="AQ212" s="166"/>
      <c r="AR212" s="166"/>
      <c r="AS212" s="166"/>
      <c r="AT212" s="166"/>
      <c r="AU212" s="166"/>
      <c r="AV212" s="166"/>
      <c r="AW212" s="166"/>
      <c r="AX212" s="166"/>
      <c r="AY212" s="166"/>
      <c r="AZ212" s="166"/>
      <c r="BA212" s="166"/>
      <c r="BB212" s="166"/>
      <c r="BC212" s="166"/>
      <c r="BD212" s="166"/>
      <c r="CR212" s="411"/>
      <c r="CS212" s="411"/>
      <c r="DX212" s="166"/>
      <c r="DY212" s="166"/>
      <c r="EB212" s="166"/>
      <c r="EC212" s="166"/>
      <c r="EN212" s="174"/>
    </row>
    <row r="213" spans="1:144" ht="18" customHeight="1">
      <c r="A213" s="166"/>
      <c r="B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c r="AA213" s="166"/>
      <c r="AB213" s="166"/>
      <c r="AC213" s="166"/>
      <c r="AD213" s="166"/>
      <c r="AE213" s="166"/>
      <c r="AF213" s="166"/>
      <c r="AG213" s="166"/>
      <c r="AH213" s="166"/>
      <c r="AI213" s="166"/>
      <c r="AN213" s="166"/>
      <c r="AO213" s="166"/>
      <c r="AP213" s="166"/>
      <c r="AQ213" s="166"/>
      <c r="AR213" s="166"/>
      <c r="AS213" s="166"/>
      <c r="AT213" s="166"/>
      <c r="AU213" s="166"/>
      <c r="AV213" s="166"/>
      <c r="AW213" s="166"/>
      <c r="AX213" s="166"/>
      <c r="AY213" s="166"/>
      <c r="AZ213" s="166"/>
      <c r="BA213" s="166"/>
      <c r="BB213" s="166"/>
      <c r="BC213" s="166"/>
      <c r="BD213" s="166"/>
      <c r="CR213" s="411"/>
      <c r="CS213" s="411"/>
      <c r="DX213" s="166"/>
      <c r="DY213" s="166"/>
      <c r="EB213" s="166"/>
      <c r="EC213" s="166"/>
      <c r="EN213" s="174"/>
    </row>
    <row r="214" spans="1:144" ht="18" customHeight="1">
      <c r="A214" s="166"/>
      <c r="B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c r="AA214" s="166"/>
      <c r="AB214" s="166"/>
      <c r="AC214" s="166"/>
      <c r="AD214" s="166"/>
      <c r="AE214" s="166"/>
      <c r="AF214" s="166"/>
      <c r="AG214" s="166"/>
      <c r="AH214" s="166"/>
      <c r="AI214" s="166"/>
      <c r="AN214" s="166"/>
      <c r="AO214" s="166"/>
      <c r="AP214" s="166"/>
      <c r="AQ214" s="166"/>
      <c r="AR214" s="166"/>
      <c r="AS214" s="166"/>
      <c r="AT214" s="166"/>
      <c r="AU214" s="166"/>
      <c r="AV214" s="166"/>
      <c r="AW214" s="166"/>
      <c r="AX214" s="166"/>
      <c r="AY214" s="166"/>
      <c r="AZ214" s="166"/>
      <c r="BA214" s="166"/>
      <c r="BB214" s="166"/>
      <c r="BC214" s="166"/>
      <c r="BD214" s="166"/>
      <c r="CR214" s="411"/>
      <c r="CS214" s="411"/>
      <c r="DX214" s="166"/>
      <c r="DY214" s="166"/>
      <c r="EB214" s="166"/>
      <c r="EC214" s="166"/>
      <c r="EN214" s="174"/>
    </row>
    <row r="215" spans="1:144" ht="18" customHeight="1">
      <c r="A215" s="166"/>
      <c r="B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c r="AA215" s="166"/>
      <c r="AB215" s="166"/>
      <c r="AC215" s="166"/>
      <c r="AD215" s="166"/>
      <c r="AE215" s="166"/>
      <c r="AF215" s="166"/>
      <c r="AG215" s="166"/>
      <c r="AH215" s="166"/>
      <c r="AI215" s="166"/>
      <c r="AN215" s="166"/>
      <c r="AO215" s="166"/>
      <c r="AP215" s="166"/>
      <c r="AQ215" s="166"/>
      <c r="AR215" s="166"/>
      <c r="AS215" s="166"/>
      <c r="AT215" s="166"/>
      <c r="AU215" s="166"/>
      <c r="AV215" s="166"/>
      <c r="AW215" s="166"/>
      <c r="AX215" s="166"/>
      <c r="AY215" s="166"/>
      <c r="AZ215" s="166"/>
      <c r="BA215" s="166"/>
      <c r="BB215" s="166"/>
      <c r="BC215" s="166"/>
      <c r="BD215" s="166"/>
      <c r="CR215" s="411"/>
      <c r="CS215" s="411"/>
      <c r="DX215" s="166"/>
      <c r="DY215" s="166"/>
      <c r="EB215" s="166"/>
      <c r="EC215" s="166"/>
    </row>
    <row r="216" spans="1:144" ht="18" customHeight="1">
      <c r="A216" s="166"/>
      <c r="B216" s="166"/>
      <c r="D216" s="166"/>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c r="AA216" s="166"/>
      <c r="AB216" s="166"/>
      <c r="AC216" s="166"/>
      <c r="AD216" s="166"/>
      <c r="AE216" s="166"/>
      <c r="AF216" s="166"/>
      <c r="AG216" s="166"/>
      <c r="AH216" s="166"/>
      <c r="AI216" s="166"/>
      <c r="AN216" s="166"/>
      <c r="AO216" s="166"/>
      <c r="AP216" s="166"/>
      <c r="AQ216" s="166"/>
      <c r="AR216" s="166"/>
      <c r="AS216" s="166"/>
      <c r="AT216" s="166"/>
      <c r="AU216" s="166"/>
      <c r="AV216" s="166"/>
      <c r="AW216" s="166"/>
      <c r="AX216" s="166"/>
      <c r="AY216" s="166"/>
      <c r="AZ216" s="166"/>
      <c r="BA216" s="166"/>
      <c r="BB216" s="166"/>
      <c r="BC216" s="166"/>
      <c r="BD216" s="166"/>
      <c r="CR216" s="411"/>
      <c r="CS216" s="411"/>
      <c r="DX216" s="166"/>
      <c r="DY216" s="166"/>
      <c r="EB216" s="166"/>
      <c r="EC216" s="166"/>
    </row>
    <row r="217" spans="1:144" ht="18" customHeight="1">
      <c r="A217" s="166"/>
      <c r="B217" s="166"/>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c r="AA217" s="166"/>
      <c r="AB217" s="166"/>
      <c r="AC217" s="166"/>
      <c r="AD217" s="166"/>
      <c r="AE217" s="166"/>
      <c r="AF217" s="166"/>
      <c r="AG217" s="166"/>
      <c r="AH217" s="166"/>
      <c r="AI217" s="166"/>
      <c r="AN217" s="166"/>
      <c r="AO217" s="166"/>
      <c r="AP217" s="166"/>
      <c r="AQ217" s="166"/>
      <c r="AR217" s="166"/>
      <c r="AS217" s="166"/>
      <c r="AT217" s="166"/>
      <c r="AU217" s="166"/>
      <c r="AV217" s="166"/>
      <c r="AW217" s="166"/>
      <c r="AX217" s="166"/>
      <c r="AY217" s="166"/>
      <c r="AZ217" s="166"/>
      <c r="BA217" s="166"/>
      <c r="BB217" s="166"/>
      <c r="BC217" s="166"/>
      <c r="BD217" s="166"/>
      <c r="CR217" s="411"/>
      <c r="CS217" s="411"/>
      <c r="DX217" s="166"/>
      <c r="DY217" s="166"/>
      <c r="EB217" s="166"/>
      <c r="EC217" s="166"/>
    </row>
    <row r="218" spans="1:144" ht="18" customHeight="1">
      <c r="A218" s="166"/>
      <c r="B218" s="166"/>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c r="AA218" s="166"/>
      <c r="AB218" s="166"/>
      <c r="AC218" s="166"/>
      <c r="AD218" s="166"/>
      <c r="AE218" s="166"/>
      <c r="AF218" s="166"/>
      <c r="AG218" s="166"/>
      <c r="AH218" s="166"/>
      <c r="AI218" s="166"/>
      <c r="AN218" s="166"/>
      <c r="AO218" s="166"/>
      <c r="AP218" s="166"/>
      <c r="AQ218" s="166"/>
      <c r="AR218" s="166"/>
      <c r="AS218" s="166"/>
      <c r="AT218" s="166"/>
      <c r="AU218" s="166"/>
      <c r="AV218" s="166"/>
      <c r="AW218" s="166"/>
      <c r="AX218" s="166"/>
      <c r="AY218" s="166"/>
      <c r="AZ218" s="166"/>
      <c r="BA218" s="166"/>
      <c r="BB218" s="166"/>
      <c r="BC218" s="166"/>
      <c r="BD218" s="166"/>
      <c r="CR218" s="411"/>
      <c r="CS218" s="411"/>
      <c r="DX218" s="166"/>
      <c r="DY218" s="166"/>
      <c r="EB218" s="166"/>
      <c r="EC218" s="166"/>
    </row>
    <row r="219" spans="1:144" ht="18" customHeight="1">
      <c r="A219" s="166"/>
      <c r="B219" s="166"/>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c r="AA219" s="166"/>
      <c r="AB219" s="166"/>
      <c r="AC219" s="166"/>
      <c r="AD219" s="166"/>
      <c r="AE219" s="166"/>
      <c r="AF219" s="166"/>
      <c r="AG219" s="166"/>
      <c r="AH219" s="166"/>
      <c r="AI219" s="166"/>
      <c r="AN219" s="166"/>
      <c r="AO219" s="166"/>
      <c r="AP219" s="166"/>
      <c r="AQ219" s="166"/>
      <c r="AR219" s="166"/>
      <c r="AS219" s="166"/>
      <c r="AT219" s="166"/>
      <c r="AU219" s="166"/>
      <c r="AV219" s="166"/>
      <c r="AW219" s="166"/>
      <c r="AX219" s="166"/>
      <c r="AY219" s="166"/>
      <c r="AZ219" s="166"/>
      <c r="BA219" s="166"/>
      <c r="BB219" s="166"/>
      <c r="BC219" s="166"/>
      <c r="BD219" s="166"/>
      <c r="CR219" s="411"/>
      <c r="CS219" s="411"/>
      <c r="DX219" s="166"/>
      <c r="DY219" s="166"/>
      <c r="EB219" s="166"/>
      <c r="EC219" s="166"/>
    </row>
    <row r="220" spans="1:144" ht="18" customHeight="1">
      <c r="A220" s="166"/>
      <c r="B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c r="AA220" s="166"/>
      <c r="AB220" s="166"/>
      <c r="AC220" s="166"/>
      <c r="AD220" s="166"/>
      <c r="AE220" s="166"/>
      <c r="AF220" s="166"/>
      <c r="AG220" s="166"/>
      <c r="AH220" s="166"/>
      <c r="AI220" s="166"/>
      <c r="AN220" s="166"/>
      <c r="AO220" s="166"/>
      <c r="AP220" s="166"/>
      <c r="AQ220" s="166"/>
      <c r="AR220" s="166"/>
      <c r="AS220" s="166"/>
      <c r="AT220" s="166"/>
      <c r="AU220" s="166"/>
      <c r="AV220" s="166"/>
      <c r="AW220" s="166"/>
      <c r="AX220" s="166"/>
      <c r="AY220" s="166"/>
      <c r="AZ220" s="166"/>
      <c r="BA220" s="166"/>
      <c r="BB220" s="166"/>
      <c r="BC220" s="166"/>
      <c r="BD220" s="166"/>
      <c r="CR220" s="411"/>
      <c r="CS220" s="411"/>
      <c r="DX220" s="166"/>
      <c r="DY220" s="166"/>
      <c r="EB220" s="166"/>
      <c r="EC220" s="166"/>
    </row>
    <row r="221" spans="1:144" ht="18" customHeight="1">
      <c r="A221" s="166"/>
      <c r="B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66"/>
      <c r="Z221" s="166"/>
      <c r="AA221" s="166"/>
      <c r="AB221" s="166"/>
      <c r="AC221" s="166"/>
      <c r="AD221" s="166"/>
      <c r="AE221" s="166"/>
      <c r="AF221" s="166"/>
      <c r="AG221" s="166"/>
      <c r="AH221" s="166"/>
      <c r="AI221" s="166"/>
      <c r="AN221" s="166"/>
      <c r="AO221" s="166"/>
      <c r="AP221" s="166"/>
      <c r="AQ221" s="166"/>
      <c r="AR221" s="166"/>
      <c r="AS221" s="166"/>
      <c r="AT221" s="166"/>
      <c r="AU221" s="166"/>
      <c r="AV221" s="166"/>
      <c r="AW221" s="166"/>
      <c r="AX221" s="166"/>
      <c r="AY221" s="166"/>
      <c r="AZ221" s="166"/>
      <c r="BA221" s="166"/>
      <c r="BB221" s="166"/>
      <c r="BC221" s="166"/>
      <c r="BD221" s="166"/>
      <c r="CR221" s="411"/>
      <c r="CS221" s="411"/>
      <c r="DX221" s="166"/>
      <c r="DY221" s="166"/>
      <c r="EB221" s="166"/>
      <c r="EC221" s="166"/>
    </row>
    <row r="222" spans="1:144" ht="18" customHeight="1">
      <c r="A222" s="166"/>
      <c r="B222" s="166"/>
      <c r="D222" s="166"/>
      <c r="E222" s="166"/>
      <c r="F222" s="166"/>
      <c r="G222" s="166"/>
      <c r="H222" s="166"/>
      <c r="I222" s="166"/>
      <c r="J222" s="166"/>
      <c r="K222" s="166"/>
      <c r="L222" s="166"/>
      <c r="M222" s="166"/>
      <c r="N222" s="166"/>
      <c r="O222" s="166"/>
      <c r="P222" s="166"/>
      <c r="Q222" s="166"/>
      <c r="R222" s="166"/>
      <c r="S222" s="166"/>
      <c r="T222" s="166"/>
      <c r="U222" s="166"/>
      <c r="V222" s="166"/>
      <c r="W222" s="166"/>
      <c r="X222" s="166"/>
      <c r="Y222" s="166"/>
      <c r="Z222" s="166"/>
      <c r="AA222" s="166"/>
      <c r="AB222" s="166"/>
      <c r="AC222" s="166"/>
      <c r="AD222" s="166"/>
      <c r="AE222" s="166"/>
      <c r="AF222" s="166"/>
      <c r="AG222" s="166"/>
      <c r="AH222" s="166"/>
      <c r="AI222" s="166"/>
      <c r="AN222" s="166"/>
      <c r="AO222" s="166"/>
      <c r="AP222" s="166"/>
      <c r="AQ222" s="166"/>
      <c r="AR222" s="166"/>
      <c r="AS222" s="166"/>
      <c r="AT222" s="166"/>
      <c r="AU222" s="166"/>
      <c r="AV222" s="166"/>
      <c r="AW222" s="166"/>
      <c r="AX222" s="166"/>
      <c r="AY222" s="166"/>
      <c r="AZ222" s="166"/>
      <c r="BA222" s="166"/>
      <c r="BB222" s="166"/>
      <c r="BC222" s="166"/>
      <c r="BD222" s="166"/>
      <c r="CR222" s="411"/>
      <c r="CS222" s="411"/>
      <c r="DX222" s="166"/>
      <c r="DY222" s="166"/>
      <c r="EB222" s="166"/>
      <c r="EC222" s="166"/>
    </row>
    <row r="223" spans="1:144" ht="18" customHeight="1">
      <c r="A223" s="166"/>
      <c r="B223" s="166"/>
      <c r="D223" s="166"/>
      <c r="E223" s="166"/>
      <c r="F223" s="166"/>
      <c r="G223" s="166"/>
      <c r="H223" s="166"/>
      <c r="I223" s="166"/>
      <c r="J223" s="166"/>
      <c r="K223" s="166"/>
      <c r="L223" s="166"/>
      <c r="M223" s="166"/>
      <c r="N223" s="166"/>
      <c r="O223" s="166"/>
      <c r="P223" s="166"/>
      <c r="Q223" s="166"/>
      <c r="R223" s="166"/>
      <c r="S223" s="166"/>
      <c r="T223" s="166"/>
      <c r="U223" s="166"/>
      <c r="V223" s="166"/>
      <c r="W223" s="166"/>
      <c r="X223" s="166"/>
      <c r="Y223" s="166"/>
      <c r="Z223" s="166"/>
      <c r="AA223" s="166"/>
      <c r="AB223" s="166"/>
      <c r="AC223" s="166"/>
      <c r="AD223" s="166"/>
      <c r="AE223" s="166"/>
      <c r="AF223" s="166"/>
      <c r="AG223" s="166"/>
      <c r="AH223" s="166"/>
      <c r="AI223" s="166"/>
      <c r="AN223" s="166"/>
      <c r="AO223" s="166"/>
      <c r="AP223" s="166"/>
      <c r="AQ223" s="166"/>
      <c r="AR223" s="166"/>
      <c r="AS223" s="166"/>
      <c r="AT223" s="166"/>
      <c r="AU223" s="166"/>
      <c r="AV223" s="166"/>
      <c r="AW223" s="166"/>
      <c r="AX223" s="166"/>
      <c r="AY223" s="166"/>
      <c r="AZ223" s="166"/>
      <c r="BA223" s="166"/>
      <c r="BB223" s="166"/>
      <c r="BC223" s="166"/>
      <c r="BD223" s="166"/>
      <c r="CR223" s="411"/>
      <c r="CS223" s="411"/>
      <c r="DX223" s="166"/>
      <c r="DY223" s="166"/>
      <c r="EB223" s="166"/>
      <c r="EC223" s="166"/>
    </row>
    <row r="224" spans="1:144" ht="18" customHeight="1">
      <c r="A224" s="166"/>
      <c r="B224" s="166"/>
      <c r="D224" s="166"/>
      <c r="E224" s="166"/>
      <c r="F224" s="166"/>
      <c r="G224" s="166"/>
      <c r="H224" s="166"/>
      <c r="I224" s="166"/>
      <c r="J224" s="166"/>
      <c r="K224" s="166"/>
      <c r="L224" s="166"/>
      <c r="M224" s="166"/>
      <c r="N224" s="166"/>
      <c r="O224" s="166"/>
      <c r="P224" s="166"/>
      <c r="Q224" s="166"/>
      <c r="R224" s="166"/>
      <c r="S224" s="166"/>
      <c r="T224" s="166"/>
      <c r="U224" s="166"/>
      <c r="V224" s="166"/>
      <c r="W224" s="166"/>
      <c r="X224" s="166"/>
      <c r="Y224" s="166"/>
      <c r="Z224" s="166"/>
      <c r="AA224" s="166"/>
      <c r="AB224" s="166"/>
      <c r="AC224" s="166"/>
      <c r="AD224" s="166"/>
      <c r="AE224" s="166"/>
      <c r="AF224" s="166"/>
      <c r="AG224" s="166"/>
      <c r="AH224" s="166"/>
      <c r="AI224" s="166"/>
      <c r="AN224" s="166"/>
      <c r="AO224" s="166"/>
      <c r="AP224" s="166"/>
      <c r="AQ224" s="166"/>
      <c r="AR224" s="166"/>
      <c r="AS224" s="166"/>
      <c r="AT224" s="166"/>
      <c r="AU224" s="166"/>
      <c r="AV224" s="166"/>
      <c r="AW224" s="166"/>
      <c r="AX224" s="166"/>
      <c r="AY224" s="166"/>
      <c r="AZ224" s="166"/>
      <c r="BA224" s="166"/>
      <c r="BB224" s="166"/>
      <c r="BC224" s="166"/>
      <c r="BD224" s="166"/>
      <c r="CR224" s="411"/>
      <c r="CS224" s="411"/>
      <c r="DX224" s="166"/>
      <c r="DY224" s="166"/>
      <c r="EB224" s="166"/>
      <c r="EC224" s="166"/>
    </row>
    <row r="225" spans="1:133" ht="18" customHeight="1">
      <c r="A225" s="166"/>
      <c r="B225" s="166"/>
      <c r="D225" s="166"/>
      <c r="E225" s="166"/>
      <c r="F225" s="166"/>
      <c r="G225" s="166"/>
      <c r="H225" s="166"/>
      <c r="I225" s="166"/>
      <c r="J225" s="166"/>
      <c r="K225" s="166"/>
      <c r="L225" s="166"/>
      <c r="M225" s="166"/>
      <c r="N225" s="166"/>
      <c r="O225" s="166"/>
      <c r="P225" s="166"/>
      <c r="Q225" s="166"/>
      <c r="R225" s="166"/>
      <c r="S225" s="166"/>
      <c r="T225" s="166"/>
      <c r="U225" s="166"/>
      <c r="V225" s="166"/>
      <c r="W225" s="166"/>
      <c r="X225" s="166"/>
      <c r="Y225" s="166"/>
      <c r="Z225" s="166"/>
      <c r="AA225" s="166"/>
      <c r="AB225" s="166"/>
      <c r="AC225" s="166"/>
      <c r="AD225" s="166"/>
      <c r="AE225" s="166"/>
      <c r="AF225" s="166"/>
      <c r="AG225" s="166"/>
      <c r="AH225" s="166"/>
      <c r="AI225" s="166"/>
      <c r="AN225" s="166"/>
      <c r="AO225" s="166"/>
      <c r="AP225" s="166"/>
      <c r="AQ225" s="166"/>
      <c r="AR225" s="166"/>
      <c r="AS225" s="166"/>
      <c r="AT225" s="166"/>
      <c r="AU225" s="166"/>
      <c r="AV225" s="166"/>
      <c r="AW225" s="166"/>
      <c r="AX225" s="166"/>
      <c r="AY225" s="166"/>
      <c r="AZ225" s="166"/>
      <c r="BA225" s="166"/>
      <c r="BB225" s="166"/>
      <c r="BC225" s="166"/>
      <c r="BD225" s="166"/>
      <c r="CR225" s="411"/>
      <c r="CS225" s="411"/>
      <c r="DX225" s="166"/>
      <c r="DY225" s="166"/>
      <c r="EB225" s="166"/>
      <c r="EC225" s="166"/>
    </row>
    <row r="226" spans="1:133" ht="18" customHeight="1">
      <c r="A226" s="166"/>
      <c r="B226" s="166"/>
      <c r="D226" s="166"/>
      <c r="E226" s="166"/>
      <c r="F226" s="166"/>
      <c r="G226" s="166"/>
      <c r="H226" s="166"/>
      <c r="I226" s="166"/>
      <c r="J226" s="166"/>
      <c r="K226" s="166"/>
      <c r="L226" s="166"/>
      <c r="M226" s="166"/>
      <c r="N226" s="166"/>
      <c r="O226" s="166"/>
      <c r="P226" s="166"/>
      <c r="Q226" s="166"/>
      <c r="R226" s="166"/>
      <c r="S226" s="166"/>
      <c r="T226" s="166"/>
      <c r="U226" s="166"/>
      <c r="V226" s="166"/>
      <c r="W226" s="166"/>
      <c r="X226" s="166"/>
      <c r="Y226" s="166"/>
      <c r="Z226" s="166"/>
      <c r="AA226" s="166"/>
      <c r="AB226" s="166"/>
      <c r="AC226" s="166"/>
      <c r="AD226" s="166"/>
      <c r="AE226" s="166"/>
      <c r="AF226" s="166"/>
      <c r="AG226" s="166"/>
      <c r="AH226" s="166"/>
      <c r="AI226" s="166"/>
      <c r="AN226" s="166"/>
      <c r="AO226" s="166"/>
      <c r="AP226" s="166"/>
      <c r="AQ226" s="166"/>
      <c r="AR226" s="166"/>
      <c r="AS226" s="166"/>
      <c r="AT226" s="166"/>
      <c r="AU226" s="166"/>
      <c r="AV226" s="166"/>
      <c r="AW226" s="166"/>
      <c r="AX226" s="166"/>
      <c r="AY226" s="166"/>
      <c r="AZ226" s="166"/>
      <c r="BA226" s="166"/>
      <c r="BB226" s="166"/>
      <c r="BC226" s="166"/>
      <c r="BD226" s="166"/>
      <c r="CR226" s="411"/>
      <c r="CS226" s="411"/>
      <c r="DX226" s="166"/>
      <c r="DY226" s="166"/>
      <c r="EB226" s="166"/>
      <c r="EC226" s="166"/>
    </row>
    <row r="227" spans="1:133" ht="18" customHeight="1">
      <c r="A227" s="166"/>
      <c r="B227" s="166"/>
      <c r="D227" s="166"/>
      <c r="E227" s="166"/>
      <c r="F227" s="166"/>
      <c r="G227" s="166"/>
      <c r="H227" s="166"/>
      <c r="I227" s="166"/>
      <c r="J227" s="166"/>
      <c r="K227" s="166"/>
      <c r="L227" s="166"/>
      <c r="M227" s="166"/>
      <c r="N227" s="166"/>
      <c r="O227" s="166"/>
      <c r="P227" s="166"/>
      <c r="Q227" s="166"/>
      <c r="R227" s="166"/>
      <c r="S227" s="166"/>
      <c r="T227" s="166"/>
      <c r="U227" s="166"/>
      <c r="V227" s="166"/>
      <c r="W227" s="166"/>
      <c r="X227" s="166"/>
      <c r="Y227" s="166"/>
      <c r="Z227" s="166"/>
      <c r="AA227" s="166"/>
      <c r="AB227" s="166"/>
      <c r="AC227" s="166"/>
      <c r="AD227" s="166"/>
      <c r="AE227" s="166"/>
      <c r="AF227" s="166"/>
      <c r="AG227" s="166"/>
      <c r="AH227" s="166"/>
      <c r="AI227" s="166"/>
      <c r="AN227" s="166"/>
      <c r="AO227" s="166"/>
      <c r="AP227" s="166"/>
      <c r="AQ227" s="166"/>
      <c r="AR227" s="166"/>
      <c r="AS227" s="166"/>
      <c r="AT227" s="166"/>
      <c r="AU227" s="166"/>
      <c r="AV227" s="166"/>
      <c r="AW227" s="166"/>
      <c r="AX227" s="166"/>
      <c r="AY227" s="166"/>
      <c r="AZ227" s="166"/>
      <c r="BA227" s="166"/>
      <c r="BB227" s="166"/>
      <c r="BC227" s="166"/>
      <c r="BD227" s="166"/>
      <c r="CR227" s="411"/>
      <c r="CS227" s="411"/>
      <c r="DX227" s="166"/>
      <c r="DY227" s="166"/>
      <c r="EB227" s="166"/>
      <c r="EC227" s="166"/>
    </row>
    <row r="228" spans="1:133" ht="18" customHeight="1">
      <c r="A228" s="166"/>
      <c r="B228" s="166"/>
      <c r="D228" s="166"/>
      <c r="E228" s="166"/>
      <c r="F228" s="166"/>
      <c r="G228" s="166"/>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c r="AF228" s="166"/>
      <c r="AG228" s="166"/>
      <c r="AH228" s="166"/>
      <c r="AI228" s="166"/>
      <c r="AN228" s="166"/>
      <c r="AO228" s="166"/>
      <c r="AP228" s="166"/>
      <c r="AQ228" s="166"/>
      <c r="AR228" s="166"/>
      <c r="AS228" s="166"/>
      <c r="AT228" s="166"/>
      <c r="AU228" s="166"/>
      <c r="AV228" s="166"/>
      <c r="AW228" s="166"/>
      <c r="AX228" s="166"/>
      <c r="AY228" s="166"/>
      <c r="AZ228" s="166"/>
      <c r="BA228" s="166"/>
      <c r="BB228" s="166"/>
      <c r="BC228" s="166"/>
      <c r="BD228" s="166"/>
      <c r="CR228" s="411"/>
      <c r="CS228" s="411"/>
      <c r="DX228" s="166"/>
      <c r="DY228" s="166"/>
      <c r="EB228" s="166"/>
      <c r="EC228" s="166"/>
    </row>
    <row r="229" spans="1:133" ht="18" customHeight="1">
      <c r="A229" s="166"/>
      <c r="B229" s="166"/>
      <c r="D229" s="166"/>
      <c r="E229" s="166"/>
      <c r="F229" s="166"/>
      <c r="G229" s="166"/>
      <c r="H229" s="166"/>
      <c r="I229" s="166"/>
      <c r="J229" s="166"/>
      <c r="K229" s="166"/>
      <c r="L229" s="166"/>
      <c r="M229" s="166"/>
      <c r="N229" s="166"/>
      <c r="O229" s="166"/>
      <c r="P229" s="166"/>
      <c r="Q229" s="166"/>
      <c r="R229" s="166"/>
      <c r="S229" s="166"/>
      <c r="T229" s="166"/>
      <c r="U229" s="166"/>
      <c r="V229" s="166"/>
      <c r="W229" s="166"/>
      <c r="X229" s="166"/>
      <c r="Y229" s="166"/>
      <c r="Z229" s="166"/>
      <c r="AA229" s="166"/>
      <c r="AB229" s="166"/>
      <c r="AC229" s="166"/>
      <c r="AD229" s="166"/>
      <c r="AE229" s="166"/>
      <c r="AF229" s="166"/>
      <c r="AG229" s="166"/>
      <c r="AH229" s="166"/>
      <c r="AI229" s="166"/>
      <c r="AN229" s="166"/>
      <c r="AO229" s="166"/>
      <c r="AP229" s="166"/>
      <c r="AQ229" s="166"/>
      <c r="AR229" s="166"/>
      <c r="AS229" s="166"/>
      <c r="AT229" s="166"/>
      <c r="AU229" s="166"/>
      <c r="AV229" s="166"/>
      <c r="AW229" s="166"/>
      <c r="AX229" s="166"/>
      <c r="AY229" s="166"/>
      <c r="AZ229" s="166"/>
      <c r="BA229" s="166"/>
      <c r="BB229" s="166"/>
      <c r="BC229" s="166"/>
      <c r="BD229" s="166"/>
      <c r="CR229" s="411"/>
      <c r="CS229" s="411"/>
      <c r="DX229" s="166"/>
      <c r="DY229" s="166"/>
      <c r="EB229" s="166"/>
      <c r="EC229" s="166"/>
    </row>
    <row r="230" spans="1:133" ht="18" customHeight="1">
      <c r="A230" s="166"/>
      <c r="B230" s="166"/>
      <c r="D230" s="166"/>
      <c r="E230" s="166"/>
      <c r="F230" s="166"/>
      <c r="G230" s="166"/>
      <c r="H230" s="166"/>
      <c r="I230" s="166"/>
      <c r="J230" s="166"/>
      <c r="K230" s="166"/>
      <c r="L230" s="166"/>
      <c r="M230" s="166"/>
      <c r="N230" s="166"/>
      <c r="O230" s="166"/>
      <c r="P230" s="166"/>
      <c r="Q230" s="166"/>
      <c r="R230" s="166"/>
      <c r="S230" s="166"/>
      <c r="T230" s="166"/>
      <c r="U230" s="166"/>
      <c r="V230" s="166"/>
      <c r="W230" s="166"/>
      <c r="X230" s="166"/>
      <c r="Y230" s="166"/>
      <c r="Z230" s="166"/>
      <c r="AA230" s="166"/>
      <c r="AB230" s="166"/>
      <c r="AC230" s="166"/>
      <c r="AD230" s="166"/>
      <c r="AE230" s="166"/>
      <c r="AF230" s="166"/>
      <c r="AG230" s="166"/>
      <c r="AH230" s="166"/>
      <c r="AI230" s="166"/>
      <c r="AN230" s="166"/>
      <c r="AO230" s="166"/>
      <c r="AP230" s="166"/>
      <c r="AQ230" s="166"/>
      <c r="AR230" s="166"/>
      <c r="AS230" s="166"/>
      <c r="AT230" s="166"/>
      <c r="AU230" s="166"/>
      <c r="AV230" s="166"/>
      <c r="AW230" s="166"/>
      <c r="AX230" s="166"/>
      <c r="AY230" s="166"/>
      <c r="AZ230" s="166"/>
      <c r="BA230" s="166"/>
      <c r="BB230" s="166"/>
      <c r="BC230" s="166"/>
      <c r="BD230" s="166"/>
      <c r="CR230" s="411"/>
      <c r="CS230" s="411"/>
      <c r="EC230" s="166"/>
    </row>
    <row r="231" spans="1:133" ht="18" customHeight="1">
      <c r="A231" s="166"/>
      <c r="B231" s="166"/>
      <c r="D231" s="166"/>
      <c r="E231" s="166"/>
      <c r="F231" s="166"/>
      <c r="G231" s="166"/>
      <c r="H231" s="166"/>
      <c r="I231" s="166"/>
      <c r="J231" s="166"/>
      <c r="K231" s="166"/>
      <c r="L231" s="166"/>
      <c r="M231" s="166"/>
      <c r="N231" s="166"/>
      <c r="O231" s="166"/>
      <c r="P231" s="166"/>
      <c r="Q231" s="166"/>
      <c r="R231" s="166"/>
      <c r="S231" s="166"/>
      <c r="T231" s="166"/>
      <c r="U231" s="166"/>
      <c r="V231" s="166"/>
      <c r="W231" s="166"/>
      <c r="X231" s="166"/>
      <c r="Y231" s="166"/>
      <c r="Z231" s="166"/>
      <c r="AA231" s="166"/>
      <c r="AB231" s="166"/>
      <c r="AC231" s="166"/>
      <c r="AD231" s="166"/>
      <c r="AE231" s="166"/>
      <c r="AF231" s="166"/>
      <c r="AG231" s="166"/>
      <c r="AH231" s="166"/>
      <c r="AI231" s="166"/>
      <c r="AN231" s="166"/>
      <c r="AO231" s="166"/>
      <c r="AP231" s="166"/>
      <c r="AQ231" s="166"/>
      <c r="AR231" s="166"/>
      <c r="AS231" s="166"/>
      <c r="AT231" s="166"/>
      <c r="AU231" s="166"/>
      <c r="AV231" s="166"/>
      <c r="AW231" s="166"/>
      <c r="AX231" s="166"/>
      <c r="AY231" s="166"/>
      <c r="AZ231" s="166"/>
      <c r="BA231" s="166"/>
      <c r="BB231" s="166"/>
      <c r="BC231" s="166"/>
      <c r="BD231" s="166"/>
      <c r="CR231" s="411"/>
      <c r="CS231" s="411"/>
      <c r="EC231" s="166"/>
    </row>
    <row r="232" spans="1:133" ht="18" customHeight="1">
      <c r="A232" s="166"/>
      <c r="B232" s="166"/>
      <c r="D232" s="166"/>
      <c r="E232" s="166"/>
      <c r="F232" s="166"/>
      <c r="G232" s="166"/>
      <c r="H232" s="166"/>
      <c r="I232" s="166"/>
      <c r="J232" s="166"/>
      <c r="K232" s="166"/>
      <c r="L232" s="166"/>
      <c r="M232" s="166"/>
      <c r="N232" s="166"/>
      <c r="O232" s="166"/>
      <c r="P232" s="166"/>
      <c r="Q232" s="166"/>
      <c r="R232" s="166"/>
      <c r="S232" s="166"/>
      <c r="T232" s="166"/>
      <c r="U232" s="166"/>
      <c r="V232" s="166"/>
      <c r="W232" s="166"/>
      <c r="X232" s="166"/>
      <c r="Y232" s="166"/>
      <c r="Z232" s="166"/>
      <c r="AA232" s="166"/>
      <c r="AB232" s="166"/>
      <c r="AC232" s="166"/>
      <c r="AD232" s="166"/>
      <c r="AE232" s="166"/>
      <c r="AF232" s="166"/>
      <c r="AG232" s="166"/>
      <c r="AH232" s="166"/>
      <c r="AI232" s="166"/>
      <c r="AN232" s="166"/>
      <c r="AO232" s="166"/>
      <c r="AP232" s="166"/>
      <c r="AQ232" s="166"/>
      <c r="AR232" s="166"/>
      <c r="AS232" s="166"/>
      <c r="AT232" s="166"/>
      <c r="AU232" s="166"/>
      <c r="AV232" s="166"/>
      <c r="AW232" s="166"/>
      <c r="AX232" s="166"/>
      <c r="AY232" s="166"/>
      <c r="AZ232" s="166"/>
      <c r="BA232" s="166"/>
      <c r="BB232" s="166"/>
      <c r="BC232" s="166"/>
      <c r="BD232" s="166"/>
      <c r="CR232" s="411"/>
      <c r="CS232" s="411"/>
      <c r="EC232" s="166"/>
    </row>
    <row r="233" spans="1:133" ht="18" customHeight="1">
      <c r="A233" s="166"/>
      <c r="B233" s="166"/>
      <c r="D233" s="166"/>
      <c r="E233" s="166"/>
      <c r="F233" s="166"/>
      <c r="G233" s="166"/>
      <c r="H233" s="166"/>
      <c r="I233" s="166"/>
      <c r="J233" s="166"/>
      <c r="K233" s="166"/>
      <c r="L233" s="166"/>
      <c r="M233" s="166"/>
      <c r="N233" s="166"/>
      <c r="O233" s="166"/>
      <c r="P233" s="166"/>
      <c r="Q233" s="166"/>
      <c r="R233" s="166"/>
      <c r="S233" s="166"/>
      <c r="T233" s="166"/>
      <c r="U233" s="166"/>
      <c r="V233" s="166"/>
      <c r="W233" s="166"/>
      <c r="X233" s="166"/>
      <c r="Y233" s="166"/>
      <c r="Z233" s="166"/>
      <c r="AA233" s="166"/>
      <c r="AB233" s="166"/>
      <c r="AC233" s="166"/>
      <c r="AD233" s="166"/>
      <c r="AE233" s="166"/>
      <c r="AF233" s="166"/>
      <c r="AG233" s="166"/>
      <c r="AH233" s="166"/>
      <c r="AI233" s="166"/>
      <c r="AN233" s="166"/>
      <c r="AO233" s="166"/>
      <c r="AP233" s="166"/>
      <c r="AQ233" s="166"/>
      <c r="AR233" s="166"/>
      <c r="AS233" s="166"/>
      <c r="AT233" s="166"/>
      <c r="AU233" s="166"/>
      <c r="AV233" s="166"/>
      <c r="AW233" s="166"/>
      <c r="AX233" s="166"/>
      <c r="AY233" s="166"/>
      <c r="AZ233" s="166"/>
      <c r="BA233" s="166"/>
      <c r="BB233" s="166"/>
      <c r="BC233" s="166"/>
      <c r="BD233" s="166"/>
      <c r="CR233" s="411"/>
      <c r="CS233" s="411"/>
      <c r="EC233" s="166"/>
    </row>
    <row r="234" spans="1:133" ht="18" customHeight="1">
      <c r="A234" s="166"/>
      <c r="B234" s="166"/>
      <c r="D234" s="166"/>
      <c r="E234" s="166"/>
      <c r="F234" s="166"/>
      <c r="G234" s="166"/>
      <c r="H234" s="166"/>
      <c r="I234" s="166"/>
      <c r="J234" s="166"/>
      <c r="K234" s="166"/>
      <c r="L234" s="166"/>
      <c r="M234" s="166"/>
      <c r="N234" s="166"/>
      <c r="O234" s="166"/>
      <c r="P234" s="166"/>
      <c r="Q234" s="166"/>
      <c r="R234" s="166"/>
      <c r="S234" s="166"/>
      <c r="T234" s="166"/>
      <c r="U234" s="166"/>
      <c r="V234" s="166"/>
      <c r="W234" s="166"/>
      <c r="X234" s="166"/>
      <c r="Y234" s="166"/>
      <c r="Z234" s="166"/>
      <c r="AA234" s="166"/>
      <c r="AB234" s="166"/>
      <c r="AC234" s="166"/>
      <c r="AD234" s="166"/>
      <c r="AE234" s="166"/>
      <c r="AF234" s="166"/>
      <c r="AG234" s="166"/>
      <c r="AH234" s="166"/>
      <c r="AI234" s="166"/>
      <c r="AN234" s="166"/>
      <c r="AO234" s="166"/>
      <c r="AP234" s="166"/>
      <c r="AQ234" s="166"/>
      <c r="AR234" s="166"/>
      <c r="AS234" s="166"/>
      <c r="AT234" s="166"/>
      <c r="AU234" s="166"/>
      <c r="AV234" s="166"/>
      <c r="AW234" s="166"/>
      <c r="AX234" s="166"/>
      <c r="AY234" s="166"/>
      <c r="AZ234" s="166"/>
      <c r="BA234" s="166"/>
      <c r="BB234" s="166"/>
      <c r="BC234" s="166"/>
      <c r="BD234" s="166"/>
      <c r="CR234" s="411"/>
      <c r="CS234" s="411"/>
      <c r="EC234" s="166"/>
    </row>
    <row r="235" spans="1:133" ht="18" customHeight="1">
      <c r="A235" s="166"/>
      <c r="B235" s="166"/>
      <c r="D235" s="166"/>
      <c r="E235" s="166"/>
      <c r="F235" s="166"/>
      <c r="G235" s="166"/>
      <c r="H235" s="166"/>
      <c r="I235" s="166"/>
      <c r="J235" s="166"/>
      <c r="K235" s="166"/>
      <c r="L235" s="166"/>
      <c r="M235" s="166"/>
      <c r="N235" s="166"/>
      <c r="O235" s="166"/>
      <c r="P235" s="166"/>
      <c r="Q235" s="166"/>
      <c r="R235" s="166"/>
      <c r="S235" s="166"/>
      <c r="T235" s="166"/>
      <c r="U235" s="166"/>
      <c r="V235" s="166"/>
      <c r="W235" s="166"/>
      <c r="X235" s="166"/>
      <c r="Y235" s="166"/>
      <c r="Z235" s="166"/>
      <c r="AA235" s="166"/>
      <c r="AB235" s="166"/>
      <c r="AC235" s="166"/>
      <c r="AD235" s="166"/>
      <c r="AE235" s="166"/>
      <c r="AF235" s="166"/>
      <c r="AG235" s="166"/>
      <c r="AH235" s="166"/>
      <c r="AI235" s="166"/>
      <c r="AN235" s="166"/>
      <c r="AO235" s="166"/>
      <c r="AP235" s="166"/>
      <c r="AQ235" s="166"/>
      <c r="AR235" s="166"/>
      <c r="AS235" s="166"/>
      <c r="AT235" s="166"/>
      <c r="AU235" s="166"/>
      <c r="AV235" s="166"/>
      <c r="AW235" s="166"/>
      <c r="AX235" s="166"/>
      <c r="AY235" s="166"/>
      <c r="AZ235" s="166"/>
      <c r="BA235" s="166"/>
      <c r="BB235" s="166"/>
      <c r="BC235" s="166"/>
      <c r="BD235" s="166"/>
      <c r="CR235" s="411"/>
      <c r="CS235" s="411"/>
      <c r="EC235" s="166"/>
    </row>
    <row r="236" spans="1:133" ht="18" customHeight="1">
      <c r="A236" s="166"/>
      <c r="B236" s="166"/>
      <c r="D236" s="166"/>
      <c r="E236" s="166"/>
      <c r="F236" s="166"/>
      <c r="G236" s="166"/>
      <c r="H236" s="166"/>
      <c r="I236" s="166"/>
      <c r="J236" s="166"/>
      <c r="K236" s="166"/>
      <c r="L236" s="166"/>
      <c r="M236" s="166"/>
      <c r="N236" s="166"/>
      <c r="O236" s="166"/>
      <c r="P236" s="166"/>
      <c r="Q236" s="166"/>
      <c r="R236" s="166"/>
      <c r="S236" s="166"/>
      <c r="T236" s="166"/>
      <c r="U236" s="166"/>
      <c r="V236" s="166"/>
      <c r="W236" s="166"/>
      <c r="X236" s="166"/>
      <c r="Y236" s="166"/>
      <c r="Z236" s="166"/>
      <c r="AA236" s="166"/>
      <c r="AB236" s="166"/>
      <c r="AC236" s="166"/>
      <c r="AD236" s="166"/>
      <c r="AE236" s="166"/>
      <c r="AF236" s="166"/>
      <c r="AG236" s="166"/>
      <c r="AH236" s="166"/>
      <c r="AI236" s="166"/>
      <c r="AN236" s="166"/>
      <c r="AO236" s="166"/>
      <c r="AP236" s="166"/>
      <c r="AQ236" s="166"/>
      <c r="AR236" s="166"/>
      <c r="AS236" s="166"/>
      <c r="AT236" s="166"/>
      <c r="AU236" s="166"/>
      <c r="AV236" s="166"/>
      <c r="AW236" s="166"/>
      <c r="AX236" s="166"/>
      <c r="AY236" s="166"/>
      <c r="AZ236" s="166"/>
      <c r="BA236" s="166"/>
      <c r="BB236" s="166"/>
      <c r="BC236" s="166"/>
      <c r="BD236" s="166"/>
      <c r="CR236" s="411"/>
      <c r="CS236" s="411"/>
      <c r="EC236" s="166"/>
    </row>
    <row r="238" spans="1:133" ht="18" customHeight="1">
      <c r="A238" s="166"/>
      <c r="B238" s="166"/>
      <c r="D238" s="166"/>
      <c r="E238" s="166"/>
      <c r="F238" s="166"/>
      <c r="G238" s="166"/>
      <c r="H238" s="166"/>
      <c r="I238" s="166"/>
      <c r="J238" s="166"/>
      <c r="K238" s="166"/>
      <c r="L238" s="166"/>
      <c r="M238" s="166"/>
      <c r="N238" s="166"/>
      <c r="O238" s="166"/>
      <c r="P238" s="166"/>
      <c r="Q238" s="166"/>
      <c r="R238" s="166"/>
      <c r="S238" s="166"/>
      <c r="T238" s="166"/>
      <c r="U238" s="166"/>
      <c r="V238" s="166"/>
      <c r="W238" s="166"/>
      <c r="X238" s="166"/>
      <c r="Y238" s="166"/>
      <c r="Z238" s="166"/>
      <c r="AA238" s="166"/>
      <c r="AB238" s="166"/>
      <c r="AC238" s="166"/>
      <c r="AD238" s="166"/>
      <c r="AE238" s="166"/>
      <c r="AF238" s="166"/>
      <c r="AG238" s="166"/>
      <c r="AH238" s="166"/>
      <c r="AI238" s="166"/>
      <c r="AN238" s="166"/>
      <c r="AO238" s="166"/>
      <c r="AP238" s="166"/>
      <c r="AQ238" s="166"/>
      <c r="AR238" s="166"/>
      <c r="AS238" s="166"/>
      <c r="AT238" s="166"/>
      <c r="AU238" s="166"/>
      <c r="AV238" s="166"/>
      <c r="AW238" s="166"/>
      <c r="AX238" s="166"/>
      <c r="AY238" s="166"/>
      <c r="AZ238" s="166"/>
      <c r="BA238" s="166"/>
      <c r="BB238" s="166"/>
      <c r="BC238" s="166"/>
      <c r="BD238" s="166"/>
      <c r="EB238" s="414">
        <v>1</v>
      </c>
      <c r="EC238" s="166"/>
    </row>
  </sheetData>
  <mergeCells count="33">
    <mergeCell ref="FM1:HH1"/>
    <mergeCell ref="FF1:FL1"/>
    <mergeCell ref="EL2:EM2"/>
    <mergeCell ref="EU1:FB1"/>
    <mergeCell ref="FC1:FE1"/>
    <mergeCell ref="DX1:ET1"/>
    <mergeCell ref="EB2:EC2"/>
    <mergeCell ref="DZ2:EA2"/>
    <mergeCell ref="DX2:DY2"/>
    <mergeCell ref="EF2:EG2"/>
    <mergeCell ref="EH2:EI2"/>
    <mergeCell ref="EJ2:EK2"/>
    <mergeCell ref="AO1:AO2"/>
    <mergeCell ref="AP1:AQ1"/>
    <mergeCell ref="AR1:AU1"/>
    <mergeCell ref="AV1:BD1"/>
    <mergeCell ref="CQ2:CX2"/>
    <mergeCell ref="BE2:CG2"/>
    <mergeCell ref="CK1:DW1"/>
    <mergeCell ref="CH1:CJ1"/>
    <mergeCell ref="CN2:CO2"/>
    <mergeCell ref="CK2:CM2"/>
    <mergeCell ref="DQ2:DR2"/>
    <mergeCell ref="CY2:CZ2"/>
    <mergeCell ref="DF2:DG2"/>
    <mergeCell ref="DA2:DB2"/>
    <mergeCell ref="DO2:DP2"/>
    <mergeCell ref="DL2:DM2"/>
    <mergeCell ref="DD2:DE2"/>
    <mergeCell ref="ED2:EE2"/>
    <mergeCell ref="DS2:DT2"/>
    <mergeCell ref="DU2:DV2"/>
    <mergeCell ref="DH2:DJ2"/>
  </mergeCells>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FF00"/>
  </sheetPr>
  <dimension ref="A1:N56"/>
  <sheetViews>
    <sheetView tabSelected="1" view="pageLayout" zoomScaleNormal="100" zoomScaleSheetLayoutView="100" workbookViewId="0">
      <selection activeCell="J2" sqref="J2:M3"/>
    </sheetView>
  </sheetViews>
  <sheetFormatPr defaultRowHeight="13.5"/>
  <cols>
    <col min="1" max="1" width="3.625" style="420" customWidth="1"/>
    <col min="2" max="2" width="5.75" style="420" customWidth="1"/>
    <col min="3" max="3" width="6.625" style="420" customWidth="1"/>
    <col min="4" max="4" width="11.625" style="420" customWidth="1"/>
    <col min="5" max="5" width="14.375" style="420" customWidth="1"/>
    <col min="6" max="7" width="6.875" style="420" customWidth="1"/>
    <col min="8" max="8" width="3.625" style="420" customWidth="1"/>
    <col min="9" max="10" width="9.125" style="420" customWidth="1"/>
    <col min="11" max="11" width="4.75" style="420" customWidth="1"/>
    <col min="12" max="12" width="13.375" style="420" customWidth="1"/>
    <col min="13" max="13" width="3.375" style="420" bestFit="1" customWidth="1"/>
    <col min="14" max="256" width="9" style="420"/>
    <col min="257" max="257" width="3.625" style="420" customWidth="1"/>
    <col min="258" max="258" width="5.75" style="420" customWidth="1"/>
    <col min="259" max="259" width="6.625" style="420" customWidth="1"/>
    <col min="260" max="260" width="11.625" style="420" customWidth="1"/>
    <col min="261" max="261" width="14.375" style="420" customWidth="1"/>
    <col min="262" max="263" width="6.875" style="420" customWidth="1"/>
    <col min="264" max="264" width="3.625" style="420" customWidth="1"/>
    <col min="265" max="266" width="9.125" style="420" customWidth="1"/>
    <col min="267" max="267" width="4.75" style="420" customWidth="1"/>
    <col min="268" max="268" width="13.375" style="420" customWidth="1"/>
    <col min="269" max="269" width="3.375" style="420" bestFit="1" customWidth="1"/>
    <col min="270" max="512" width="9" style="420"/>
    <col min="513" max="513" width="3.625" style="420" customWidth="1"/>
    <col min="514" max="514" width="5.75" style="420" customWidth="1"/>
    <col min="515" max="515" width="6.625" style="420" customWidth="1"/>
    <col min="516" max="516" width="11.625" style="420" customWidth="1"/>
    <col min="517" max="517" width="14.375" style="420" customWidth="1"/>
    <col min="518" max="519" width="6.875" style="420" customWidth="1"/>
    <col min="520" max="520" width="3.625" style="420" customWidth="1"/>
    <col min="521" max="522" width="9.125" style="420" customWidth="1"/>
    <col min="523" max="523" width="4.75" style="420" customWidth="1"/>
    <col min="524" max="524" width="13.375" style="420" customWidth="1"/>
    <col min="525" max="525" width="3.375" style="420" bestFit="1" customWidth="1"/>
    <col min="526" max="768" width="9" style="420"/>
    <col min="769" max="769" width="3.625" style="420" customWidth="1"/>
    <col min="770" max="770" width="5.75" style="420" customWidth="1"/>
    <col min="771" max="771" width="6.625" style="420" customWidth="1"/>
    <col min="772" max="772" width="11.625" style="420" customWidth="1"/>
    <col min="773" max="773" width="14.375" style="420" customWidth="1"/>
    <col min="774" max="775" width="6.875" style="420" customWidth="1"/>
    <col min="776" max="776" width="3.625" style="420" customWidth="1"/>
    <col min="777" max="778" width="9.125" style="420" customWidth="1"/>
    <col min="779" max="779" width="4.75" style="420" customWidth="1"/>
    <col min="780" max="780" width="13.375" style="420" customWidth="1"/>
    <col min="781" max="781" width="3.375" style="420" bestFit="1" customWidth="1"/>
    <col min="782" max="1024" width="9" style="420"/>
    <col min="1025" max="1025" width="3.625" style="420" customWidth="1"/>
    <col min="1026" max="1026" width="5.75" style="420" customWidth="1"/>
    <col min="1027" max="1027" width="6.625" style="420" customWidth="1"/>
    <col min="1028" max="1028" width="11.625" style="420" customWidth="1"/>
    <col min="1029" max="1029" width="14.375" style="420" customWidth="1"/>
    <col min="1030" max="1031" width="6.875" style="420" customWidth="1"/>
    <col min="1032" max="1032" width="3.625" style="420" customWidth="1"/>
    <col min="1033" max="1034" width="9.125" style="420" customWidth="1"/>
    <col min="1035" max="1035" width="4.75" style="420" customWidth="1"/>
    <col min="1036" max="1036" width="13.375" style="420" customWidth="1"/>
    <col min="1037" max="1037" width="3.375" style="420" bestFit="1" customWidth="1"/>
    <col min="1038" max="1280" width="9" style="420"/>
    <col min="1281" max="1281" width="3.625" style="420" customWidth="1"/>
    <col min="1282" max="1282" width="5.75" style="420" customWidth="1"/>
    <col min="1283" max="1283" width="6.625" style="420" customWidth="1"/>
    <col min="1284" max="1284" width="11.625" style="420" customWidth="1"/>
    <col min="1285" max="1285" width="14.375" style="420" customWidth="1"/>
    <col min="1286" max="1287" width="6.875" style="420" customWidth="1"/>
    <col min="1288" max="1288" width="3.625" style="420" customWidth="1"/>
    <col min="1289" max="1290" width="9.125" style="420" customWidth="1"/>
    <col min="1291" max="1291" width="4.75" style="420" customWidth="1"/>
    <col min="1292" max="1292" width="13.375" style="420" customWidth="1"/>
    <col min="1293" max="1293" width="3.375" style="420" bestFit="1" customWidth="1"/>
    <col min="1294" max="1536" width="9" style="420"/>
    <col min="1537" max="1537" width="3.625" style="420" customWidth="1"/>
    <col min="1538" max="1538" width="5.75" style="420" customWidth="1"/>
    <col min="1539" max="1539" width="6.625" style="420" customWidth="1"/>
    <col min="1540" max="1540" width="11.625" style="420" customWidth="1"/>
    <col min="1541" max="1541" width="14.375" style="420" customWidth="1"/>
    <col min="1542" max="1543" width="6.875" style="420" customWidth="1"/>
    <col min="1544" max="1544" width="3.625" style="420" customWidth="1"/>
    <col min="1545" max="1546" width="9.125" style="420" customWidth="1"/>
    <col min="1547" max="1547" width="4.75" style="420" customWidth="1"/>
    <col min="1548" max="1548" width="13.375" style="420" customWidth="1"/>
    <col min="1549" max="1549" width="3.375" style="420" bestFit="1" customWidth="1"/>
    <col min="1550" max="1792" width="9" style="420"/>
    <col min="1793" max="1793" width="3.625" style="420" customWidth="1"/>
    <col min="1794" max="1794" width="5.75" style="420" customWidth="1"/>
    <col min="1795" max="1795" width="6.625" style="420" customWidth="1"/>
    <col min="1796" max="1796" width="11.625" style="420" customWidth="1"/>
    <col min="1797" max="1797" width="14.375" style="420" customWidth="1"/>
    <col min="1798" max="1799" width="6.875" style="420" customWidth="1"/>
    <col min="1800" max="1800" width="3.625" style="420" customWidth="1"/>
    <col min="1801" max="1802" width="9.125" style="420" customWidth="1"/>
    <col min="1803" max="1803" width="4.75" style="420" customWidth="1"/>
    <col min="1804" max="1804" width="13.375" style="420" customWidth="1"/>
    <col min="1805" max="1805" width="3.375" style="420" bestFit="1" customWidth="1"/>
    <col min="1806" max="2048" width="9" style="420"/>
    <col min="2049" max="2049" width="3.625" style="420" customWidth="1"/>
    <col min="2050" max="2050" width="5.75" style="420" customWidth="1"/>
    <col min="2051" max="2051" width="6.625" style="420" customWidth="1"/>
    <col min="2052" max="2052" width="11.625" style="420" customWidth="1"/>
    <col min="2053" max="2053" width="14.375" style="420" customWidth="1"/>
    <col min="2054" max="2055" width="6.875" style="420" customWidth="1"/>
    <col min="2056" max="2056" width="3.625" style="420" customWidth="1"/>
    <col min="2057" max="2058" width="9.125" style="420" customWidth="1"/>
    <col min="2059" max="2059" width="4.75" style="420" customWidth="1"/>
    <col min="2060" max="2060" width="13.375" style="420" customWidth="1"/>
    <col min="2061" max="2061" width="3.375" style="420" bestFit="1" customWidth="1"/>
    <col min="2062" max="2304" width="9" style="420"/>
    <col min="2305" max="2305" width="3.625" style="420" customWidth="1"/>
    <col min="2306" max="2306" width="5.75" style="420" customWidth="1"/>
    <col min="2307" max="2307" width="6.625" style="420" customWidth="1"/>
    <col min="2308" max="2308" width="11.625" style="420" customWidth="1"/>
    <col min="2309" max="2309" width="14.375" style="420" customWidth="1"/>
    <col min="2310" max="2311" width="6.875" style="420" customWidth="1"/>
    <col min="2312" max="2312" width="3.625" style="420" customWidth="1"/>
    <col min="2313" max="2314" width="9.125" style="420" customWidth="1"/>
    <col min="2315" max="2315" width="4.75" style="420" customWidth="1"/>
    <col min="2316" max="2316" width="13.375" style="420" customWidth="1"/>
    <col min="2317" max="2317" width="3.375" style="420" bestFit="1" customWidth="1"/>
    <col min="2318" max="2560" width="9" style="420"/>
    <col min="2561" max="2561" width="3.625" style="420" customWidth="1"/>
    <col min="2562" max="2562" width="5.75" style="420" customWidth="1"/>
    <col min="2563" max="2563" width="6.625" style="420" customWidth="1"/>
    <col min="2564" max="2564" width="11.625" style="420" customWidth="1"/>
    <col min="2565" max="2565" width="14.375" style="420" customWidth="1"/>
    <col min="2566" max="2567" width="6.875" style="420" customWidth="1"/>
    <col min="2568" max="2568" width="3.625" style="420" customWidth="1"/>
    <col min="2569" max="2570" width="9.125" style="420" customWidth="1"/>
    <col min="2571" max="2571" width="4.75" style="420" customWidth="1"/>
    <col min="2572" max="2572" width="13.375" style="420" customWidth="1"/>
    <col min="2573" max="2573" width="3.375" style="420" bestFit="1" customWidth="1"/>
    <col min="2574" max="2816" width="9" style="420"/>
    <col min="2817" max="2817" width="3.625" style="420" customWidth="1"/>
    <col min="2818" max="2818" width="5.75" style="420" customWidth="1"/>
    <col min="2819" max="2819" width="6.625" style="420" customWidth="1"/>
    <col min="2820" max="2820" width="11.625" style="420" customWidth="1"/>
    <col min="2821" max="2821" width="14.375" style="420" customWidth="1"/>
    <col min="2822" max="2823" width="6.875" style="420" customWidth="1"/>
    <col min="2824" max="2824" width="3.625" style="420" customWidth="1"/>
    <col min="2825" max="2826" width="9.125" style="420" customWidth="1"/>
    <col min="2827" max="2827" width="4.75" style="420" customWidth="1"/>
    <col min="2828" max="2828" width="13.375" style="420" customWidth="1"/>
    <col min="2829" max="2829" width="3.375" style="420" bestFit="1" customWidth="1"/>
    <col min="2830" max="3072" width="9" style="420"/>
    <col min="3073" max="3073" width="3.625" style="420" customWidth="1"/>
    <col min="3074" max="3074" width="5.75" style="420" customWidth="1"/>
    <col min="3075" max="3075" width="6.625" style="420" customWidth="1"/>
    <col min="3076" max="3076" width="11.625" style="420" customWidth="1"/>
    <col min="3077" max="3077" width="14.375" style="420" customWidth="1"/>
    <col min="3078" max="3079" width="6.875" style="420" customWidth="1"/>
    <col min="3080" max="3080" width="3.625" style="420" customWidth="1"/>
    <col min="3081" max="3082" width="9.125" style="420" customWidth="1"/>
    <col min="3083" max="3083" width="4.75" style="420" customWidth="1"/>
    <col min="3084" max="3084" width="13.375" style="420" customWidth="1"/>
    <col min="3085" max="3085" width="3.375" style="420" bestFit="1" customWidth="1"/>
    <col min="3086" max="3328" width="9" style="420"/>
    <col min="3329" max="3329" width="3.625" style="420" customWidth="1"/>
    <col min="3330" max="3330" width="5.75" style="420" customWidth="1"/>
    <col min="3331" max="3331" width="6.625" style="420" customWidth="1"/>
    <col min="3332" max="3332" width="11.625" style="420" customWidth="1"/>
    <col min="3333" max="3333" width="14.375" style="420" customWidth="1"/>
    <col min="3334" max="3335" width="6.875" style="420" customWidth="1"/>
    <col min="3336" max="3336" width="3.625" style="420" customWidth="1"/>
    <col min="3337" max="3338" width="9.125" style="420" customWidth="1"/>
    <col min="3339" max="3339" width="4.75" style="420" customWidth="1"/>
    <col min="3340" max="3340" width="13.375" style="420" customWidth="1"/>
    <col min="3341" max="3341" width="3.375" style="420" bestFit="1" customWidth="1"/>
    <col min="3342" max="3584" width="9" style="420"/>
    <col min="3585" max="3585" width="3.625" style="420" customWidth="1"/>
    <col min="3586" max="3586" width="5.75" style="420" customWidth="1"/>
    <col min="3587" max="3587" width="6.625" style="420" customWidth="1"/>
    <col min="3588" max="3588" width="11.625" style="420" customWidth="1"/>
    <col min="3589" max="3589" width="14.375" style="420" customWidth="1"/>
    <col min="3590" max="3591" width="6.875" style="420" customWidth="1"/>
    <col min="3592" max="3592" width="3.625" style="420" customWidth="1"/>
    <col min="3593" max="3594" width="9.125" style="420" customWidth="1"/>
    <col min="3595" max="3595" width="4.75" style="420" customWidth="1"/>
    <col min="3596" max="3596" width="13.375" style="420" customWidth="1"/>
    <col min="3597" max="3597" width="3.375" style="420" bestFit="1" customWidth="1"/>
    <col min="3598" max="3840" width="9" style="420"/>
    <col min="3841" max="3841" width="3.625" style="420" customWidth="1"/>
    <col min="3842" max="3842" width="5.75" style="420" customWidth="1"/>
    <col min="3843" max="3843" width="6.625" style="420" customWidth="1"/>
    <col min="3844" max="3844" width="11.625" style="420" customWidth="1"/>
    <col min="3845" max="3845" width="14.375" style="420" customWidth="1"/>
    <col min="3846" max="3847" width="6.875" style="420" customWidth="1"/>
    <col min="3848" max="3848" width="3.625" style="420" customWidth="1"/>
    <col min="3849" max="3850" width="9.125" style="420" customWidth="1"/>
    <col min="3851" max="3851" width="4.75" style="420" customWidth="1"/>
    <col min="3852" max="3852" width="13.375" style="420" customWidth="1"/>
    <col min="3853" max="3853" width="3.375" style="420" bestFit="1" customWidth="1"/>
    <col min="3854" max="4096" width="9" style="420"/>
    <col min="4097" max="4097" width="3.625" style="420" customWidth="1"/>
    <col min="4098" max="4098" width="5.75" style="420" customWidth="1"/>
    <col min="4099" max="4099" width="6.625" style="420" customWidth="1"/>
    <col min="4100" max="4100" width="11.625" style="420" customWidth="1"/>
    <col min="4101" max="4101" width="14.375" style="420" customWidth="1"/>
    <col min="4102" max="4103" width="6.875" style="420" customWidth="1"/>
    <col min="4104" max="4104" width="3.625" style="420" customWidth="1"/>
    <col min="4105" max="4106" width="9.125" style="420" customWidth="1"/>
    <col min="4107" max="4107" width="4.75" style="420" customWidth="1"/>
    <col min="4108" max="4108" width="13.375" style="420" customWidth="1"/>
    <col min="4109" max="4109" width="3.375" style="420" bestFit="1" customWidth="1"/>
    <col min="4110" max="4352" width="9" style="420"/>
    <col min="4353" max="4353" width="3.625" style="420" customWidth="1"/>
    <col min="4354" max="4354" width="5.75" style="420" customWidth="1"/>
    <col min="4355" max="4355" width="6.625" style="420" customWidth="1"/>
    <col min="4356" max="4356" width="11.625" style="420" customWidth="1"/>
    <col min="4357" max="4357" width="14.375" style="420" customWidth="1"/>
    <col min="4358" max="4359" width="6.875" style="420" customWidth="1"/>
    <col min="4360" max="4360" width="3.625" style="420" customWidth="1"/>
    <col min="4361" max="4362" width="9.125" style="420" customWidth="1"/>
    <col min="4363" max="4363" width="4.75" style="420" customWidth="1"/>
    <col min="4364" max="4364" width="13.375" style="420" customWidth="1"/>
    <col min="4365" max="4365" width="3.375" style="420" bestFit="1" customWidth="1"/>
    <col min="4366" max="4608" width="9" style="420"/>
    <col min="4609" max="4609" width="3.625" style="420" customWidth="1"/>
    <col min="4610" max="4610" width="5.75" style="420" customWidth="1"/>
    <col min="4611" max="4611" width="6.625" style="420" customWidth="1"/>
    <col min="4612" max="4612" width="11.625" style="420" customWidth="1"/>
    <col min="4613" max="4613" width="14.375" style="420" customWidth="1"/>
    <col min="4614" max="4615" width="6.875" style="420" customWidth="1"/>
    <col min="4616" max="4616" width="3.625" style="420" customWidth="1"/>
    <col min="4617" max="4618" width="9.125" style="420" customWidth="1"/>
    <col min="4619" max="4619" width="4.75" style="420" customWidth="1"/>
    <col min="4620" max="4620" width="13.375" style="420" customWidth="1"/>
    <col min="4621" max="4621" width="3.375" style="420" bestFit="1" customWidth="1"/>
    <col min="4622" max="4864" width="9" style="420"/>
    <col min="4865" max="4865" width="3.625" style="420" customWidth="1"/>
    <col min="4866" max="4866" width="5.75" style="420" customWidth="1"/>
    <col min="4867" max="4867" width="6.625" style="420" customWidth="1"/>
    <col min="4868" max="4868" width="11.625" style="420" customWidth="1"/>
    <col min="4869" max="4869" width="14.375" style="420" customWidth="1"/>
    <col min="4870" max="4871" width="6.875" style="420" customWidth="1"/>
    <col min="4872" max="4872" width="3.625" style="420" customWidth="1"/>
    <col min="4873" max="4874" width="9.125" style="420" customWidth="1"/>
    <col min="4875" max="4875" width="4.75" style="420" customWidth="1"/>
    <col min="4876" max="4876" width="13.375" style="420" customWidth="1"/>
    <col min="4877" max="4877" width="3.375" style="420" bestFit="1" customWidth="1"/>
    <col min="4878" max="5120" width="9" style="420"/>
    <col min="5121" max="5121" width="3.625" style="420" customWidth="1"/>
    <col min="5122" max="5122" width="5.75" style="420" customWidth="1"/>
    <col min="5123" max="5123" width="6.625" style="420" customWidth="1"/>
    <col min="5124" max="5124" width="11.625" style="420" customWidth="1"/>
    <col min="5125" max="5125" width="14.375" style="420" customWidth="1"/>
    <col min="5126" max="5127" width="6.875" style="420" customWidth="1"/>
    <col min="5128" max="5128" width="3.625" style="420" customWidth="1"/>
    <col min="5129" max="5130" width="9.125" style="420" customWidth="1"/>
    <col min="5131" max="5131" width="4.75" style="420" customWidth="1"/>
    <col min="5132" max="5132" width="13.375" style="420" customWidth="1"/>
    <col min="5133" max="5133" width="3.375" style="420" bestFit="1" customWidth="1"/>
    <col min="5134" max="5376" width="9" style="420"/>
    <col min="5377" max="5377" width="3.625" style="420" customWidth="1"/>
    <col min="5378" max="5378" width="5.75" style="420" customWidth="1"/>
    <col min="5379" max="5379" width="6.625" style="420" customWidth="1"/>
    <col min="5380" max="5380" width="11.625" style="420" customWidth="1"/>
    <col min="5381" max="5381" width="14.375" style="420" customWidth="1"/>
    <col min="5382" max="5383" width="6.875" style="420" customWidth="1"/>
    <col min="5384" max="5384" width="3.625" style="420" customWidth="1"/>
    <col min="5385" max="5386" width="9.125" style="420" customWidth="1"/>
    <col min="5387" max="5387" width="4.75" style="420" customWidth="1"/>
    <col min="5388" max="5388" width="13.375" style="420" customWidth="1"/>
    <col min="5389" max="5389" width="3.375" style="420" bestFit="1" customWidth="1"/>
    <col min="5390" max="5632" width="9" style="420"/>
    <col min="5633" max="5633" width="3.625" style="420" customWidth="1"/>
    <col min="5634" max="5634" width="5.75" style="420" customWidth="1"/>
    <col min="5635" max="5635" width="6.625" style="420" customWidth="1"/>
    <col min="5636" max="5636" width="11.625" style="420" customWidth="1"/>
    <col min="5637" max="5637" width="14.375" style="420" customWidth="1"/>
    <col min="5638" max="5639" width="6.875" style="420" customWidth="1"/>
    <col min="5640" max="5640" width="3.625" style="420" customWidth="1"/>
    <col min="5641" max="5642" width="9.125" style="420" customWidth="1"/>
    <col min="5643" max="5643" width="4.75" style="420" customWidth="1"/>
    <col min="5644" max="5644" width="13.375" style="420" customWidth="1"/>
    <col min="5645" max="5645" width="3.375" style="420" bestFit="1" customWidth="1"/>
    <col min="5646" max="5888" width="9" style="420"/>
    <col min="5889" max="5889" width="3.625" style="420" customWidth="1"/>
    <col min="5890" max="5890" width="5.75" style="420" customWidth="1"/>
    <col min="5891" max="5891" width="6.625" style="420" customWidth="1"/>
    <col min="5892" max="5892" width="11.625" style="420" customWidth="1"/>
    <col min="5893" max="5893" width="14.375" style="420" customWidth="1"/>
    <col min="5894" max="5895" width="6.875" style="420" customWidth="1"/>
    <col min="5896" max="5896" width="3.625" style="420" customWidth="1"/>
    <col min="5897" max="5898" width="9.125" style="420" customWidth="1"/>
    <col min="5899" max="5899" width="4.75" style="420" customWidth="1"/>
    <col min="5900" max="5900" width="13.375" style="420" customWidth="1"/>
    <col min="5901" max="5901" width="3.375" style="420" bestFit="1" customWidth="1"/>
    <col min="5902" max="6144" width="9" style="420"/>
    <col min="6145" max="6145" width="3.625" style="420" customWidth="1"/>
    <col min="6146" max="6146" width="5.75" style="420" customWidth="1"/>
    <col min="6147" max="6147" width="6.625" style="420" customWidth="1"/>
    <col min="6148" max="6148" width="11.625" style="420" customWidth="1"/>
    <col min="6149" max="6149" width="14.375" style="420" customWidth="1"/>
    <col min="6150" max="6151" width="6.875" style="420" customWidth="1"/>
    <col min="6152" max="6152" width="3.625" style="420" customWidth="1"/>
    <col min="6153" max="6154" width="9.125" style="420" customWidth="1"/>
    <col min="6155" max="6155" width="4.75" style="420" customWidth="1"/>
    <col min="6156" max="6156" width="13.375" style="420" customWidth="1"/>
    <col min="6157" max="6157" width="3.375" style="420" bestFit="1" customWidth="1"/>
    <col min="6158" max="6400" width="9" style="420"/>
    <col min="6401" max="6401" width="3.625" style="420" customWidth="1"/>
    <col min="6402" max="6402" width="5.75" style="420" customWidth="1"/>
    <col min="6403" max="6403" width="6.625" style="420" customWidth="1"/>
    <col min="6404" max="6404" width="11.625" style="420" customWidth="1"/>
    <col min="6405" max="6405" width="14.375" style="420" customWidth="1"/>
    <col min="6406" max="6407" width="6.875" style="420" customWidth="1"/>
    <col min="6408" max="6408" width="3.625" style="420" customWidth="1"/>
    <col min="6409" max="6410" width="9.125" style="420" customWidth="1"/>
    <col min="6411" max="6411" width="4.75" style="420" customWidth="1"/>
    <col min="6412" max="6412" width="13.375" style="420" customWidth="1"/>
    <col min="6413" max="6413" width="3.375" style="420" bestFit="1" customWidth="1"/>
    <col min="6414" max="6656" width="9" style="420"/>
    <col min="6657" max="6657" width="3.625" style="420" customWidth="1"/>
    <col min="6658" max="6658" width="5.75" style="420" customWidth="1"/>
    <col min="6659" max="6659" width="6.625" style="420" customWidth="1"/>
    <col min="6660" max="6660" width="11.625" style="420" customWidth="1"/>
    <col min="6661" max="6661" width="14.375" style="420" customWidth="1"/>
    <col min="6662" max="6663" width="6.875" style="420" customWidth="1"/>
    <col min="6664" max="6664" width="3.625" style="420" customWidth="1"/>
    <col min="6665" max="6666" width="9.125" style="420" customWidth="1"/>
    <col min="6667" max="6667" width="4.75" style="420" customWidth="1"/>
    <col min="6668" max="6668" width="13.375" style="420" customWidth="1"/>
    <col min="6669" max="6669" width="3.375" style="420" bestFit="1" customWidth="1"/>
    <col min="6670" max="6912" width="9" style="420"/>
    <col min="6913" max="6913" width="3.625" style="420" customWidth="1"/>
    <col min="6914" max="6914" width="5.75" style="420" customWidth="1"/>
    <col min="6915" max="6915" width="6.625" style="420" customWidth="1"/>
    <col min="6916" max="6916" width="11.625" style="420" customWidth="1"/>
    <col min="6917" max="6917" width="14.375" style="420" customWidth="1"/>
    <col min="6918" max="6919" width="6.875" style="420" customWidth="1"/>
    <col min="6920" max="6920" width="3.625" style="420" customWidth="1"/>
    <col min="6921" max="6922" width="9.125" style="420" customWidth="1"/>
    <col min="6923" max="6923" width="4.75" style="420" customWidth="1"/>
    <col min="6924" max="6924" width="13.375" style="420" customWidth="1"/>
    <col min="6925" max="6925" width="3.375" style="420" bestFit="1" customWidth="1"/>
    <col min="6926" max="7168" width="9" style="420"/>
    <col min="7169" max="7169" width="3.625" style="420" customWidth="1"/>
    <col min="7170" max="7170" width="5.75" style="420" customWidth="1"/>
    <col min="7171" max="7171" width="6.625" style="420" customWidth="1"/>
    <col min="7172" max="7172" width="11.625" style="420" customWidth="1"/>
    <col min="7173" max="7173" width="14.375" style="420" customWidth="1"/>
    <col min="7174" max="7175" width="6.875" style="420" customWidth="1"/>
    <col min="7176" max="7176" width="3.625" style="420" customWidth="1"/>
    <col min="7177" max="7178" width="9.125" style="420" customWidth="1"/>
    <col min="7179" max="7179" width="4.75" style="420" customWidth="1"/>
    <col min="7180" max="7180" width="13.375" style="420" customWidth="1"/>
    <col min="7181" max="7181" width="3.375" style="420" bestFit="1" customWidth="1"/>
    <col min="7182" max="7424" width="9" style="420"/>
    <col min="7425" max="7425" width="3.625" style="420" customWidth="1"/>
    <col min="7426" max="7426" width="5.75" style="420" customWidth="1"/>
    <col min="7427" max="7427" width="6.625" style="420" customWidth="1"/>
    <col min="7428" max="7428" width="11.625" style="420" customWidth="1"/>
    <col min="7429" max="7429" width="14.375" style="420" customWidth="1"/>
    <col min="7430" max="7431" width="6.875" style="420" customWidth="1"/>
    <col min="7432" max="7432" width="3.625" style="420" customWidth="1"/>
    <col min="7433" max="7434" width="9.125" style="420" customWidth="1"/>
    <col min="7435" max="7435" width="4.75" style="420" customWidth="1"/>
    <col min="7436" max="7436" width="13.375" style="420" customWidth="1"/>
    <col min="7437" max="7437" width="3.375" style="420" bestFit="1" customWidth="1"/>
    <col min="7438" max="7680" width="9" style="420"/>
    <col min="7681" max="7681" width="3.625" style="420" customWidth="1"/>
    <col min="7682" max="7682" width="5.75" style="420" customWidth="1"/>
    <col min="7683" max="7683" width="6.625" style="420" customWidth="1"/>
    <col min="7684" max="7684" width="11.625" style="420" customWidth="1"/>
    <col min="7685" max="7685" width="14.375" style="420" customWidth="1"/>
    <col min="7686" max="7687" width="6.875" style="420" customWidth="1"/>
    <col min="7688" max="7688" width="3.625" style="420" customWidth="1"/>
    <col min="7689" max="7690" width="9.125" style="420" customWidth="1"/>
    <col min="7691" max="7691" width="4.75" style="420" customWidth="1"/>
    <col min="7692" max="7692" width="13.375" style="420" customWidth="1"/>
    <col min="7693" max="7693" width="3.375" style="420" bestFit="1" customWidth="1"/>
    <col min="7694" max="7936" width="9" style="420"/>
    <col min="7937" max="7937" width="3.625" style="420" customWidth="1"/>
    <col min="7938" max="7938" width="5.75" style="420" customWidth="1"/>
    <col min="7939" max="7939" width="6.625" style="420" customWidth="1"/>
    <col min="7940" max="7940" width="11.625" style="420" customWidth="1"/>
    <col min="7941" max="7941" width="14.375" style="420" customWidth="1"/>
    <col min="7942" max="7943" width="6.875" style="420" customWidth="1"/>
    <col min="7944" max="7944" width="3.625" style="420" customWidth="1"/>
    <col min="7945" max="7946" width="9.125" style="420" customWidth="1"/>
    <col min="7947" max="7947" width="4.75" style="420" customWidth="1"/>
    <col min="7948" max="7948" width="13.375" style="420" customWidth="1"/>
    <col min="7949" max="7949" width="3.375" style="420" bestFit="1" customWidth="1"/>
    <col min="7950" max="8192" width="9" style="420"/>
    <col min="8193" max="8193" width="3.625" style="420" customWidth="1"/>
    <col min="8194" max="8194" width="5.75" style="420" customWidth="1"/>
    <col min="8195" max="8195" width="6.625" style="420" customWidth="1"/>
    <col min="8196" max="8196" width="11.625" style="420" customWidth="1"/>
    <col min="8197" max="8197" width="14.375" style="420" customWidth="1"/>
    <col min="8198" max="8199" width="6.875" style="420" customWidth="1"/>
    <col min="8200" max="8200" width="3.625" style="420" customWidth="1"/>
    <col min="8201" max="8202" width="9.125" style="420" customWidth="1"/>
    <col min="8203" max="8203" width="4.75" style="420" customWidth="1"/>
    <col min="8204" max="8204" width="13.375" style="420" customWidth="1"/>
    <col min="8205" max="8205" width="3.375" style="420" bestFit="1" customWidth="1"/>
    <col min="8206" max="8448" width="9" style="420"/>
    <col min="8449" max="8449" width="3.625" style="420" customWidth="1"/>
    <col min="8450" max="8450" width="5.75" style="420" customWidth="1"/>
    <col min="8451" max="8451" width="6.625" style="420" customWidth="1"/>
    <col min="8452" max="8452" width="11.625" style="420" customWidth="1"/>
    <col min="8453" max="8453" width="14.375" style="420" customWidth="1"/>
    <col min="8454" max="8455" width="6.875" style="420" customWidth="1"/>
    <col min="8456" max="8456" width="3.625" style="420" customWidth="1"/>
    <col min="8457" max="8458" width="9.125" style="420" customWidth="1"/>
    <col min="8459" max="8459" width="4.75" style="420" customWidth="1"/>
    <col min="8460" max="8460" width="13.375" style="420" customWidth="1"/>
    <col min="8461" max="8461" width="3.375" style="420" bestFit="1" customWidth="1"/>
    <col min="8462" max="8704" width="9" style="420"/>
    <col min="8705" max="8705" width="3.625" style="420" customWidth="1"/>
    <col min="8706" max="8706" width="5.75" style="420" customWidth="1"/>
    <col min="8707" max="8707" width="6.625" style="420" customWidth="1"/>
    <col min="8708" max="8708" width="11.625" style="420" customWidth="1"/>
    <col min="8709" max="8709" width="14.375" style="420" customWidth="1"/>
    <col min="8710" max="8711" width="6.875" style="420" customWidth="1"/>
    <col min="8712" max="8712" width="3.625" style="420" customWidth="1"/>
    <col min="8713" max="8714" width="9.125" style="420" customWidth="1"/>
    <col min="8715" max="8715" width="4.75" style="420" customWidth="1"/>
    <col min="8716" max="8716" width="13.375" style="420" customWidth="1"/>
    <col min="8717" max="8717" width="3.375" style="420" bestFit="1" customWidth="1"/>
    <col min="8718" max="8960" width="9" style="420"/>
    <col min="8961" max="8961" width="3.625" style="420" customWidth="1"/>
    <col min="8962" max="8962" width="5.75" style="420" customWidth="1"/>
    <col min="8963" max="8963" width="6.625" style="420" customWidth="1"/>
    <col min="8964" max="8964" width="11.625" style="420" customWidth="1"/>
    <col min="8965" max="8965" width="14.375" style="420" customWidth="1"/>
    <col min="8966" max="8967" width="6.875" style="420" customWidth="1"/>
    <col min="8968" max="8968" width="3.625" style="420" customWidth="1"/>
    <col min="8969" max="8970" width="9.125" style="420" customWidth="1"/>
    <col min="8971" max="8971" width="4.75" style="420" customWidth="1"/>
    <col min="8972" max="8972" width="13.375" style="420" customWidth="1"/>
    <col min="8973" max="8973" width="3.375" style="420" bestFit="1" customWidth="1"/>
    <col min="8974" max="9216" width="9" style="420"/>
    <col min="9217" max="9217" width="3.625" style="420" customWidth="1"/>
    <col min="9218" max="9218" width="5.75" style="420" customWidth="1"/>
    <col min="9219" max="9219" width="6.625" style="420" customWidth="1"/>
    <col min="9220" max="9220" width="11.625" style="420" customWidth="1"/>
    <col min="9221" max="9221" width="14.375" style="420" customWidth="1"/>
    <col min="9222" max="9223" width="6.875" style="420" customWidth="1"/>
    <col min="9224" max="9224" width="3.625" style="420" customWidth="1"/>
    <col min="9225" max="9226" width="9.125" style="420" customWidth="1"/>
    <col min="9227" max="9227" width="4.75" style="420" customWidth="1"/>
    <col min="9228" max="9228" width="13.375" style="420" customWidth="1"/>
    <col min="9229" max="9229" width="3.375" style="420" bestFit="1" customWidth="1"/>
    <col min="9230" max="9472" width="9" style="420"/>
    <col min="9473" max="9473" width="3.625" style="420" customWidth="1"/>
    <col min="9474" max="9474" width="5.75" style="420" customWidth="1"/>
    <col min="9475" max="9475" width="6.625" style="420" customWidth="1"/>
    <col min="9476" max="9476" width="11.625" style="420" customWidth="1"/>
    <col min="9477" max="9477" width="14.375" style="420" customWidth="1"/>
    <col min="9478" max="9479" width="6.875" style="420" customWidth="1"/>
    <col min="9480" max="9480" width="3.625" style="420" customWidth="1"/>
    <col min="9481" max="9482" width="9.125" style="420" customWidth="1"/>
    <col min="9483" max="9483" width="4.75" style="420" customWidth="1"/>
    <col min="9484" max="9484" width="13.375" style="420" customWidth="1"/>
    <col min="9485" max="9485" width="3.375" style="420" bestFit="1" customWidth="1"/>
    <col min="9486" max="9728" width="9" style="420"/>
    <col min="9729" max="9729" width="3.625" style="420" customWidth="1"/>
    <col min="9730" max="9730" width="5.75" style="420" customWidth="1"/>
    <col min="9731" max="9731" width="6.625" style="420" customWidth="1"/>
    <col min="9732" max="9732" width="11.625" style="420" customWidth="1"/>
    <col min="9733" max="9733" width="14.375" style="420" customWidth="1"/>
    <col min="9734" max="9735" width="6.875" style="420" customWidth="1"/>
    <col min="9736" max="9736" width="3.625" style="420" customWidth="1"/>
    <col min="9737" max="9738" width="9.125" style="420" customWidth="1"/>
    <col min="9739" max="9739" width="4.75" style="420" customWidth="1"/>
    <col min="9740" max="9740" width="13.375" style="420" customWidth="1"/>
    <col min="9741" max="9741" width="3.375" style="420" bestFit="1" customWidth="1"/>
    <col min="9742" max="9984" width="9" style="420"/>
    <col min="9985" max="9985" width="3.625" style="420" customWidth="1"/>
    <col min="9986" max="9986" width="5.75" style="420" customWidth="1"/>
    <col min="9987" max="9987" width="6.625" style="420" customWidth="1"/>
    <col min="9988" max="9988" width="11.625" style="420" customWidth="1"/>
    <col min="9989" max="9989" width="14.375" style="420" customWidth="1"/>
    <col min="9990" max="9991" width="6.875" style="420" customWidth="1"/>
    <col min="9992" max="9992" width="3.625" style="420" customWidth="1"/>
    <col min="9993" max="9994" width="9.125" style="420" customWidth="1"/>
    <col min="9995" max="9995" width="4.75" style="420" customWidth="1"/>
    <col min="9996" max="9996" width="13.375" style="420" customWidth="1"/>
    <col min="9997" max="9997" width="3.375" style="420" bestFit="1" customWidth="1"/>
    <col min="9998" max="10240" width="9" style="420"/>
    <col min="10241" max="10241" width="3.625" style="420" customWidth="1"/>
    <col min="10242" max="10242" width="5.75" style="420" customWidth="1"/>
    <col min="10243" max="10243" width="6.625" style="420" customWidth="1"/>
    <col min="10244" max="10244" width="11.625" style="420" customWidth="1"/>
    <col min="10245" max="10245" width="14.375" style="420" customWidth="1"/>
    <col min="10246" max="10247" width="6.875" style="420" customWidth="1"/>
    <col min="10248" max="10248" width="3.625" style="420" customWidth="1"/>
    <col min="10249" max="10250" width="9.125" style="420" customWidth="1"/>
    <col min="10251" max="10251" width="4.75" style="420" customWidth="1"/>
    <col min="10252" max="10252" width="13.375" style="420" customWidth="1"/>
    <col min="10253" max="10253" width="3.375" style="420" bestFit="1" customWidth="1"/>
    <col min="10254" max="10496" width="9" style="420"/>
    <col min="10497" max="10497" width="3.625" style="420" customWidth="1"/>
    <col min="10498" max="10498" width="5.75" style="420" customWidth="1"/>
    <col min="10499" max="10499" width="6.625" style="420" customWidth="1"/>
    <col min="10500" max="10500" width="11.625" style="420" customWidth="1"/>
    <col min="10501" max="10501" width="14.375" style="420" customWidth="1"/>
    <col min="10502" max="10503" width="6.875" style="420" customWidth="1"/>
    <col min="10504" max="10504" width="3.625" style="420" customWidth="1"/>
    <col min="10505" max="10506" width="9.125" style="420" customWidth="1"/>
    <col min="10507" max="10507" width="4.75" style="420" customWidth="1"/>
    <col min="10508" max="10508" width="13.375" style="420" customWidth="1"/>
    <col min="10509" max="10509" width="3.375" style="420" bestFit="1" customWidth="1"/>
    <col min="10510" max="10752" width="9" style="420"/>
    <col min="10753" max="10753" width="3.625" style="420" customWidth="1"/>
    <col min="10754" max="10754" width="5.75" style="420" customWidth="1"/>
    <col min="10755" max="10755" width="6.625" style="420" customWidth="1"/>
    <col min="10756" max="10756" width="11.625" style="420" customWidth="1"/>
    <col min="10757" max="10757" width="14.375" style="420" customWidth="1"/>
    <col min="10758" max="10759" width="6.875" style="420" customWidth="1"/>
    <col min="10760" max="10760" width="3.625" style="420" customWidth="1"/>
    <col min="10761" max="10762" width="9.125" style="420" customWidth="1"/>
    <col min="10763" max="10763" width="4.75" style="420" customWidth="1"/>
    <col min="10764" max="10764" width="13.375" style="420" customWidth="1"/>
    <col min="10765" max="10765" width="3.375" style="420" bestFit="1" customWidth="1"/>
    <col min="10766" max="11008" width="9" style="420"/>
    <col min="11009" max="11009" width="3.625" style="420" customWidth="1"/>
    <col min="11010" max="11010" width="5.75" style="420" customWidth="1"/>
    <col min="11011" max="11011" width="6.625" style="420" customWidth="1"/>
    <col min="11012" max="11012" width="11.625" style="420" customWidth="1"/>
    <col min="11013" max="11013" width="14.375" style="420" customWidth="1"/>
    <col min="11014" max="11015" width="6.875" style="420" customWidth="1"/>
    <col min="11016" max="11016" width="3.625" style="420" customWidth="1"/>
    <col min="11017" max="11018" width="9.125" style="420" customWidth="1"/>
    <col min="11019" max="11019" width="4.75" style="420" customWidth="1"/>
    <col min="11020" max="11020" width="13.375" style="420" customWidth="1"/>
    <col min="11021" max="11021" width="3.375" style="420" bestFit="1" customWidth="1"/>
    <col min="11022" max="11264" width="9" style="420"/>
    <col min="11265" max="11265" width="3.625" style="420" customWidth="1"/>
    <col min="11266" max="11266" width="5.75" style="420" customWidth="1"/>
    <col min="11267" max="11267" width="6.625" style="420" customWidth="1"/>
    <col min="11268" max="11268" width="11.625" style="420" customWidth="1"/>
    <col min="11269" max="11269" width="14.375" style="420" customWidth="1"/>
    <col min="11270" max="11271" width="6.875" style="420" customWidth="1"/>
    <col min="11272" max="11272" width="3.625" style="420" customWidth="1"/>
    <col min="11273" max="11274" width="9.125" style="420" customWidth="1"/>
    <col min="11275" max="11275" width="4.75" style="420" customWidth="1"/>
    <col min="11276" max="11276" width="13.375" style="420" customWidth="1"/>
    <col min="11277" max="11277" width="3.375" style="420" bestFit="1" customWidth="1"/>
    <col min="11278" max="11520" width="9" style="420"/>
    <col min="11521" max="11521" width="3.625" style="420" customWidth="1"/>
    <col min="11522" max="11522" width="5.75" style="420" customWidth="1"/>
    <col min="11523" max="11523" width="6.625" style="420" customWidth="1"/>
    <col min="11524" max="11524" width="11.625" style="420" customWidth="1"/>
    <col min="11525" max="11525" width="14.375" style="420" customWidth="1"/>
    <col min="11526" max="11527" width="6.875" style="420" customWidth="1"/>
    <col min="11528" max="11528" width="3.625" style="420" customWidth="1"/>
    <col min="11529" max="11530" width="9.125" style="420" customWidth="1"/>
    <col min="11531" max="11531" width="4.75" style="420" customWidth="1"/>
    <col min="11532" max="11532" width="13.375" style="420" customWidth="1"/>
    <col min="11533" max="11533" width="3.375" style="420" bestFit="1" customWidth="1"/>
    <col min="11534" max="11776" width="9" style="420"/>
    <col min="11777" max="11777" width="3.625" style="420" customWidth="1"/>
    <col min="11778" max="11778" width="5.75" style="420" customWidth="1"/>
    <col min="11779" max="11779" width="6.625" style="420" customWidth="1"/>
    <col min="11780" max="11780" width="11.625" style="420" customWidth="1"/>
    <col min="11781" max="11781" width="14.375" style="420" customWidth="1"/>
    <col min="11782" max="11783" width="6.875" style="420" customWidth="1"/>
    <col min="11784" max="11784" width="3.625" style="420" customWidth="1"/>
    <col min="11785" max="11786" width="9.125" style="420" customWidth="1"/>
    <col min="11787" max="11787" width="4.75" style="420" customWidth="1"/>
    <col min="11788" max="11788" width="13.375" style="420" customWidth="1"/>
    <col min="11789" max="11789" width="3.375" style="420" bestFit="1" customWidth="1"/>
    <col min="11790" max="12032" width="9" style="420"/>
    <col min="12033" max="12033" width="3.625" style="420" customWidth="1"/>
    <col min="12034" max="12034" width="5.75" style="420" customWidth="1"/>
    <col min="12035" max="12035" width="6.625" style="420" customWidth="1"/>
    <col min="12036" max="12036" width="11.625" style="420" customWidth="1"/>
    <col min="12037" max="12037" width="14.375" style="420" customWidth="1"/>
    <col min="12038" max="12039" width="6.875" style="420" customWidth="1"/>
    <col min="12040" max="12040" width="3.625" style="420" customWidth="1"/>
    <col min="12041" max="12042" width="9.125" style="420" customWidth="1"/>
    <col min="12043" max="12043" width="4.75" style="420" customWidth="1"/>
    <col min="12044" max="12044" width="13.375" style="420" customWidth="1"/>
    <col min="12045" max="12045" width="3.375" style="420" bestFit="1" customWidth="1"/>
    <col min="12046" max="12288" width="9" style="420"/>
    <col min="12289" max="12289" width="3.625" style="420" customWidth="1"/>
    <col min="12290" max="12290" width="5.75" style="420" customWidth="1"/>
    <col min="12291" max="12291" width="6.625" style="420" customWidth="1"/>
    <col min="12292" max="12292" width="11.625" style="420" customWidth="1"/>
    <col min="12293" max="12293" width="14.375" style="420" customWidth="1"/>
    <col min="12294" max="12295" width="6.875" style="420" customWidth="1"/>
    <col min="12296" max="12296" width="3.625" style="420" customWidth="1"/>
    <col min="12297" max="12298" width="9.125" style="420" customWidth="1"/>
    <col min="12299" max="12299" width="4.75" style="420" customWidth="1"/>
    <col min="12300" max="12300" width="13.375" style="420" customWidth="1"/>
    <col min="12301" max="12301" width="3.375" style="420" bestFit="1" customWidth="1"/>
    <col min="12302" max="12544" width="9" style="420"/>
    <col min="12545" max="12545" width="3.625" style="420" customWidth="1"/>
    <col min="12546" max="12546" width="5.75" style="420" customWidth="1"/>
    <col min="12547" max="12547" width="6.625" style="420" customWidth="1"/>
    <col min="12548" max="12548" width="11.625" style="420" customWidth="1"/>
    <col min="12549" max="12549" width="14.375" style="420" customWidth="1"/>
    <col min="12550" max="12551" width="6.875" style="420" customWidth="1"/>
    <col min="12552" max="12552" width="3.625" style="420" customWidth="1"/>
    <col min="12553" max="12554" width="9.125" style="420" customWidth="1"/>
    <col min="12555" max="12555" width="4.75" style="420" customWidth="1"/>
    <col min="12556" max="12556" width="13.375" style="420" customWidth="1"/>
    <col min="12557" max="12557" width="3.375" style="420" bestFit="1" customWidth="1"/>
    <col min="12558" max="12800" width="9" style="420"/>
    <col min="12801" max="12801" width="3.625" style="420" customWidth="1"/>
    <col min="12802" max="12802" width="5.75" style="420" customWidth="1"/>
    <col min="12803" max="12803" width="6.625" style="420" customWidth="1"/>
    <col min="12804" max="12804" width="11.625" style="420" customWidth="1"/>
    <col min="12805" max="12805" width="14.375" style="420" customWidth="1"/>
    <col min="12806" max="12807" width="6.875" style="420" customWidth="1"/>
    <col min="12808" max="12808" width="3.625" style="420" customWidth="1"/>
    <col min="12809" max="12810" width="9.125" style="420" customWidth="1"/>
    <col min="12811" max="12811" width="4.75" style="420" customWidth="1"/>
    <col min="12812" max="12812" width="13.375" style="420" customWidth="1"/>
    <col min="12813" max="12813" width="3.375" style="420" bestFit="1" customWidth="1"/>
    <col min="12814" max="13056" width="9" style="420"/>
    <col min="13057" max="13057" width="3.625" style="420" customWidth="1"/>
    <col min="13058" max="13058" width="5.75" style="420" customWidth="1"/>
    <col min="13059" max="13059" width="6.625" style="420" customWidth="1"/>
    <col min="13060" max="13060" width="11.625" style="420" customWidth="1"/>
    <col min="13061" max="13061" width="14.375" style="420" customWidth="1"/>
    <col min="13062" max="13063" width="6.875" style="420" customWidth="1"/>
    <col min="13064" max="13064" width="3.625" style="420" customWidth="1"/>
    <col min="13065" max="13066" width="9.125" style="420" customWidth="1"/>
    <col min="13067" max="13067" width="4.75" style="420" customWidth="1"/>
    <col min="13068" max="13068" width="13.375" style="420" customWidth="1"/>
    <col min="13069" max="13069" width="3.375" style="420" bestFit="1" customWidth="1"/>
    <col min="13070" max="13312" width="9" style="420"/>
    <col min="13313" max="13313" width="3.625" style="420" customWidth="1"/>
    <col min="13314" max="13314" width="5.75" style="420" customWidth="1"/>
    <col min="13315" max="13315" width="6.625" style="420" customWidth="1"/>
    <col min="13316" max="13316" width="11.625" style="420" customWidth="1"/>
    <col min="13317" max="13317" width="14.375" style="420" customWidth="1"/>
    <col min="13318" max="13319" width="6.875" style="420" customWidth="1"/>
    <col min="13320" max="13320" width="3.625" style="420" customWidth="1"/>
    <col min="13321" max="13322" width="9.125" style="420" customWidth="1"/>
    <col min="13323" max="13323" width="4.75" style="420" customWidth="1"/>
    <col min="13324" max="13324" width="13.375" style="420" customWidth="1"/>
    <col min="13325" max="13325" width="3.375" style="420" bestFit="1" customWidth="1"/>
    <col min="13326" max="13568" width="9" style="420"/>
    <col min="13569" max="13569" width="3.625" style="420" customWidth="1"/>
    <col min="13570" max="13570" width="5.75" style="420" customWidth="1"/>
    <col min="13571" max="13571" width="6.625" style="420" customWidth="1"/>
    <col min="13572" max="13572" width="11.625" style="420" customWidth="1"/>
    <col min="13573" max="13573" width="14.375" style="420" customWidth="1"/>
    <col min="13574" max="13575" width="6.875" style="420" customWidth="1"/>
    <col min="13576" max="13576" width="3.625" style="420" customWidth="1"/>
    <col min="13577" max="13578" width="9.125" style="420" customWidth="1"/>
    <col min="13579" max="13579" width="4.75" style="420" customWidth="1"/>
    <col min="13580" max="13580" width="13.375" style="420" customWidth="1"/>
    <col min="13581" max="13581" width="3.375" style="420" bestFit="1" customWidth="1"/>
    <col min="13582" max="13824" width="9" style="420"/>
    <col min="13825" max="13825" width="3.625" style="420" customWidth="1"/>
    <col min="13826" max="13826" width="5.75" style="420" customWidth="1"/>
    <col min="13827" max="13827" width="6.625" style="420" customWidth="1"/>
    <col min="13828" max="13828" width="11.625" style="420" customWidth="1"/>
    <col min="13829" max="13829" width="14.375" style="420" customWidth="1"/>
    <col min="13830" max="13831" width="6.875" style="420" customWidth="1"/>
    <col min="13832" max="13832" width="3.625" style="420" customWidth="1"/>
    <col min="13833" max="13834" width="9.125" style="420" customWidth="1"/>
    <col min="13835" max="13835" width="4.75" style="420" customWidth="1"/>
    <col min="13836" max="13836" width="13.375" style="420" customWidth="1"/>
    <col min="13837" max="13837" width="3.375" style="420" bestFit="1" customWidth="1"/>
    <col min="13838" max="14080" width="9" style="420"/>
    <col min="14081" max="14081" width="3.625" style="420" customWidth="1"/>
    <col min="14082" max="14082" width="5.75" style="420" customWidth="1"/>
    <col min="14083" max="14083" width="6.625" style="420" customWidth="1"/>
    <col min="14084" max="14084" width="11.625" style="420" customWidth="1"/>
    <col min="14085" max="14085" width="14.375" style="420" customWidth="1"/>
    <col min="14086" max="14087" width="6.875" style="420" customWidth="1"/>
    <col min="14088" max="14088" width="3.625" style="420" customWidth="1"/>
    <col min="14089" max="14090" width="9.125" style="420" customWidth="1"/>
    <col min="14091" max="14091" width="4.75" style="420" customWidth="1"/>
    <col min="14092" max="14092" width="13.375" style="420" customWidth="1"/>
    <col min="14093" max="14093" width="3.375" style="420" bestFit="1" customWidth="1"/>
    <col min="14094" max="14336" width="9" style="420"/>
    <col min="14337" max="14337" width="3.625" style="420" customWidth="1"/>
    <col min="14338" max="14338" width="5.75" style="420" customWidth="1"/>
    <col min="14339" max="14339" width="6.625" style="420" customWidth="1"/>
    <col min="14340" max="14340" width="11.625" style="420" customWidth="1"/>
    <col min="14341" max="14341" width="14.375" style="420" customWidth="1"/>
    <col min="14342" max="14343" width="6.875" style="420" customWidth="1"/>
    <col min="14344" max="14344" width="3.625" style="420" customWidth="1"/>
    <col min="14345" max="14346" width="9.125" style="420" customWidth="1"/>
    <col min="14347" max="14347" width="4.75" style="420" customWidth="1"/>
    <col min="14348" max="14348" width="13.375" style="420" customWidth="1"/>
    <col min="14349" max="14349" width="3.375" style="420" bestFit="1" customWidth="1"/>
    <col min="14350" max="14592" width="9" style="420"/>
    <col min="14593" max="14593" width="3.625" style="420" customWidth="1"/>
    <col min="14594" max="14594" width="5.75" style="420" customWidth="1"/>
    <col min="14595" max="14595" width="6.625" style="420" customWidth="1"/>
    <col min="14596" max="14596" width="11.625" style="420" customWidth="1"/>
    <col min="14597" max="14597" width="14.375" style="420" customWidth="1"/>
    <col min="14598" max="14599" width="6.875" style="420" customWidth="1"/>
    <col min="14600" max="14600" width="3.625" style="420" customWidth="1"/>
    <col min="14601" max="14602" width="9.125" style="420" customWidth="1"/>
    <col min="14603" max="14603" width="4.75" style="420" customWidth="1"/>
    <col min="14604" max="14604" width="13.375" style="420" customWidth="1"/>
    <col min="14605" max="14605" width="3.375" style="420" bestFit="1" customWidth="1"/>
    <col min="14606" max="14848" width="9" style="420"/>
    <col min="14849" max="14849" width="3.625" style="420" customWidth="1"/>
    <col min="14850" max="14850" width="5.75" style="420" customWidth="1"/>
    <col min="14851" max="14851" width="6.625" style="420" customWidth="1"/>
    <col min="14852" max="14852" width="11.625" style="420" customWidth="1"/>
    <col min="14853" max="14853" width="14.375" style="420" customWidth="1"/>
    <col min="14854" max="14855" width="6.875" style="420" customWidth="1"/>
    <col min="14856" max="14856" width="3.625" style="420" customWidth="1"/>
    <col min="14857" max="14858" width="9.125" style="420" customWidth="1"/>
    <col min="14859" max="14859" width="4.75" style="420" customWidth="1"/>
    <col min="14860" max="14860" width="13.375" style="420" customWidth="1"/>
    <col min="14861" max="14861" width="3.375" style="420" bestFit="1" customWidth="1"/>
    <col min="14862" max="15104" width="9" style="420"/>
    <col min="15105" max="15105" width="3.625" style="420" customWidth="1"/>
    <col min="15106" max="15106" width="5.75" style="420" customWidth="1"/>
    <col min="15107" max="15107" width="6.625" style="420" customWidth="1"/>
    <col min="15108" max="15108" width="11.625" style="420" customWidth="1"/>
    <col min="15109" max="15109" width="14.375" style="420" customWidth="1"/>
    <col min="15110" max="15111" width="6.875" style="420" customWidth="1"/>
    <col min="15112" max="15112" width="3.625" style="420" customWidth="1"/>
    <col min="15113" max="15114" width="9.125" style="420" customWidth="1"/>
    <col min="15115" max="15115" width="4.75" style="420" customWidth="1"/>
    <col min="15116" max="15116" width="13.375" style="420" customWidth="1"/>
    <col min="15117" max="15117" width="3.375" style="420" bestFit="1" customWidth="1"/>
    <col min="15118" max="15360" width="9" style="420"/>
    <col min="15361" max="15361" width="3.625" style="420" customWidth="1"/>
    <col min="15362" max="15362" width="5.75" style="420" customWidth="1"/>
    <col min="15363" max="15363" width="6.625" style="420" customWidth="1"/>
    <col min="15364" max="15364" width="11.625" style="420" customWidth="1"/>
    <col min="15365" max="15365" width="14.375" style="420" customWidth="1"/>
    <col min="15366" max="15367" width="6.875" style="420" customWidth="1"/>
    <col min="15368" max="15368" width="3.625" style="420" customWidth="1"/>
    <col min="15369" max="15370" width="9.125" style="420" customWidth="1"/>
    <col min="15371" max="15371" width="4.75" style="420" customWidth="1"/>
    <col min="15372" max="15372" width="13.375" style="420" customWidth="1"/>
    <col min="15373" max="15373" width="3.375" style="420" bestFit="1" customWidth="1"/>
    <col min="15374" max="15616" width="9" style="420"/>
    <col min="15617" max="15617" width="3.625" style="420" customWidth="1"/>
    <col min="15618" max="15618" width="5.75" style="420" customWidth="1"/>
    <col min="15619" max="15619" width="6.625" style="420" customWidth="1"/>
    <col min="15620" max="15620" width="11.625" style="420" customWidth="1"/>
    <col min="15621" max="15621" width="14.375" style="420" customWidth="1"/>
    <col min="15622" max="15623" width="6.875" style="420" customWidth="1"/>
    <col min="15624" max="15624" width="3.625" style="420" customWidth="1"/>
    <col min="15625" max="15626" width="9.125" style="420" customWidth="1"/>
    <col min="15627" max="15627" width="4.75" style="420" customWidth="1"/>
    <col min="15628" max="15628" width="13.375" style="420" customWidth="1"/>
    <col min="15629" max="15629" width="3.375" style="420" bestFit="1" customWidth="1"/>
    <col min="15630" max="15872" width="9" style="420"/>
    <col min="15873" max="15873" width="3.625" style="420" customWidth="1"/>
    <col min="15874" max="15874" width="5.75" style="420" customWidth="1"/>
    <col min="15875" max="15875" width="6.625" style="420" customWidth="1"/>
    <col min="15876" max="15876" width="11.625" style="420" customWidth="1"/>
    <col min="15877" max="15877" width="14.375" style="420" customWidth="1"/>
    <col min="15878" max="15879" width="6.875" style="420" customWidth="1"/>
    <col min="15880" max="15880" width="3.625" style="420" customWidth="1"/>
    <col min="15881" max="15882" width="9.125" style="420" customWidth="1"/>
    <col min="15883" max="15883" width="4.75" style="420" customWidth="1"/>
    <col min="15884" max="15884" width="13.375" style="420" customWidth="1"/>
    <col min="15885" max="15885" width="3.375" style="420" bestFit="1" customWidth="1"/>
    <col min="15886" max="16128" width="9" style="420"/>
    <col min="16129" max="16129" width="3.625" style="420" customWidth="1"/>
    <col min="16130" max="16130" width="5.75" style="420" customWidth="1"/>
    <col min="16131" max="16131" width="6.625" style="420" customWidth="1"/>
    <col min="16132" max="16132" width="11.625" style="420" customWidth="1"/>
    <col min="16133" max="16133" width="14.375" style="420" customWidth="1"/>
    <col min="16134" max="16135" width="6.875" style="420" customWidth="1"/>
    <col min="16136" max="16136" width="3.625" style="420" customWidth="1"/>
    <col min="16137" max="16138" width="9.125" style="420" customWidth="1"/>
    <col min="16139" max="16139" width="4.75" style="420" customWidth="1"/>
    <col min="16140" max="16140" width="13.375" style="420" customWidth="1"/>
    <col min="16141" max="16141" width="3.375" style="420" bestFit="1" customWidth="1"/>
    <col min="16142" max="16384" width="9" style="420"/>
  </cols>
  <sheetData>
    <row r="1" spans="1:13" ht="20.25" customHeight="1">
      <c r="A1" s="761" t="s">
        <v>11291</v>
      </c>
      <c r="B1" s="761"/>
      <c r="C1" s="761"/>
      <c r="D1" s="761"/>
      <c r="E1" s="761"/>
      <c r="F1" s="761"/>
      <c r="G1" s="761"/>
      <c r="H1" s="761"/>
      <c r="I1" s="761"/>
      <c r="J1" s="761"/>
      <c r="K1" s="761"/>
      <c r="L1" s="762" t="s">
        <v>11881</v>
      </c>
      <c r="M1" s="762"/>
    </row>
    <row r="2" spans="1:13" ht="15" customHeight="1">
      <c r="A2" s="763" t="s">
        <v>11152</v>
      </c>
      <c r="B2" s="763"/>
      <c r="C2" s="764"/>
      <c r="D2" s="764"/>
      <c r="H2" s="765" t="s">
        <v>1308</v>
      </c>
      <c r="I2" s="765"/>
      <c r="J2" s="767" t="s">
        <v>11874</v>
      </c>
      <c r="K2" s="767"/>
      <c r="L2" s="767"/>
      <c r="M2" s="767"/>
    </row>
    <row r="3" spans="1:13" ht="15" customHeight="1" thickBot="1">
      <c r="A3" s="420" t="s">
        <v>1333</v>
      </c>
      <c r="H3" s="766"/>
      <c r="I3" s="766"/>
      <c r="J3" s="768"/>
      <c r="K3" s="768"/>
      <c r="L3" s="768"/>
      <c r="M3" s="768"/>
    </row>
    <row r="4" spans="1:13" ht="21.75" customHeight="1">
      <c r="A4" s="753" t="s">
        <v>1334</v>
      </c>
      <c r="B4" s="754"/>
      <c r="C4" s="758"/>
      <c r="D4" s="759"/>
      <c r="E4" s="759"/>
      <c r="F4" s="759"/>
      <c r="G4" s="759"/>
      <c r="H4" s="759"/>
      <c r="I4" s="568" t="s">
        <v>1338</v>
      </c>
      <c r="J4" s="569" t="s">
        <v>11293</v>
      </c>
      <c r="K4" s="760"/>
      <c r="L4" s="760"/>
      <c r="M4" s="570" t="s">
        <v>73</v>
      </c>
    </row>
    <row r="5" spans="1:13" ht="21.75" customHeight="1" thickBot="1">
      <c r="A5" s="741" t="s">
        <v>1335</v>
      </c>
      <c r="B5" s="742"/>
      <c r="C5" s="748"/>
      <c r="D5" s="749"/>
      <c r="E5" s="749"/>
      <c r="F5" s="750"/>
      <c r="G5" s="751" t="s">
        <v>1336</v>
      </c>
      <c r="H5" s="742"/>
      <c r="I5" s="748"/>
      <c r="J5" s="749"/>
      <c r="K5" s="749"/>
      <c r="L5" s="749"/>
      <c r="M5" s="752"/>
    </row>
    <row r="6" spans="1:13" ht="22.5" customHeight="1">
      <c r="A6" s="753" t="s">
        <v>169</v>
      </c>
      <c r="B6" s="754"/>
      <c r="C6" s="755"/>
      <c r="D6" s="756"/>
      <c r="E6" s="756"/>
      <c r="F6" s="756"/>
      <c r="G6" s="756"/>
      <c r="H6" s="756"/>
      <c r="I6" s="756"/>
      <c r="J6" s="756"/>
      <c r="K6" s="756"/>
      <c r="L6" s="756"/>
      <c r="M6" s="757"/>
    </row>
    <row r="7" spans="1:13" ht="22.5" customHeight="1">
      <c r="A7" s="736" t="s">
        <v>2575</v>
      </c>
      <c r="B7" s="737"/>
      <c r="C7" s="738"/>
      <c r="D7" s="739"/>
      <c r="E7" s="739"/>
      <c r="F7" s="739"/>
      <c r="G7" s="739"/>
      <c r="H7" s="739"/>
      <c r="I7" s="739"/>
      <c r="J7" s="739"/>
      <c r="K7" s="739"/>
      <c r="L7" s="739"/>
      <c r="M7" s="740"/>
    </row>
    <row r="8" spans="1:13" ht="22.5" customHeight="1" thickBot="1">
      <c r="A8" s="741" t="s">
        <v>1309</v>
      </c>
      <c r="B8" s="742"/>
      <c r="C8" s="743"/>
      <c r="D8" s="744"/>
      <c r="E8" s="744"/>
      <c r="F8" s="744"/>
      <c r="G8" s="744"/>
      <c r="H8" s="744"/>
      <c r="I8" s="744"/>
      <c r="J8" s="744"/>
      <c r="K8" s="744"/>
      <c r="L8" s="744"/>
      <c r="M8" s="745"/>
    </row>
    <row r="9" spans="1:13" ht="9.75" customHeight="1">
      <c r="A9" s="571"/>
      <c r="B9" s="571"/>
    </row>
    <row r="10" spans="1:13" s="574" customFormat="1" ht="33" customHeight="1" thickBot="1">
      <c r="A10" s="746" t="s">
        <v>11153</v>
      </c>
      <c r="B10" s="746"/>
      <c r="C10" s="746"/>
      <c r="D10" s="746"/>
      <c r="E10" s="572" t="s">
        <v>76</v>
      </c>
      <c r="F10" s="747"/>
      <c r="G10" s="747"/>
      <c r="H10" s="747"/>
      <c r="I10" s="747"/>
      <c r="J10" s="747"/>
      <c r="K10" s="573" t="s">
        <v>1310</v>
      </c>
    </row>
    <row r="11" spans="1:13" s="575" customFormat="1" ht="6" customHeight="1" thickTop="1">
      <c r="E11" s="576"/>
      <c r="F11" s="577"/>
      <c r="G11" s="577"/>
      <c r="H11" s="577"/>
      <c r="I11" s="577"/>
      <c r="J11" s="577"/>
    </row>
    <row r="12" spans="1:13" s="575" customFormat="1">
      <c r="E12" s="733" t="s">
        <v>11294</v>
      </c>
      <c r="F12" s="733"/>
      <c r="G12" s="733"/>
      <c r="H12" s="733"/>
      <c r="I12" s="733"/>
      <c r="J12" s="733"/>
      <c r="K12" s="733"/>
    </row>
    <row r="13" spans="1:13" s="575" customFormat="1" ht="6" customHeight="1"/>
    <row r="14" spans="1:13" ht="14.25" customHeight="1">
      <c r="B14" s="704" t="s">
        <v>11310</v>
      </c>
      <c r="C14" s="704"/>
      <c r="D14" s="704"/>
      <c r="E14" s="704"/>
      <c r="F14" s="704"/>
      <c r="G14" s="704"/>
      <c r="H14" s="734" t="s">
        <v>10211</v>
      </c>
      <c r="I14" s="734"/>
      <c r="J14" s="734"/>
      <c r="K14" s="734"/>
      <c r="L14" s="734"/>
    </row>
    <row r="15" spans="1:13" ht="15" customHeight="1">
      <c r="B15" s="704" t="s">
        <v>11864</v>
      </c>
      <c r="C15" s="704"/>
      <c r="D15" s="704"/>
      <c r="E15" s="704"/>
      <c r="F15" s="704"/>
      <c r="G15" s="704"/>
      <c r="H15" s="734" t="s">
        <v>11882</v>
      </c>
      <c r="I15" s="734"/>
      <c r="J15" s="734"/>
      <c r="K15" s="734"/>
      <c r="L15" s="734"/>
    </row>
    <row r="16" spans="1:13" ht="15" customHeight="1">
      <c r="B16" s="578" t="s">
        <v>1311</v>
      </c>
      <c r="H16" s="735" t="s">
        <v>11865</v>
      </c>
      <c r="I16" s="735"/>
      <c r="J16" s="735"/>
      <c r="K16" s="735"/>
      <c r="L16" s="735"/>
    </row>
    <row r="17" spans="1:13" ht="12" customHeight="1">
      <c r="H17" s="735" t="s">
        <v>11866</v>
      </c>
      <c r="I17" s="735"/>
      <c r="J17" s="735"/>
      <c r="K17" s="735"/>
      <c r="L17" s="735"/>
    </row>
    <row r="18" spans="1:13" ht="6" customHeight="1">
      <c r="L18" s="579"/>
    </row>
    <row r="19" spans="1:13" ht="18" customHeight="1">
      <c r="A19" s="580" t="s">
        <v>1312</v>
      </c>
      <c r="B19" s="581"/>
      <c r="C19" s="716" t="s">
        <v>11867</v>
      </c>
      <c r="D19" s="716"/>
      <c r="E19" s="716"/>
      <c r="F19" s="716"/>
      <c r="G19" s="716"/>
      <c r="H19" s="716"/>
      <c r="I19" s="716"/>
      <c r="J19" s="716"/>
      <c r="K19" s="716"/>
      <c r="L19" s="716"/>
      <c r="M19" s="717"/>
    </row>
    <row r="20" spans="1:13" ht="18" customHeight="1">
      <c r="A20" s="582"/>
      <c r="C20" s="706" t="s">
        <v>11868</v>
      </c>
      <c r="D20" s="706"/>
      <c r="E20" s="706"/>
      <c r="F20" s="706"/>
      <c r="G20" s="706"/>
      <c r="H20" s="706"/>
      <c r="I20" s="706"/>
      <c r="J20" s="706"/>
      <c r="K20" s="706"/>
      <c r="L20" s="706"/>
      <c r="M20" s="707"/>
    </row>
    <row r="21" spans="1:13" ht="18" customHeight="1">
      <c r="A21" s="583"/>
      <c r="B21" s="584"/>
      <c r="C21" s="708" t="s">
        <v>11869</v>
      </c>
      <c r="D21" s="708"/>
      <c r="E21" s="708"/>
      <c r="F21" s="708"/>
      <c r="G21" s="708"/>
      <c r="H21" s="708"/>
      <c r="I21" s="708"/>
      <c r="J21" s="708"/>
      <c r="K21" s="708"/>
      <c r="L21" s="708"/>
      <c r="M21" s="709"/>
    </row>
    <row r="22" spans="1:13" ht="6" customHeight="1">
      <c r="A22" s="585"/>
      <c r="B22" s="585"/>
      <c r="C22" s="585"/>
      <c r="D22" s="585"/>
      <c r="E22" s="585"/>
      <c r="F22" s="585"/>
      <c r="G22" s="585"/>
      <c r="H22" s="585"/>
      <c r="I22" s="585"/>
      <c r="J22" s="585"/>
      <c r="K22" s="585"/>
      <c r="L22" s="585"/>
    </row>
    <row r="23" spans="1:13" ht="6" customHeight="1">
      <c r="M23" s="586"/>
    </row>
    <row r="24" spans="1:13" ht="21.95" customHeight="1">
      <c r="A24" s="587" t="s">
        <v>1313</v>
      </c>
      <c r="B24" s="587"/>
      <c r="E24" s="710" t="s">
        <v>11870</v>
      </c>
      <c r="F24" s="710"/>
      <c r="G24" s="710"/>
      <c r="H24" s="710"/>
      <c r="I24" s="711" t="s">
        <v>11871</v>
      </c>
      <c r="J24" s="711"/>
      <c r="K24" s="711"/>
      <c r="L24" s="711"/>
      <c r="M24" s="711"/>
    </row>
    <row r="25" spans="1:13" ht="15.75" customHeight="1">
      <c r="A25" s="588" t="s">
        <v>1314</v>
      </c>
      <c r="B25" s="589"/>
      <c r="C25" s="589"/>
      <c r="D25" s="589"/>
      <c r="E25" s="589"/>
      <c r="F25" s="589"/>
      <c r="G25" s="589"/>
      <c r="H25" s="589"/>
      <c r="I25" s="589"/>
      <c r="J25" s="589"/>
      <c r="K25" s="590"/>
      <c r="L25" s="712" t="s">
        <v>1315</v>
      </c>
      <c r="M25" s="713"/>
    </row>
    <row r="26" spans="1:13" ht="15.75" customHeight="1">
      <c r="A26" s="591"/>
      <c r="K26" s="592"/>
      <c r="L26" s="714" t="s">
        <v>1316</v>
      </c>
      <c r="M26" s="715"/>
    </row>
    <row r="27" spans="1:13" ht="19.5" customHeight="1">
      <c r="A27" s="591"/>
      <c r="B27" s="705" t="s">
        <v>1317</v>
      </c>
      <c r="C27" s="705"/>
      <c r="D27" s="705"/>
      <c r="E27" s="705"/>
      <c r="F27" s="705"/>
      <c r="G27" s="705"/>
      <c r="H27" s="705"/>
      <c r="I27" s="705"/>
      <c r="J27" s="705"/>
      <c r="K27" s="592"/>
      <c r="L27" s="725"/>
      <c r="M27" s="726"/>
    </row>
    <row r="28" spans="1:13" ht="15.75" customHeight="1">
      <c r="A28" s="591"/>
      <c r="E28" s="578" t="s">
        <v>1318</v>
      </c>
      <c r="K28" s="592"/>
      <c r="L28" s="727" t="s">
        <v>1319</v>
      </c>
      <c r="M28" s="728"/>
    </row>
    <row r="29" spans="1:13" ht="15.75" customHeight="1">
      <c r="A29" s="591"/>
      <c r="K29" s="592"/>
      <c r="L29" s="729" t="s">
        <v>11872</v>
      </c>
      <c r="M29" s="730"/>
    </row>
    <row r="30" spans="1:13" ht="15.75" customHeight="1">
      <c r="A30" s="591"/>
      <c r="K30" s="592"/>
      <c r="L30" s="731"/>
      <c r="M30" s="732"/>
    </row>
    <row r="31" spans="1:13" ht="15.75" customHeight="1">
      <c r="A31" s="591"/>
      <c r="L31" s="718"/>
      <c r="M31" s="719"/>
    </row>
    <row r="32" spans="1:13" ht="15.75" customHeight="1">
      <c r="A32" s="591"/>
      <c r="L32" s="567"/>
      <c r="M32" s="592"/>
    </row>
    <row r="33" spans="1:14" ht="11.25" customHeight="1">
      <c r="A33" s="591"/>
      <c r="F33" s="720"/>
      <c r="G33" s="720"/>
      <c r="H33" s="720"/>
      <c r="I33" s="720"/>
      <c r="J33" s="720"/>
      <c r="L33" s="593"/>
      <c r="M33" s="592"/>
    </row>
    <row r="34" spans="1:14" ht="11.25" customHeight="1">
      <c r="A34" s="591"/>
      <c r="F34" s="720"/>
      <c r="G34" s="720"/>
      <c r="H34" s="720"/>
      <c r="I34" s="720"/>
      <c r="J34" s="720"/>
      <c r="L34" s="567"/>
      <c r="M34" s="592"/>
    </row>
    <row r="35" spans="1:14" ht="15.75" customHeight="1">
      <c r="A35" s="591"/>
      <c r="F35" s="720"/>
      <c r="G35" s="720"/>
      <c r="H35" s="720"/>
      <c r="I35" s="720"/>
      <c r="J35" s="720"/>
      <c r="L35" s="593"/>
      <c r="M35" s="592"/>
    </row>
    <row r="36" spans="1:14" ht="15.75" customHeight="1">
      <c r="A36" s="591"/>
      <c r="F36" s="720"/>
      <c r="G36" s="720"/>
      <c r="H36" s="720"/>
      <c r="I36" s="720"/>
      <c r="J36" s="720"/>
      <c r="K36" s="594"/>
      <c r="L36" s="567"/>
      <c r="M36" s="592"/>
    </row>
    <row r="37" spans="1:14" ht="15.75" customHeight="1">
      <c r="A37" s="591"/>
      <c r="F37" s="720"/>
      <c r="G37" s="720"/>
      <c r="H37" s="720"/>
      <c r="I37" s="720"/>
      <c r="J37" s="720"/>
      <c r="K37" s="594"/>
      <c r="L37" s="595"/>
      <c r="M37" s="592"/>
    </row>
    <row r="38" spans="1:14" ht="6" customHeight="1">
      <c r="A38" s="596"/>
      <c r="B38" s="597"/>
      <c r="C38" s="598"/>
      <c r="D38" s="598"/>
      <c r="E38" s="598"/>
      <c r="F38" s="598"/>
      <c r="G38" s="598"/>
      <c r="H38" s="598"/>
      <c r="I38" s="598"/>
      <c r="J38" s="598"/>
      <c r="K38" s="598"/>
      <c r="L38" s="598"/>
      <c r="M38" s="599"/>
    </row>
    <row r="39" spans="1:14" ht="6" customHeight="1" thickBot="1">
      <c r="A39" s="600"/>
      <c r="L39" s="601"/>
    </row>
    <row r="40" spans="1:14" ht="15.95" customHeight="1">
      <c r="A40" s="602"/>
      <c r="B40" s="603"/>
      <c r="C40" s="603"/>
      <c r="D40" s="603"/>
      <c r="E40" s="721" t="s">
        <v>1320</v>
      </c>
      <c r="F40" s="722"/>
      <c r="G40" s="604" t="s">
        <v>11154</v>
      </c>
      <c r="H40" s="600"/>
      <c r="I40" s="600"/>
      <c r="J40" s="600"/>
      <c r="K40" s="600"/>
      <c r="L40" s="600"/>
    </row>
    <row r="41" spans="1:14" ht="15.95" customHeight="1">
      <c r="A41" s="605" t="s">
        <v>4280</v>
      </c>
      <c r="B41" s="606" t="s">
        <v>1321</v>
      </c>
      <c r="C41" s="607"/>
      <c r="D41" s="608"/>
      <c r="E41" s="609"/>
      <c r="F41" s="610" t="s">
        <v>2953</v>
      </c>
      <c r="G41" s="604" t="s">
        <v>11155</v>
      </c>
      <c r="H41" s="600"/>
      <c r="I41" s="600"/>
      <c r="J41" s="600"/>
      <c r="K41" s="600"/>
      <c r="L41" s="600"/>
    </row>
    <row r="42" spans="1:14" ht="15.95" customHeight="1">
      <c r="A42" s="611" t="s">
        <v>4280</v>
      </c>
      <c r="B42" s="612" t="s">
        <v>1322</v>
      </c>
      <c r="C42" s="612"/>
      <c r="D42" s="613"/>
      <c r="E42" s="614"/>
      <c r="F42" s="615" t="s">
        <v>2953</v>
      </c>
      <c r="G42" s="616"/>
    </row>
    <row r="43" spans="1:14" ht="15.95" customHeight="1" thickBot="1">
      <c r="A43" s="617" t="s">
        <v>4280</v>
      </c>
      <c r="B43" s="618" t="s">
        <v>1323</v>
      </c>
      <c r="C43" s="618"/>
      <c r="D43" s="619"/>
      <c r="E43" s="620"/>
      <c r="F43" s="621" t="s">
        <v>2953</v>
      </c>
      <c r="G43" s="616"/>
    </row>
    <row r="44" spans="1:14" ht="6" customHeight="1">
      <c r="A44" s="585"/>
      <c r="B44" s="585"/>
      <c r="C44" s="585"/>
      <c r="D44" s="585"/>
      <c r="E44" s="585"/>
      <c r="F44" s="585"/>
      <c r="G44" s="585"/>
      <c r="H44" s="585"/>
      <c r="I44" s="585"/>
      <c r="J44" s="585"/>
      <c r="K44" s="585"/>
      <c r="L44" s="585"/>
      <c r="M44" s="585"/>
    </row>
    <row r="45" spans="1:14" ht="15" customHeight="1">
      <c r="A45" s="584" t="s">
        <v>1324</v>
      </c>
      <c r="B45" s="584"/>
      <c r="C45" s="584"/>
      <c r="D45" s="584"/>
      <c r="E45" s="584"/>
      <c r="F45" s="584"/>
      <c r="G45" s="584"/>
      <c r="H45" s="584"/>
      <c r="I45" s="584"/>
      <c r="J45" s="584"/>
      <c r="K45" s="584"/>
      <c r="L45" s="584"/>
    </row>
    <row r="46" spans="1:14" ht="20.100000000000001" customHeight="1">
      <c r="A46" s="622" t="s">
        <v>1327</v>
      </c>
      <c r="B46" s="623"/>
      <c r="C46" s="623"/>
      <c r="D46" s="623"/>
      <c r="E46" s="624"/>
      <c r="F46" s="723"/>
      <c r="G46" s="723"/>
      <c r="H46" s="623" t="s">
        <v>1328</v>
      </c>
      <c r="I46" s="625"/>
      <c r="J46" s="623"/>
      <c r="K46" s="622" t="s">
        <v>1325</v>
      </c>
      <c r="L46" s="626"/>
      <c r="M46" s="627" t="s">
        <v>1337</v>
      </c>
    </row>
    <row r="47" spans="1:14" ht="20.100000000000001" customHeight="1">
      <c r="A47" s="695" t="s">
        <v>1330</v>
      </c>
      <c r="B47" s="696"/>
      <c r="C47" s="696"/>
      <c r="D47" s="696"/>
      <c r="E47" s="696"/>
      <c r="F47" s="724"/>
      <c r="G47" s="724"/>
      <c r="H47" s="625" t="s">
        <v>11295</v>
      </c>
      <c r="I47" s="581" t="s">
        <v>11296</v>
      </c>
      <c r="J47" s="627"/>
      <c r="K47" s="628" t="s">
        <v>1325</v>
      </c>
      <c r="L47" s="626" t="s">
        <v>11787</v>
      </c>
      <c r="M47" s="627" t="s">
        <v>1337</v>
      </c>
      <c r="N47" s="629"/>
    </row>
    <row r="48" spans="1:14" ht="20.100000000000001" customHeight="1">
      <c r="A48" s="695" t="s">
        <v>11297</v>
      </c>
      <c r="B48" s="696"/>
      <c r="C48" s="696"/>
      <c r="D48" s="696"/>
      <c r="E48" s="696"/>
      <c r="F48" s="697"/>
      <c r="G48" s="697"/>
      <c r="H48" s="623" t="s">
        <v>1328</v>
      </c>
      <c r="I48" s="624"/>
      <c r="J48" s="630" t="s">
        <v>11298</v>
      </c>
      <c r="K48" s="580" t="s">
        <v>1326</v>
      </c>
      <c r="L48" s="626" t="s">
        <v>11787</v>
      </c>
      <c r="M48" s="631" t="s">
        <v>1337</v>
      </c>
      <c r="N48" s="629"/>
    </row>
    <row r="49" spans="1:14" ht="20.100000000000001" customHeight="1">
      <c r="A49" s="698" t="s">
        <v>11875</v>
      </c>
      <c r="B49" s="699"/>
      <c r="C49" s="700"/>
      <c r="D49" s="632" t="s">
        <v>11701</v>
      </c>
      <c r="E49" s="623"/>
      <c r="F49" s="623"/>
      <c r="G49" s="623"/>
      <c r="H49" s="624"/>
      <c r="I49" s="624" t="s">
        <v>11299</v>
      </c>
      <c r="J49" s="630" t="s">
        <v>11298</v>
      </c>
      <c r="K49" s="580" t="s">
        <v>11156</v>
      </c>
      <c r="L49" s="626" t="s">
        <v>11787</v>
      </c>
      <c r="M49" s="627" t="s">
        <v>1337</v>
      </c>
    </row>
    <row r="50" spans="1:14" ht="20.100000000000001" customHeight="1">
      <c r="A50" s="701"/>
      <c r="B50" s="702"/>
      <c r="C50" s="703"/>
      <c r="D50" s="632" t="s">
        <v>11702</v>
      </c>
      <c r="E50" s="623"/>
      <c r="G50" s="623"/>
      <c r="H50" s="623"/>
      <c r="I50" s="624" t="s">
        <v>11300</v>
      </c>
      <c r="J50" s="630" t="s">
        <v>11298</v>
      </c>
      <c r="K50" s="580" t="s">
        <v>11156</v>
      </c>
      <c r="L50" s="626" t="s">
        <v>11787</v>
      </c>
      <c r="M50" s="627" t="s">
        <v>1337</v>
      </c>
    </row>
    <row r="51" spans="1:14" ht="20.100000000000001" customHeight="1">
      <c r="A51" s="622" t="s">
        <v>1331</v>
      </c>
      <c r="B51" s="623"/>
      <c r="C51" s="623"/>
      <c r="D51" s="623"/>
      <c r="E51" s="623"/>
      <c r="F51" s="581"/>
      <c r="G51" s="581"/>
      <c r="H51" s="623"/>
      <c r="I51" s="623"/>
      <c r="J51" s="623"/>
      <c r="K51" s="622" t="s">
        <v>1329</v>
      </c>
      <c r="L51" s="638" t="s">
        <v>11787</v>
      </c>
      <c r="M51" s="627" t="s">
        <v>1337</v>
      </c>
      <c r="N51" s="629"/>
    </row>
    <row r="52" spans="1:14" ht="20.100000000000001" customHeight="1">
      <c r="A52" s="656" t="s">
        <v>11876</v>
      </c>
      <c r="B52" s="623"/>
      <c r="C52" s="623"/>
      <c r="D52" s="623"/>
      <c r="E52" s="623"/>
      <c r="F52" s="581"/>
      <c r="G52" s="581"/>
      <c r="H52" s="623"/>
      <c r="I52" s="581"/>
      <c r="J52" s="623"/>
      <c r="K52" s="580" t="s">
        <v>11878</v>
      </c>
      <c r="L52" s="655"/>
      <c r="M52" s="627" t="s">
        <v>1337</v>
      </c>
      <c r="N52" s="629"/>
    </row>
    <row r="53" spans="1:14" ht="20.100000000000001" customHeight="1" thickBot="1">
      <c r="A53" s="656" t="s">
        <v>11877</v>
      </c>
      <c r="B53" s="623"/>
      <c r="C53" s="623"/>
      <c r="D53" s="623"/>
      <c r="E53" s="623"/>
      <c r="F53" s="581"/>
      <c r="G53" s="581"/>
      <c r="H53" s="623"/>
      <c r="I53" s="581"/>
      <c r="J53" s="623"/>
      <c r="K53" s="580" t="s">
        <v>11879</v>
      </c>
      <c r="L53" s="655"/>
      <c r="M53" s="633" t="s">
        <v>1337</v>
      </c>
      <c r="N53" s="629"/>
    </row>
    <row r="54" spans="1:14" ht="20.100000000000001" customHeight="1" thickTop="1" thickBot="1">
      <c r="A54" s="622" t="s">
        <v>11713</v>
      </c>
      <c r="B54" s="623"/>
      <c r="C54" s="623"/>
      <c r="D54" s="623"/>
      <c r="E54" s="624"/>
      <c r="F54" s="639"/>
      <c r="G54" s="639"/>
      <c r="H54" s="623" t="s">
        <v>11873</v>
      </c>
      <c r="I54" s="641" t="s">
        <v>11714</v>
      </c>
      <c r="J54" s="623"/>
      <c r="K54" s="580" t="s">
        <v>10164</v>
      </c>
      <c r="L54" s="642" t="s">
        <v>11787</v>
      </c>
      <c r="M54" s="633" t="s">
        <v>1337</v>
      </c>
    </row>
    <row r="55" spans="1:14" ht="18.75" customHeight="1" thickTop="1" thickBot="1">
      <c r="A55" s="656" t="s">
        <v>11880</v>
      </c>
      <c r="B55" s="623"/>
      <c r="C55" s="623"/>
      <c r="D55" s="623"/>
      <c r="E55" s="623"/>
      <c r="F55" s="623"/>
      <c r="G55" s="623"/>
      <c r="H55" s="623"/>
      <c r="I55" s="623"/>
      <c r="J55" s="634"/>
      <c r="K55" s="635" t="s">
        <v>1332</v>
      </c>
      <c r="L55" s="636"/>
      <c r="M55" s="637" t="s">
        <v>1337</v>
      </c>
    </row>
    <row r="56" spans="1:14" ht="14.25" thickTop="1"/>
  </sheetData>
  <mergeCells count="48">
    <mergeCell ref="A4:B4"/>
    <mergeCell ref="C4:H4"/>
    <mergeCell ref="K4:L4"/>
    <mergeCell ref="A1:K1"/>
    <mergeCell ref="L1:M1"/>
    <mergeCell ref="A2:D2"/>
    <mergeCell ref="H2:I3"/>
    <mergeCell ref="J2:M3"/>
    <mergeCell ref="A5:B5"/>
    <mergeCell ref="C5:F5"/>
    <mergeCell ref="G5:H5"/>
    <mergeCell ref="I5:M5"/>
    <mergeCell ref="A6:B6"/>
    <mergeCell ref="C6:M6"/>
    <mergeCell ref="A7:B7"/>
    <mergeCell ref="C7:M7"/>
    <mergeCell ref="A8:B8"/>
    <mergeCell ref="C8:M8"/>
    <mergeCell ref="A10:D10"/>
    <mergeCell ref="F10:J10"/>
    <mergeCell ref="E12:K12"/>
    <mergeCell ref="H14:L14"/>
    <mergeCell ref="H15:L15"/>
    <mergeCell ref="H16:L16"/>
    <mergeCell ref="H17:L17"/>
    <mergeCell ref="F46:G46"/>
    <mergeCell ref="A47:E47"/>
    <mergeCell ref="F47:G47"/>
    <mergeCell ref="L27:M27"/>
    <mergeCell ref="L28:M28"/>
    <mergeCell ref="L29:M29"/>
    <mergeCell ref="L30:M30"/>
    <mergeCell ref="A48:E48"/>
    <mergeCell ref="F48:G48"/>
    <mergeCell ref="A49:C50"/>
    <mergeCell ref="B14:G14"/>
    <mergeCell ref="B15:G15"/>
    <mergeCell ref="B27:J27"/>
    <mergeCell ref="C20:M20"/>
    <mergeCell ref="C21:M21"/>
    <mergeCell ref="E24:H24"/>
    <mergeCell ref="I24:M24"/>
    <mergeCell ref="L25:M25"/>
    <mergeCell ref="L26:M26"/>
    <mergeCell ref="C19:M19"/>
    <mergeCell ref="L31:M31"/>
    <mergeCell ref="F33:J37"/>
    <mergeCell ref="E40:F40"/>
  </mergeCells>
  <phoneticPr fontId="2"/>
  <dataValidations count="4">
    <dataValidation type="list" allowBlank="1" showInputMessage="1" showErrorMessage="1" sqref="I47 JE47 TA47 ACW47 AMS47 AWO47 BGK47 BQG47 CAC47 CJY47 CTU47 DDQ47 DNM47 DXI47 EHE47 ERA47 FAW47 FKS47 FUO47 GEK47 GOG47 GYC47 HHY47 HRU47 IBQ47 ILM47 IVI47 JFE47 JPA47 JYW47 KIS47 KSO47 LCK47 LMG47 LWC47 MFY47 MPU47 MZQ47 NJM47 NTI47 ODE47 ONA47 OWW47 PGS47 PQO47 QAK47 QKG47 QUC47 RDY47 RNU47 RXQ47 SHM47 SRI47 TBE47 TLA47 TUW47 UES47 UOO47 UYK47 VIG47 VSC47 WBY47 WLU47 WVQ47 I65586 JE65586 TA65586 ACW65586 AMS65586 AWO65586 BGK65586 BQG65586 CAC65586 CJY65586 CTU65586 DDQ65586 DNM65586 DXI65586 EHE65586 ERA65586 FAW65586 FKS65586 FUO65586 GEK65586 GOG65586 GYC65586 HHY65586 HRU65586 IBQ65586 ILM65586 IVI65586 JFE65586 JPA65586 JYW65586 KIS65586 KSO65586 LCK65586 LMG65586 LWC65586 MFY65586 MPU65586 MZQ65586 NJM65586 NTI65586 ODE65586 ONA65586 OWW65586 PGS65586 PQO65586 QAK65586 QKG65586 QUC65586 RDY65586 RNU65586 RXQ65586 SHM65586 SRI65586 TBE65586 TLA65586 TUW65586 UES65586 UOO65586 UYK65586 VIG65586 VSC65586 WBY65586 WLU65586 WVQ65586 I131122 JE131122 TA131122 ACW131122 AMS131122 AWO131122 BGK131122 BQG131122 CAC131122 CJY131122 CTU131122 DDQ131122 DNM131122 DXI131122 EHE131122 ERA131122 FAW131122 FKS131122 FUO131122 GEK131122 GOG131122 GYC131122 HHY131122 HRU131122 IBQ131122 ILM131122 IVI131122 JFE131122 JPA131122 JYW131122 KIS131122 KSO131122 LCK131122 LMG131122 LWC131122 MFY131122 MPU131122 MZQ131122 NJM131122 NTI131122 ODE131122 ONA131122 OWW131122 PGS131122 PQO131122 QAK131122 QKG131122 QUC131122 RDY131122 RNU131122 RXQ131122 SHM131122 SRI131122 TBE131122 TLA131122 TUW131122 UES131122 UOO131122 UYK131122 VIG131122 VSC131122 WBY131122 WLU131122 WVQ131122 I196658 JE196658 TA196658 ACW196658 AMS196658 AWO196658 BGK196658 BQG196658 CAC196658 CJY196658 CTU196658 DDQ196658 DNM196658 DXI196658 EHE196658 ERA196658 FAW196658 FKS196658 FUO196658 GEK196658 GOG196658 GYC196658 HHY196658 HRU196658 IBQ196658 ILM196658 IVI196658 JFE196658 JPA196658 JYW196658 KIS196658 KSO196658 LCK196658 LMG196658 LWC196658 MFY196658 MPU196658 MZQ196658 NJM196658 NTI196658 ODE196658 ONA196658 OWW196658 PGS196658 PQO196658 QAK196658 QKG196658 QUC196658 RDY196658 RNU196658 RXQ196658 SHM196658 SRI196658 TBE196658 TLA196658 TUW196658 UES196658 UOO196658 UYK196658 VIG196658 VSC196658 WBY196658 WLU196658 WVQ196658 I262194 JE262194 TA262194 ACW262194 AMS262194 AWO262194 BGK262194 BQG262194 CAC262194 CJY262194 CTU262194 DDQ262194 DNM262194 DXI262194 EHE262194 ERA262194 FAW262194 FKS262194 FUO262194 GEK262194 GOG262194 GYC262194 HHY262194 HRU262194 IBQ262194 ILM262194 IVI262194 JFE262194 JPA262194 JYW262194 KIS262194 KSO262194 LCK262194 LMG262194 LWC262194 MFY262194 MPU262194 MZQ262194 NJM262194 NTI262194 ODE262194 ONA262194 OWW262194 PGS262194 PQO262194 QAK262194 QKG262194 QUC262194 RDY262194 RNU262194 RXQ262194 SHM262194 SRI262194 TBE262194 TLA262194 TUW262194 UES262194 UOO262194 UYK262194 VIG262194 VSC262194 WBY262194 WLU262194 WVQ262194 I327730 JE327730 TA327730 ACW327730 AMS327730 AWO327730 BGK327730 BQG327730 CAC327730 CJY327730 CTU327730 DDQ327730 DNM327730 DXI327730 EHE327730 ERA327730 FAW327730 FKS327730 FUO327730 GEK327730 GOG327730 GYC327730 HHY327730 HRU327730 IBQ327730 ILM327730 IVI327730 JFE327730 JPA327730 JYW327730 KIS327730 KSO327730 LCK327730 LMG327730 LWC327730 MFY327730 MPU327730 MZQ327730 NJM327730 NTI327730 ODE327730 ONA327730 OWW327730 PGS327730 PQO327730 QAK327730 QKG327730 QUC327730 RDY327730 RNU327730 RXQ327730 SHM327730 SRI327730 TBE327730 TLA327730 TUW327730 UES327730 UOO327730 UYK327730 VIG327730 VSC327730 WBY327730 WLU327730 WVQ327730 I393266 JE393266 TA393266 ACW393266 AMS393266 AWO393266 BGK393266 BQG393266 CAC393266 CJY393266 CTU393266 DDQ393266 DNM393266 DXI393266 EHE393266 ERA393266 FAW393266 FKS393266 FUO393266 GEK393266 GOG393266 GYC393266 HHY393266 HRU393266 IBQ393266 ILM393266 IVI393266 JFE393266 JPA393266 JYW393266 KIS393266 KSO393266 LCK393266 LMG393266 LWC393266 MFY393266 MPU393266 MZQ393266 NJM393266 NTI393266 ODE393266 ONA393266 OWW393266 PGS393266 PQO393266 QAK393266 QKG393266 QUC393266 RDY393266 RNU393266 RXQ393266 SHM393266 SRI393266 TBE393266 TLA393266 TUW393266 UES393266 UOO393266 UYK393266 VIG393266 VSC393266 WBY393266 WLU393266 WVQ393266 I458802 JE458802 TA458802 ACW458802 AMS458802 AWO458802 BGK458802 BQG458802 CAC458802 CJY458802 CTU458802 DDQ458802 DNM458802 DXI458802 EHE458802 ERA458802 FAW458802 FKS458802 FUO458802 GEK458802 GOG458802 GYC458802 HHY458802 HRU458802 IBQ458802 ILM458802 IVI458802 JFE458802 JPA458802 JYW458802 KIS458802 KSO458802 LCK458802 LMG458802 LWC458802 MFY458802 MPU458802 MZQ458802 NJM458802 NTI458802 ODE458802 ONA458802 OWW458802 PGS458802 PQO458802 QAK458802 QKG458802 QUC458802 RDY458802 RNU458802 RXQ458802 SHM458802 SRI458802 TBE458802 TLA458802 TUW458802 UES458802 UOO458802 UYK458802 VIG458802 VSC458802 WBY458802 WLU458802 WVQ458802 I524338 JE524338 TA524338 ACW524338 AMS524338 AWO524338 BGK524338 BQG524338 CAC524338 CJY524338 CTU524338 DDQ524338 DNM524338 DXI524338 EHE524338 ERA524338 FAW524338 FKS524338 FUO524338 GEK524338 GOG524338 GYC524338 HHY524338 HRU524338 IBQ524338 ILM524338 IVI524338 JFE524338 JPA524338 JYW524338 KIS524338 KSO524338 LCK524338 LMG524338 LWC524338 MFY524338 MPU524338 MZQ524338 NJM524338 NTI524338 ODE524338 ONA524338 OWW524338 PGS524338 PQO524338 QAK524338 QKG524338 QUC524338 RDY524338 RNU524338 RXQ524338 SHM524338 SRI524338 TBE524338 TLA524338 TUW524338 UES524338 UOO524338 UYK524338 VIG524338 VSC524338 WBY524338 WLU524338 WVQ524338 I589874 JE589874 TA589874 ACW589874 AMS589874 AWO589874 BGK589874 BQG589874 CAC589874 CJY589874 CTU589874 DDQ589874 DNM589874 DXI589874 EHE589874 ERA589874 FAW589874 FKS589874 FUO589874 GEK589874 GOG589874 GYC589874 HHY589874 HRU589874 IBQ589874 ILM589874 IVI589874 JFE589874 JPA589874 JYW589874 KIS589874 KSO589874 LCK589874 LMG589874 LWC589874 MFY589874 MPU589874 MZQ589874 NJM589874 NTI589874 ODE589874 ONA589874 OWW589874 PGS589874 PQO589874 QAK589874 QKG589874 QUC589874 RDY589874 RNU589874 RXQ589874 SHM589874 SRI589874 TBE589874 TLA589874 TUW589874 UES589874 UOO589874 UYK589874 VIG589874 VSC589874 WBY589874 WLU589874 WVQ589874 I655410 JE655410 TA655410 ACW655410 AMS655410 AWO655410 BGK655410 BQG655410 CAC655410 CJY655410 CTU655410 DDQ655410 DNM655410 DXI655410 EHE655410 ERA655410 FAW655410 FKS655410 FUO655410 GEK655410 GOG655410 GYC655410 HHY655410 HRU655410 IBQ655410 ILM655410 IVI655410 JFE655410 JPA655410 JYW655410 KIS655410 KSO655410 LCK655410 LMG655410 LWC655410 MFY655410 MPU655410 MZQ655410 NJM655410 NTI655410 ODE655410 ONA655410 OWW655410 PGS655410 PQO655410 QAK655410 QKG655410 QUC655410 RDY655410 RNU655410 RXQ655410 SHM655410 SRI655410 TBE655410 TLA655410 TUW655410 UES655410 UOO655410 UYK655410 VIG655410 VSC655410 WBY655410 WLU655410 WVQ655410 I720946 JE720946 TA720946 ACW720946 AMS720946 AWO720946 BGK720946 BQG720946 CAC720946 CJY720946 CTU720946 DDQ720946 DNM720946 DXI720946 EHE720946 ERA720946 FAW720946 FKS720946 FUO720946 GEK720946 GOG720946 GYC720946 HHY720946 HRU720946 IBQ720946 ILM720946 IVI720946 JFE720946 JPA720946 JYW720946 KIS720946 KSO720946 LCK720946 LMG720946 LWC720946 MFY720946 MPU720946 MZQ720946 NJM720946 NTI720946 ODE720946 ONA720946 OWW720946 PGS720946 PQO720946 QAK720946 QKG720946 QUC720946 RDY720946 RNU720946 RXQ720946 SHM720946 SRI720946 TBE720946 TLA720946 TUW720946 UES720946 UOO720946 UYK720946 VIG720946 VSC720946 WBY720946 WLU720946 WVQ720946 I786482 JE786482 TA786482 ACW786482 AMS786482 AWO786482 BGK786482 BQG786482 CAC786482 CJY786482 CTU786482 DDQ786482 DNM786482 DXI786482 EHE786482 ERA786482 FAW786482 FKS786482 FUO786482 GEK786482 GOG786482 GYC786482 HHY786482 HRU786482 IBQ786482 ILM786482 IVI786482 JFE786482 JPA786482 JYW786482 KIS786482 KSO786482 LCK786482 LMG786482 LWC786482 MFY786482 MPU786482 MZQ786482 NJM786482 NTI786482 ODE786482 ONA786482 OWW786482 PGS786482 PQO786482 QAK786482 QKG786482 QUC786482 RDY786482 RNU786482 RXQ786482 SHM786482 SRI786482 TBE786482 TLA786482 TUW786482 UES786482 UOO786482 UYK786482 VIG786482 VSC786482 WBY786482 WLU786482 WVQ786482 I852018 JE852018 TA852018 ACW852018 AMS852018 AWO852018 BGK852018 BQG852018 CAC852018 CJY852018 CTU852018 DDQ852018 DNM852018 DXI852018 EHE852018 ERA852018 FAW852018 FKS852018 FUO852018 GEK852018 GOG852018 GYC852018 HHY852018 HRU852018 IBQ852018 ILM852018 IVI852018 JFE852018 JPA852018 JYW852018 KIS852018 KSO852018 LCK852018 LMG852018 LWC852018 MFY852018 MPU852018 MZQ852018 NJM852018 NTI852018 ODE852018 ONA852018 OWW852018 PGS852018 PQO852018 QAK852018 QKG852018 QUC852018 RDY852018 RNU852018 RXQ852018 SHM852018 SRI852018 TBE852018 TLA852018 TUW852018 UES852018 UOO852018 UYK852018 VIG852018 VSC852018 WBY852018 WLU852018 WVQ852018 I917554 JE917554 TA917554 ACW917554 AMS917554 AWO917554 BGK917554 BQG917554 CAC917554 CJY917554 CTU917554 DDQ917554 DNM917554 DXI917554 EHE917554 ERA917554 FAW917554 FKS917554 FUO917554 GEK917554 GOG917554 GYC917554 HHY917554 HRU917554 IBQ917554 ILM917554 IVI917554 JFE917554 JPA917554 JYW917554 KIS917554 KSO917554 LCK917554 LMG917554 LWC917554 MFY917554 MPU917554 MZQ917554 NJM917554 NTI917554 ODE917554 ONA917554 OWW917554 PGS917554 PQO917554 QAK917554 QKG917554 QUC917554 RDY917554 RNU917554 RXQ917554 SHM917554 SRI917554 TBE917554 TLA917554 TUW917554 UES917554 UOO917554 UYK917554 VIG917554 VSC917554 WBY917554 WLU917554 WVQ917554 I983090 JE983090 TA983090 ACW983090 AMS983090 AWO983090 BGK983090 BQG983090 CAC983090 CJY983090 CTU983090 DDQ983090 DNM983090 DXI983090 EHE983090 ERA983090 FAW983090 FKS983090 FUO983090 GEK983090 GOG983090 GYC983090 HHY983090 HRU983090 IBQ983090 ILM983090 IVI983090 JFE983090 JPA983090 JYW983090 KIS983090 KSO983090 LCK983090 LMG983090 LWC983090 MFY983090 MPU983090 MZQ983090 NJM983090 NTI983090 ODE983090 ONA983090 OWW983090 PGS983090 PQO983090 QAK983090 QKG983090 QUC983090 RDY983090 RNU983090 RXQ983090 SHM983090 SRI983090 TBE983090 TLA983090 TUW983090 UES983090 UOO983090 UYK983090 VIG983090 VSC983090 WBY983090 WLU983090 WVQ983090" xr:uid="{00000000-0002-0000-1800-000000000000}">
      <formula1>"×（70％・50％・30％）,×（70％）,×（50％）,×（30％）,　　　,"</formula1>
    </dataValidation>
    <dataValidation type="list" allowBlank="1" showInputMessage="1" showErrorMessage="1" sqref="J48 JF48 TB48 ACX48 AMT48 AWP48 BGL48 BQH48 CAD48 CJZ48 CTV48 DDR48 DNN48 DXJ48 EHF48 ERB48 FAX48 FKT48 FUP48 GEL48 GOH48 GYD48 HHZ48 HRV48 IBR48 ILN48 IVJ48 JFF48 JPB48 JYX48 KIT48 KSP48 LCL48 LMH48 LWD48 MFZ48 MPV48 MZR48 NJN48 NTJ48 ODF48 ONB48 OWX48 PGT48 PQP48 QAL48 QKH48 QUD48 RDZ48 RNV48 RXR48 SHN48 SRJ48 TBF48 TLB48 TUX48 UET48 UOP48 UYL48 VIH48 VSD48 WBZ48 WLV48 WVR48 J65587 JF65587 TB65587 ACX65587 AMT65587 AWP65587 BGL65587 BQH65587 CAD65587 CJZ65587 CTV65587 DDR65587 DNN65587 DXJ65587 EHF65587 ERB65587 FAX65587 FKT65587 FUP65587 GEL65587 GOH65587 GYD65587 HHZ65587 HRV65587 IBR65587 ILN65587 IVJ65587 JFF65587 JPB65587 JYX65587 KIT65587 KSP65587 LCL65587 LMH65587 LWD65587 MFZ65587 MPV65587 MZR65587 NJN65587 NTJ65587 ODF65587 ONB65587 OWX65587 PGT65587 PQP65587 QAL65587 QKH65587 QUD65587 RDZ65587 RNV65587 RXR65587 SHN65587 SRJ65587 TBF65587 TLB65587 TUX65587 UET65587 UOP65587 UYL65587 VIH65587 VSD65587 WBZ65587 WLV65587 WVR65587 J131123 JF131123 TB131123 ACX131123 AMT131123 AWP131123 BGL131123 BQH131123 CAD131123 CJZ131123 CTV131123 DDR131123 DNN131123 DXJ131123 EHF131123 ERB131123 FAX131123 FKT131123 FUP131123 GEL131123 GOH131123 GYD131123 HHZ131123 HRV131123 IBR131123 ILN131123 IVJ131123 JFF131123 JPB131123 JYX131123 KIT131123 KSP131123 LCL131123 LMH131123 LWD131123 MFZ131123 MPV131123 MZR131123 NJN131123 NTJ131123 ODF131123 ONB131123 OWX131123 PGT131123 PQP131123 QAL131123 QKH131123 QUD131123 RDZ131123 RNV131123 RXR131123 SHN131123 SRJ131123 TBF131123 TLB131123 TUX131123 UET131123 UOP131123 UYL131123 VIH131123 VSD131123 WBZ131123 WLV131123 WVR131123 J196659 JF196659 TB196659 ACX196659 AMT196659 AWP196659 BGL196659 BQH196659 CAD196659 CJZ196659 CTV196659 DDR196659 DNN196659 DXJ196659 EHF196659 ERB196659 FAX196659 FKT196659 FUP196659 GEL196659 GOH196659 GYD196659 HHZ196659 HRV196659 IBR196659 ILN196659 IVJ196659 JFF196659 JPB196659 JYX196659 KIT196659 KSP196659 LCL196659 LMH196659 LWD196659 MFZ196659 MPV196659 MZR196659 NJN196659 NTJ196659 ODF196659 ONB196659 OWX196659 PGT196659 PQP196659 QAL196659 QKH196659 QUD196659 RDZ196659 RNV196659 RXR196659 SHN196659 SRJ196659 TBF196659 TLB196659 TUX196659 UET196659 UOP196659 UYL196659 VIH196659 VSD196659 WBZ196659 WLV196659 WVR196659 J262195 JF262195 TB262195 ACX262195 AMT262195 AWP262195 BGL262195 BQH262195 CAD262195 CJZ262195 CTV262195 DDR262195 DNN262195 DXJ262195 EHF262195 ERB262195 FAX262195 FKT262195 FUP262195 GEL262195 GOH262195 GYD262195 HHZ262195 HRV262195 IBR262195 ILN262195 IVJ262195 JFF262195 JPB262195 JYX262195 KIT262195 KSP262195 LCL262195 LMH262195 LWD262195 MFZ262195 MPV262195 MZR262195 NJN262195 NTJ262195 ODF262195 ONB262195 OWX262195 PGT262195 PQP262195 QAL262195 QKH262195 QUD262195 RDZ262195 RNV262195 RXR262195 SHN262195 SRJ262195 TBF262195 TLB262195 TUX262195 UET262195 UOP262195 UYL262195 VIH262195 VSD262195 WBZ262195 WLV262195 WVR262195 J327731 JF327731 TB327731 ACX327731 AMT327731 AWP327731 BGL327731 BQH327731 CAD327731 CJZ327731 CTV327731 DDR327731 DNN327731 DXJ327731 EHF327731 ERB327731 FAX327731 FKT327731 FUP327731 GEL327731 GOH327731 GYD327731 HHZ327731 HRV327731 IBR327731 ILN327731 IVJ327731 JFF327731 JPB327731 JYX327731 KIT327731 KSP327731 LCL327731 LMH327731 LWD327731 MFZ327731 MPV327731 MZR327731 NJN327731 NTJ327731 ODF327731 ONB327731 OWX327731 PGT327731 PQP327731 QAL327731 QKH327731 QUD327731 RDZ327731 RNV327731 RXR327731 SHN327731 SRJ327731 TBF327731 TLB327731 TUX327731 UET327731 UOP327731 UYL327731 VIH327731 VSD327731 WBZ327731 WLV327731 WVR327731 J393267 JF393267 TB393267 ACX393267 AMT393267 AWP393267 BGL393267 BQH393267 CAD393267 CJZ393267 CTV393267 DDR393267 DNN393267 DXJ393267 EHF393267 ERB393267 FAX393267 FKT393267 FUP393267 GEL393267 GOH393267 GYD393267 HHZ393267 HRV393267 IBR393267 ILN393267 IVJ393267 JFF393267 JPB393267 JYX393267 KIT393267 KSP393267 LCL393267 LMH393267 LWD393267 MFZ393267 MPV393267 MZR393267 NJN393267 NTJ393267 ODF393267 ONB393267 OWX393267 PGT393267 PQP393267 QAL393267 QKH393267 QUD393267 RDZ393267 RNV393267 RXR393267 SHN393267 SRJ393267 TBF393267 TLB393267 TUX393267 UET393267 UOP393267 UYL393267 VIH393267 VSD393267 WBZ393267 WLV393267 WVR393267 J458803 JF458803 TB458803 ACX458803 AMT458803 AWP458803 BGL458803 BQH458803 CAD458803 CJZ458803 CTV458803 DDR458803 DNN458803 DXJ458803 EHF458803 ERB458803 FAX458803 FKT458803 FUP458803 GEL458803 GOH458803 GYD458803 HHZ458803 HRV458803 IBR458803 ILN458803 IVJ458803 JFF458803 JPB458803 JYX458803 KIT458803 KSP458803 LCL458803 LMH458803 LWD458803 MFZ458803 MPV458803 MZR458803 NJN458803 NTJ458803 ODF458803 ONB458803 OWX458803 PGT458803 PQP458803 QAL458803 QKH458803 QUD458803 RDZ458803 RNV458803 RXR458803 SHN458803 SRJ458803 TBF458803 TLB458803 TUX458803 UET458803 UOP458803 UYL458803 VIH458803 VSD458803 WBZ458803 WLV458803 WVR458803 J524339 JF524339 TB524339 ACX524339 AMT524339 AWP524339 BGL524339 BQH524339 CAD524339 CJZ524339 CTV524339 DDR524339 DNN524339 DXJ524339 EHF524339 ERB524339 FAX524339 FKT524339 FUP524339 GEL524339 GOH524339 GYD524339 HHZ524339 HRV524339 IBR524339 ILN524339 IVJ524339 JFF524339 JPB524339 JYX524339 KIT524339 KSP524339 LCL524339 LMH524339 LWD524339 MFZ524339 MPV524339 MZR524339 NJN524339 NTJ524339 ODF524339 ONB524339 OWX524339 PGT524339 PQP524339 QAL524339 QKH524339 QUD524339 RDZ524339 RNV524339 RXR524339 SHN524339 SRJ524339 TBF524339 TLB524339 TUX524339 UET524339 UOP524339 UYL524339 VIH524339 VSD524339 WBZ524339 WLV524339 WVR524339 J589875 JF589875 TB589875 ACX589875 AMT589875 AWP589875 BGL589875 BQH589875 CAD589875 CJZ589875 CTV589875 DDR589875 DNN589875 DXJ589875 EHF589875 ERB589875 FAX589875 FKT589875 FUP589875 GEL589875 GOH589875 GYD589875 HHZ589875 HRV589875 IBR589875 ILN589875 IVJ589875 JFF589875 JPB589875 JYX589875 KIT589875 KSP589875 LCL589875 LMH589875 LWD589875 MFZ589875 MPV589875 MZR589875 NJN589875 NTJ589875 ODF589875 ONB589875 OWX589875 PGT589875 PQP589875 QAL589875 QKH589875 QUD589875 RDZ589875 RNV589875 RXR589875 SHN589875 SRJ589875 TBF589875 TLB589875 TUX589875 UET589875 UOP589875 UYL589875 VIH589875 VSD589875 WBZ589875 WLV589875 WVR589875 J655411 JF655411 TB655411 ACX655411 AMT655411 AWP655411 BGL655411 BQH655411 CAD655411 CJZ655411 CTV655411 DDR655411 DNN655411 DXJ655411 EHF655411 ERB655411 FAX655411 FKT655411 FUP655411 GEL655411 GOH655411 GYD655411 HHZ655411 HRV655411 IBR655411 ILN655411 IVJ655411 JFF655411 JPB655411 JYX655411 KIT655411 KSP655411 LCL655411 LMH655411 LWD655411 MFZ655411 MPV655411 MZR655411 NJN655411 NTJ655411 ODF655411 ONB655411 OWX655411 PGT655411 PQP655411 QAL655411 QKH655411 QUD655411 RDZ655411 RNV655411 RXR655411 SHN655411 SRJ655411 TBF655411 TLB655411 TUX655411 UET655411 UOP655411 UYL655411 VIH655411 VSD655411 WBZ655411 WLV655411 WVR655411 J720947 JF720947 TB720947 ACX720947 AMT720947 AWP720947 BGL720947 BQH720947 CAD720947 CJZ720947 CTV720947 DDR720947 DNN720947 DXJ720947 EHF720947 ERB720947 FAX720947 FKT720947 FUP720947 GEL720947 GOH720947 GYD720947 HHZ720947 HRV720947 IBR720947 ILN720947 IVJ720947 JFF720947 JPB720947 JYX720947 KIT720947 KSP720947 LCL720947 LMH720947 LWD720947 MFZ720947 MPV720947 MZR720947 NJN720947 NTJ720947 ODF720947 ONB720947 OWX720947 PGT720947 PQP720947 QAL720947 QKH720947 QUD720947 RDZ720947 RNV720947 RXR720947 SHN720947 SRJ720947 TBF720947 TLB720947 TUX720947 UET720947 UOP720947 UYL720947 VIH720947 VSD720947 WBZ720947 WLV720947 WVR720947 J786483 JF786483 TB786483 ACX786483 AMT786483 AWP786483 BGL786483 BQH786483 CAD786483 CJZ786483 CTV786483 DDR786483 DNN786483 DXJ786483 EHF786483 ERB786483 FAX786483 FKT786483 FUP786483 GEL786483 GOH786483 GYD786483 HHZ786483 HRV786483 IBR786483 ILN786483 IVJ786483 JFF786483 JPB786483 JYX786483 KIT786483 KSP786483 LCL786483 LMH786483 LWD786483 MFZ786483 MPV786483 MZR786483 NJN786483 NTJ786483 ODF786483 ONB786483 OWX786483 PGT786483 PQP786483 QAL786483 QKH786483 QUD786483 RDZ786483 RNV786483 RXR786483 SHN786483 SRJ786483 TBF786483 TLB786483 TUX786483 UET786483 UOP786483 UYL786483 VIH786483 VSD786483 WBZ786483 WLV786483 WVR786483 J852019 JF852019 TB852019 ACX852019 AMT852019 AWP852019 BGL852019 BQH852019 CAD852019 CJZ852019 CTV852019 DDR852019 DNN852019 DXJ852019 EHF852019 ERB852019 FAX852019 FKT852019 FUP852019 GEL852019 GOH852019 GYD852019 HHZ852019 HRV852019 IBR852019 ILN852019 IVJ852019 JFF852019 JPB852019 JYX852019 KIT852019 KSP852019 LCL852019 LMH852019 LWD852019 MFZ852019 MPV852019 MZR852019 NJN852019 NTJ852019 ODF852019 ONB852019 OWX852019 PGT852019 PQP852019 QAL852019 QKH852019 QUD852019 RDZ852019 RNV852019 RXR852019 SHN852019 SRJ852019 TBF852019 TLB852019 TUX852019 UET852019 UOP852019 UYL852019 VIH852019 VSD852019 WBZ852019 WLV852019 WVR852019 J917555 JF917555 TB917555 ACX917555 AMT917555 AWP917555 BGL917555 BQH917555 CAD917555 CJZ917555 CTV917555 DDR917555 DNN917555 DXJ917555 EHF917555 ERB917555 FAX917555 FKT917555 FUP917555 GEL917555 GOH917555 GYD917555 HHZ917555 HRV917555 IBR917555 ILN917555 IVJ917555 JFF917555 JPB917555 JYX917555 KIT917555 KSP917555 LCL917555 LMH917555 LWD917555 MFZ917555 MPV917555 MZR917555 NJN917555 NTJ917555 ODF917555 ONB917555 OWX917555 PGT917555 PQP917555 QAL917555 QKH917555 QUD917555 RDZ917555 RNV917555 RXR917555 SHN917555 SRJ917555 TBF917555 TLB917555 TUX917555 UET917555 UOP917555 UYL917555 VIH917555 VSD917555 WBZ917555 WLV917555 WVR917555 J983091 JF983091 TB983091 ACX983091 AMT983091 AWP983091 BGL983091 BQH983091 CAD983091 CJZ983091 CTV983091 DDR983091 DNN983091 DXJ983091 EHF983091 ERB983091 FAX983091 FKT983091 FUP983091 GEL983091 GOH983091 GYD983091 HHZ983091 HRV983091 IBR983091 ILN983091 IVJ983091 JFF983091 JPB983091 JYX983091 KIT983091 KSP983091 LCL983091 LMH983091 LWD983091 MFZ983091 MPV983091 MZR983091 NJN983091 NTJ983091 ODF983091 ONB983091 OWX983091 PGT983091 PQP983091 QAL983091 QKH983091 QUD983091 RDZ983091 RNV983091 RXR983091 SHN983091 SRJ983091 TBF983091 TLB983091 TUX983091 UET983091 UOP983091 UYL983091 VIH983091 VSD983091 WBZ983091 WLV983091 WVR983091" xr:uid="{00000000-0002-0000-1800-000001000000}">
      <formula1>"×（  　　）,×（1/2）,　　　,"</formula1>
    </dataValidation>
    <dataValidation type="list" allowBlank="1" showInputMessage="1" showErrorMessage="1" sqref="J49:J50 JF49:JF50 TB49:TB50 ACX49:ACX50 AMT49:AMT50 AWP49:AWP50 BGL49:BGL50 BQH49:BQH50 CAD49:CAD50 CJZ49:CJZ50 CTV49:CTV50 DDR49:DDR50 DNN49:DNN50 DXJ49:DXJ50 EHF49:EHF50 ERB49:ERB50 FAX49:FAX50 FKT49:FKT50 FUP49:FUP50 GEL49:GEL50 GOH49:GOH50 GYD49:GYD50 HHZ49:HHZ50 HRV49:HRV50 IBR49:IBR50 ILN49:ILN50 IVJ49:IVJ50 JFF49:JFF50 JPB49:JPB50 JYX49:JYX50 KIT49:KIT50 KSP49:KSP50 LCL49:LCL50 LMH49:LMH50 LWD49:LWD50 MFZ49:MFZ50 MPV49:MPV50 MZR49:MZR50 NJN49:NJN50 NTJ49:NTJ50 ODF49:ODF50 ONB49:ONB50 OWX49:OWX50 PGT49:PGT50 PQP49:PQP50 QAL49:QAL50 QKH49:QKH50 QUD49:QUD50 RDZ49:RDZ50 RNV49:RNV50 RXR49:RXR50 SHN49:SHN50 SRJ49:SRJ50 TBF49:TBF50 TLB49:TLB50 TUX49:TUX50 UET49:UET50 UOP49:UOP50 UYL49:UYL50 VIH49:VIH50 VSD49:VSD50 WBZ49:WBZ50 WLV49:WLV50 WVR49:WVR50 J65588:J65589 JF65588:JF65589 TB65588:TB65589 ACX65588:ACX65589 AMT65588:AMT65589 AWP65588:AWP65589 BGL65588:BGL65589 BQH65588:BQH65589 CAD65588:CAD65589 CJZ65588:CJZ65589 CTV65588:CTV65589 DDR65588:DDR65589 DNN65588:DNN65589 DXJ65588:DXJ65589 EHF65588:EHF65589 ERB65588:ERB65589 FAX65588:FAX65589 FKT65588:FKT65589 FUP65588:FUP65589 GEL65588:GEL65589 GOH65588:GOH65589 GYD65588:GYD65589 HHZ65588:HHZ65589 HRV65588:HRV65589 IBR65588:IBR65589 ILN65588:ILN65589 IVJ65588:IVJ65589 JFF65588:JFF65589 JPB65588:JPB65589 JYX65588:JYX65589 KIT65588:KIT65589 KSP65588:KSP65589 LCL65588:LCL65589 LMH65588:LMH65589 LWD65588:LWD65589 MFZ65588:MFZ65589 MPV65588:MPV65589 MZR65588:MZR65589 NJN65588:NJN65589 NTJ65588:NTJ65589 ODF65588:ODF65589 ONB65588:ONB65589 OWX65588:OWX65589 PGT65588:PGT65589 PQP65588:PQP65589 QAL65588:QAL65589 QKH65588:QKH65589 QUD65588:QUD65589 RDZ65588:RDZ65589 RNV65588:RNV65589 RXR65588:RXR65589 SHN65588:SHN65589 SRJ65588:SRJ65589 TBF65588:TBF65589 TLB65588:TLB65589 TUX65588:TUX65589 UET65588:UET65589 UOP65588:UOP65589 UYL65588:UYL65589 VIH65588:VIH65589 VSD65588:VSD65589 WBZ65588:WBZ65589 WLV65588:WLV65589 WVR65588:WVR65589 J131124:J131125 JF131124:JF131125 TB131124:TB131125 ACX131124:ACX131125 AMT131124:AMT131125 AWP131124:AWP131125 BGL131124:BGL131125 BQH131124:BQH131125 CAD131124:CAD131125 CJZ131124:CJZ131125 CTV131124:CTV131125 DDR131124:DDR131125 DNN131124:DNN131125 DXJ131124:DXJ131125 EHF131124:EHF131125 ERB131124:ERB131125 FAX131124:FAX131125 FKT131124:FKT131125 FUP131124:FUP131125 GEL131124:GEL131125 GOH131124:GOH131125 GYD131124:GYD131125 HHZ131124:HHZ131125 HRV131124:HRV131125 IBR131124:IBR131125 ILN131124:ILN131125 IVJ131124:IVJ131125 JFF131124:JFF131125 JPB131124:JPB131125 JYX131124:JYX131125 KIT131124:KIT131125 KSP131124:KSP131125 LCL131124:LCL131125 LMH131124:LMH131125 LWD131124:LWD131125 MFZ131124:MFZ131125 MPV131124:MPV131125 MZR131124:MZR131125 NJN131124:NJN131125 NTJ131124:NTJ131125 ODF131124:ODF131125 ONB131124:ONB131125 OWX131124:OWX131125 PGT131124:PGT131125 PQP131124:PQP131125 QAL131124:QAL131125 QKH131124:QKH131125 QUD131124:QUD131125 RDZ131124:RDZ131125 RNV131124:RNV131125 RXR131124:RXR131125 SHN131124:SHN131125 SRJ131124:SRJ131125 TBF131124:TBF131125 TLB131124:TLB131125 TUX131124:TUX131125 UET131124:UET131125 UOP131124:UOP131125 UYL131124:UYL131125 VIH131124:VIH131125 VSD131124:VSD131125 WBZ131124:WBZ131125 WLV131124:WLV131125 WVR131124:WVR131125 J196660:J196661 JF196660:JF196661 TB196660:TB196661 ACX196660:ACX196661 AMT196660:AMT196661 AWP196660:AWP196661 BGL196660:BGL196661 BQH196660:BQH196661 CAD196660:CAD196661 CJZ196660:CJZ196661 CTV196660:CTV196661 DDR196660:DDR196661 DNN196660:DNN196661 DXJ196660:DXJ196661 EHF196660:EHF196661 ERB196660:ERB196661 FAX196660:FAX196661 FKT196660:FKT196661 FUP196660:FUP196661 GEL196660:GEL196661 GOH196660:GOH196661 GYD196660:GYD196661 HHZ196660:HHZ196661 HRV196660:HRV196661 IBR196660:IBR196661 ILN196660:ILN196661 IVJ196660:IVJ196661 JFF196660:JFF196661 JPB196660:JPB196661 JYX196660:JYX196661 KIT196660:KIT196661 KSP196660:KSP196661 LCL196660:LCL196661 LMH196660:LMH196661 LWD196660:LWD196661 MFZ196660:MFZ196661 MPV196660:MPV196661 MZR196660:MZR196661 NJN196660:NJN196661 NTJ196660:NTJ196661 ODF196660:ODF196661 ONB196660:ONB196661 OWX196660:OWX196661 PGT196660:PGT196661 PQP196660:PQP196661 QAL196660:QAL196661 QKH196660:QKH196661 QUD196660:QUD196661 RDZ196660:RDZ196661 RNV196660:RNV196661 RXR196660:RXR196661 SHN196660:SHN196661 SRJ196660:SRJ196661 TBF196660:TBF196661 TLB196660:TLB196661 TUX196660:TUX196661 UET196660:UET196661 UOP196660:UOP196661 UYL196660:UYL196661 VIH196660:VIH196661 VSD196660:VSD196661 WBZ196660:WBZ196661 WLV196660:WLV196661 WVR196660:WVR196661 J262196:J262197 JF262196:JF262197 TB262196:TB262197 ACX262196:ACX262197 AMT262196:AMT262197 AWP262196:AWP262197 BGL262196:BGL262197 BQH262196:BQH262197 CAD262196:CAD262197 CJZ262196:CJZ262197 CTV262196:CTV262197 DDR262196:DDR262197 DNN262196:DNN262197 DXJ262196:DXJ262197 EHF262196:EHF262197 ERB262196:ERB262197 FAX262196:FAX262197 FKT262196:FKT262197 FUP262196:FUP262197 GEL262196:GEL262197 GOH262196:GOH262197 GYD262196:GYD262197 HHZ262196:HHZ262197 HRV262196:HRV262197 IBR262196:IBR262197 ILN262196:ILN262197 IVJ262196:IVJ262197 JFF262196:JFF262197 JPB262196:JPB262197 JYX262196:JYX262197 KIT262196:KIT262197 KSP262196:KSP262197 LCL262196:LCL262197 LMH262196:LMH262197 LWD262196:LWD262197 MFZ262196:MFZ262197 MPV262196:MPV262197 MZR262196:MZR262197 NJN262196:NJN262197 NTJ262196:NTJ262197 ODF262196:ODF262197 ONB262196:ONB262197 OWX262196:OWX262197 PGT262196:PGT262197 PQP262196:PQP262197 QAL262196:QAL262197 QKH262196:QKH262197 QUD262196:QUD262197 RDZ262196:RDZ262197 RNV262196:RNV262197 RXR262196:RXR262197 SHN262196:SHN262197 SRJ262196:SRJ262197 TBF262196:TBF262197 TLB262196:TLB262197 TUX262196:TUX262197 UET262196:UET262197 UOP262196:UOP262197 UYL262196:UYL262197 VIH262196:VIH262197 VSD262196:VSD262197 WBZ262196:WBZ262197 WLV262196:WLV262197 WVR262196:WVR262197 J327732:J327733 JF327732:JF327733 TB327732:TB327733 ACX327732:ACX327733 AMT327732:AMT327733 AWP327732:AWP327733 BGL327732:BGL327733 BQH327732:BQH327733 CAD327732:CAD327733 CJZ327732:CJZ327733 CTV327732:CTV327733 DDR327732:DDR327733 DNN327732:DNN327733 DXJ327732:DXJ327733 EHF327732:EHF327733 ERB327732:ERB327733 FAX327732:FAX327733 FKT327732:FKT327733 FUP327732:FUP327733 GEL327732:GEL327733 GOH327732:GOH327733 GYD327732:GYD327733 HHZ327732:HHZ327733 HRV327732:HRV327733 IBR327732:IBR327733 ILN327732:ILN327733 IVJ327732:IVJ327733 JFF327732:JFF327733 JPB327732:JPB327733 JYX327732:JYX327733 KIT327732:KIT327733 KSP327732:KSP327733 LCL327732:LCL327733 LMH327732:LMH327733 LWD327732:LWD327733 MFZ327732:MFZ327733 MPV327732:MPV327733 MZR327732:MZR327733 NJN327732:NJN327733 NTJ327732:NTJ327733 ODF327732:ODF327733 ONB327732:ONB327733 OWX327732:OWX327733 PGT327732:PGT327733 PQP327732:PQP327733 QAL327732:QAL327733 QKH327732:QKH327733 QUD327732:QUD327733 RDZ327732:RDZ327733 RNV327732:RNV327733 RXR327732:RXR327733 SHN327732:SHN327733 SRJ327732:SRJ327733 TBF327732:TBF327733 TLB327732:TLB327733 TUX327732:TUX327733 UET327732:UET327733 UOP327732:UOP327733 UYL327732:UYL327733 VIH327732:VIH327733 VSD327732:VSD327733 WBZ327732:WBZ327733 WLV327732:WLV327733 WVR327732:WVR327733 J393268:J393269 JF393268:JF393269 TB393268:TB393269 ACX393268:ACX393269 AMT393268:AMT393269 AWP393268:AWP393269 BGL393268:BGL393269 BQH393268:BQH393269 CAD393268:CAD393269 CJZ393268:CJZ393269 CTV393268:CTV393269 DDR393268:DDR393269 DNN393268:DNN393269 DXJ393268:DXJ393269 EHF393268:EHF393269 ERB393268:ERB393269 FAX393268:FAX393269 FKT393268:FKT393269 FUP393268:FUP393269 GEL393268:GEL393269 GOH393268:GOH393269 GYD393268:GYD393269 HHZ393268:HHZ393269 HRV393268:HRV393269 IBR393268:IBR393269 ILN393268:ILN393269 IVJ393268:IVJ393269 JFF393268:JFF393269 JPB393268:JPB393269 JYX393268:JYX393269 KIT393268:KIT393269 KSP393268:KSP393269 LCL393268:LCL393269 LMH393268:LMH393269 LWD393268:LWD393269 MFZ393268:MFZ393269 MPV393268:MPV393269 MZR393268:MZR393269 NJN393268:NJN393269 NTJ393268:NTJ393269 ODF393268:ODF393269 ONB393268:ONB393269 OWX393268:OWX393269 PGT393268:PGT393269 PQP393268:PQP393269 QAL393268:QAL393269 QKH393268:QKH393269 QUD393268:QUD393269 RDZ393268:RDZ393269 RNV393268:RNV393269 RXR393268:RXR393269 SHN393268:SHN393269 SRJ393268:SRJ393269 TBF393268:TBF393269 TLB393268:TLB393269 TUX393268:TUX393269 UET393268:UET393269 UOP393268:UOP393269 UYL393268:UYL393269 VIH393268:VIH393269 VSD393268:VSD393269 WBZ393268:WBZ393269 WLV393268:WLV393269 WVR393268:WVR393269 J458804:J458805 JF458804:JF458805 TB458804:TB458805 ACX458804:ACX458805 AMT458804:AMT458805 AWP458804:AWP458805 BGL458804:BGL458805 BQH458804:BQH458805 CAD458804:CAD458805 CJZ458804:CJZ458805 CTV458804:CTV458805 DDR458804:DDR458805 DNN458804:DNN458805 DXJ458804:DXJ458805 EHF458804:EHF458805 ERB458804:ERB458805 FAX458804:FAX458805 FKT458804:FKT458805 FUP458804:FUP458805 GEL458804:GEL458805 GOH458804:GOH458805 GYD458804:GYD458805 HHZ458804:HHZ458805 HRV458804:HRV458805 IBR458804:IBR458805 ILN458804:ILN458805 IVJ458804:IVJ458805 JFF458804:JFF458805 JPB458804:JPB458805 JYX458804:JYX458805 KIT458804:KIT458805 KSP458804:KSP458805 LCL458804:LCL458805 LMH458804:LMH458805 LWD458804:LWD458805 MFZ458804:MFZ458805 MPV458804:MPV458805 MZR458804:MZR458805 NJN458804:NJN458805 NTJ458804:NTJ458805 ODF458804:ODF458805 ONB458804:ONB458805 OWX458804:OWX458805 PGT458804:PGT458805 PQP458804:PQP458805 QAL458804:QAL458805 QKH458804:QKH458805 QUD458804:QUD458805 RDZ458804:RDZ458805 RNV458804:RNV458805 RXR458804:RXR458805 SHN458804:SHN458805 SRJ458804:SRJ458805 TBF458804:TBF458805 TLB458804:TLB458805 TUX458804:TUX458805 UET458804:UET458805 UOP458804:UOP458805 UYL458804:UYL458805 VIH458804:VIH458805 VSD458804:VSD458805 WBZ458804:WBZ458805 WLV458804:WLV458805 WVR458804:WVR458805 J524340:J524341 JF524340:JF524341 TB524340:TB524341 ACX524340:ACX524341 AMT524340:AMT524341 AWP524340:AWP524341 BGL524340:BGL524341 BQH524340:BQH524341 CAD524340:CAD524341 CJZ524340:CJZ524341 CTV524340:CTV524341 DDR524340:DDR524341 DNN524340:DNN524341 DXJ524340:DXJ524341 EHF524340:EHF524341 ERB524340:ERB524341 FAX524340:FAX524341 FKT524340:FKT524341 FUP524340:FUP524341 GEL524340:GEL524341 GOH524340:GOH524341 GYD524340:GYD524341 HHZ524340:HHZ524341 HRV524340:HRV524341 IBR524340:IBR524341 ILN524340:ILN524341 IVJ524340:IVJ524341 JFF524340:JFF524341 JPB524340:JPB524341 JYX524340:JYX524341 KIT524340:KIT524341 KSP524340:KSP524341 LCL524340:LCL524341 LMH524340:LMH524341 LWD524340:LWD524341 MFZ524340:MFZ524341 MPV524340:MPV524341 MZR524340:MZR524341 NJN524340:NJN524341 NTJ524340:NTJ524341 ODF524340:ODF524341 ONB524340:ONB524341 OWX524340:OWX524341 PGT524340:PGT524341 PQP524340:PQP524341 QAL524340:QAL524341 QKH524340:QKH524341 QUD524340:QUD524341 RDZ524340:RDZ524341 RNV524340:RNV524341 RXR524340:RXR524341 SHN524340:SHN524341 SRJ524340:SRJ524341 TBF524340:TBF524341 TLB524340:TLB524341 TUX524340:TUX524341 UET524340:UET524341 UOP524340:UOP524341 UYL524340:UYL524341 VIH524340:VIH524341 VSD524340:VSD524341 WBZ524340:WBZ524341 WLV524340:WLV524341 WVR524340:WVR524341 J589876:J589877 JF589876:JF589877 TB589876:TB589877 ACX589876:ACX589877 AMT589876:AMT589877 AWP589876:AWP589877 BGL589876:BGL589877 BQH589876:BQH589877 CAD589876:CAD589877 CJZ589876:CJZ589877 CTV589876:CTV589877 DDR589876:DDR589877 DNN589876:DNN589877 DXJ589876:DXJ589877 EHF589876:EHF589877 ERB589876:ERB589877 FAX589876:FAX589877 FKT589876:FKT589877 FUP589876:FUP589877 GEL589876:GEL589877 GOH589876:GOH589877 GYD589876:GYD589877 HHZ589876:HHZ589877 HRV589876:HRV589877 IBR589876:IBR589877 ILN589876:ILN589877 IVJ589876:IVJ589877 JFF589876:JFF589877 JPB589876:JPB589877 JYX589876:JYX589877 KIT589876:KIT589877 KSP589876:KSP589877 LCL589876:LCL589877 LMH589876:LMH589877 LWD589876:LWD589877 MFZ589876:MFZ589877 MPV589876:MPV589877 MZR589876:MZR589877 NJN589876:NJN589877 NTJ589876:NTJ589877 ODF589876:ODF589877 ONB589876:ONB589877 OWX589876:OWX589877 PGT589876:PGT589877 PQP589876:PQP589877 QAL589876:QAL589877 QKH589876:QKH589877 QUD589876:QUD589877 RDZ589876:RDZ589877 RNV589876:RNV589877 RXR589876:RXR589877 SHN589876:SHN589877 SRJ589876:SRJ589877 TBF589876:TBF589877 TLB589876:TLB589877 TUX589876:TUX589877 UET589876:UET589877 UOP589876:UOP589877 UYL589876:UYL589877 VIH589876:VIH589877 VSD589876:VSD589877 WBZ589876:WBZ589877 WLV589876:WLV589877 WVR589876:WVR589877 J655412:J655413 JF655412:JF655413 TB655412:TB655413 ACX655412:ACX655413 AMT655412:AMT655413 AWP655412:AWP655413 BGL655412:BGL655413 BQH655412:BQH655413 CAD655412:CAD655413 CJZ655412:CJZ655413 CTV655412:CTV655413 DDR655412:DDR655413 DNN655412:DNN655413 DXJ655412:DXJ655413 EHF655412:EHF655413 ERB655412:ERB655413 FAX655412:FAX655413 FKT655412:FKT655413 FUP655412:FUP655413 GEL655412:GEL655413 GOH655412:GOH655413 GYD655412:GYD655413 HHZ655412:HHZ655413 HRV655412:HRV655413 IBR655412:IBR655413 ILN655412:ILN655413 IVJ655412:IVJ655413 JFF655412:JFF655413 JPB655412:JPB655413 JYX655412:JYX655413 KIT655412:KIT655413 KSP655412:KSP655413 LCL655412:LCL655413 LMH655412:LMH655413 LWD655412:LWD655413 MFZ655412:MFZ655413 MPV655412:MPV655413 MZR655412:MZR655413 NJN655412:NJN655413 NTJ655412:NTJ655413 ODF655412:ODF655413 ONB655412:ONB655413 OWX655412:OWX655413 PGT655412:PGT655413 PQP655412:PQP655413 QAL655412:QAL655413 QKH655412:QKH655413 QUD655412:QUD655413 RDZ655412:RDZ655413 RNV655412:RNV655413 RXR655412:RXR655413 SHN655412:SHN655413 SRJ655412:SRJ655413 TBF655412:TBF655413 TLB655412:TLB655413 TUX655412:TUX655413 UET655412:UET655413 UOP655412:UOP655413 UYL655412:UYL655413 VIH655412:VIH655413 VSD655412:VSD655413 WBZ655412:WBZ655413 WLV655412:WLV655413 WVR655412:WVR655413 J720948:J720949 JF720948:JF720949 TB720948:TB720949 ACX720948:ACX720949 AMT720948:AMT720949 AWP720948:AWP720949 BGL720948:BGL720949 BQH720948:BQH720949 CAD720948:CAD720949 CJZ720948:CJZ720949 CTV720948:CTV720949 DDR720948:DDR720949 DNN720948:DNN720949 DXJ720948:DXJ720949 EHF720948:EHF720949 ERB720948:ERB720949 FAX720948:FAX720949 FKT720948:FKT720949 FUP720948:FUP720949 GEL720948:GEL720949 GOH720948:GOH720949 GYD720948:GYD720949 HHZ720948:HHZ720949 HRV720948:HRV720949 IBR720948:IBR720949 ILN720948:ILN720949 IVJ720948:IVJ720949 JFF720948:JFF720949 JPB720948:JPB720949 JYX720948:JYX720949 KIT720948:KIT720949 KSP720948:KSP720949 LCL720948:LCL720949 LMH720948:LMH720949 LWD720948:LWD720949 MFZ720948:MFZ720949 MPV720948:MPV720949 MZR720948:MZR720949 NJN720948:NJN720949 NTJ720948:NTJ720949 ODF720948:ODF720949 ONB720948:ONB720949 OWX720948:OWX720949 PGT720948:PGT720949 PQP720948:PQP720949 QAL720948:QAL720949 QKH720948:QKH720949 QUD720948:QUD720949 RDZ720948:RDZ720949 RNV720948:RNV720949 RXR720948:RXR720949 SHN720948:SHN720949 SRJ720948:SRJ720949 TBF720948:TBF720949 TLB720948:TLB720949 TUX720948:TUX720949 UET720948:UET720949 UOP720948:UOP720949 UYL720948:UYL720949 VIH720948:VIH720949 VSD720948:VSD720949 WBZ720948:WBZ720949 WLV720948:WLV720949 WVR720948:WVR720949 J786484:J786485 JF786484:JF786485 TB786484:TB786485 ACX786484:ACX786485 AMT786484:AMT786485 AWP786484:AWP786485 BGL786484:BGL786485 BQH786484:BQH786485 CAD786484:CAD786485 CJZ786484:CJZ786485 CTV786484:CTV786485 DDR786484:DDR786485 DNN786484:DNN786485 DXJ786484:DXJ786485 EHF786484:EHF786485 ERB786484:ERB786485 FAX786484:FAX786485 FKT786484:FKT786485 FUP786484:FUP786485 GEL786484:GEL786485 GOH786484:GOH786485 GYD786484:GYD786485 HHZ786484:HHZ786485 HRV786484:HRV786485 IBR786484:IBR786485 ILN786484:ILN786485 IVJ786484:IVJ786485 JFF786484:JFF786485 JPB786484:JPB786485 JYX786484:JYX786485 KIT786484:KIT786485 KSP786484:KSP786485 LCL786484:LCL786485 LMH786484:LMH786485 LWD786484:LWD786485 MFZ786484:MFZ786485 MPV786484:MPV786485 MZR786484:MZR786485 NJN786484:NJN786485 NTJ786484:NTJ786485 ODF786484:ODF786485 ONB786484:ONB786485 OWX786484:OWX786485 PGT786484:PGT786485 PQP786484:PQP786485 QAL786484:QAL786485 QKH786484:QKH786485 QUD786484:QUD786485 RDZ786484:RDZ786485 RNV786484:RNV786485 RXR786484:RXR786485 SHN786484:SHN786485 SRJ786484:SRJ786485 TBF786484:TBF786485 TLB786484:TLB786485 TUX786484:TUX786485 UET786484:UET786485 UOP786484:UOP786485 UYL786484:UYL786485 VIH786484:VIH786485 VSD786484:VSD786485 WBZ786484:WBZ786485 WLV786484:WLV786485 WVR786484:WVR786485 J852020:J852021 JF852020:JF852021 TB852020:TB852021 ACX852020:ACX852021 AMT852020:AMT852021 AWP852020:AWP852021 BGL852020:BGL852021 BQH852020:BQH852021 CAD852020:CAD852021 CJZ852020:CJZ852021 CTV852020:CTV852021 DDR852020:DDR852021 DNN852020:DNN852021 DXJ852020:DXJ852021 EHF852020:EHF852021 ERB852020:ERB852021 FAX852020:FAX852021 FKT852020:FKT852021 FUP852020:FUP852021 GEL852020:GEL852021 GOH852020:GOH852021 GYD852020:GYD852021 HHZ852020:HHZ852021 HRV852020:HRV852021 IBR852020:IBR852021 ILN852020:ILN852021 IVJ852020:IVJ852021 JFF852020:JFF852021 JPB852020:JPB852021 JYX852020:JYX852021 KIT852020:KIT852021 KSP852020:KSP852021 LCL852020:LCL852021 LMH852020:LMH852021 LWD852020:LWD852021 MFZ852020:MFZ852021 MPV852020:MPV852021 MZR852020:MZR852021 NJN852020:NJN852021 NTJ852020:NTJ852021 ODF852020:ODF852021 ONB852020:ONB852021 OWX852020:OWX852021 PGT852020:PGT852021 PQP852020:PQP852021 QAL852020:QAL852021 QKH852020:QKH852021 QUD852020:QUD852021 RDZ852020:RDZ852021 RNV852020:RNV852021 RXR852020:RXR852021 SHN852020:SHN852021 SRJ852020:SRJ852021 TBF852020:TBF852021 TLB852020:TLB852021 TUX852020:TUX852021 UET852020:UET852021 UOP852020:UOP852021 UYL852020:UYL852021 VIH852020:VIH852021 VSD852020:VSD852021 WBZ852020:WBZ852021 WLV852020:WLV852021 WVR852020:WVR852021 J917556:J917557 JF917556:JF917557 TB917556:TB917557 ACX917556:ACX917557 AMT917556:AMT917557 AWP917556:AWP917557 BGL917556:BGL917557 BQH917556:BQH917557 CAD917556:CAD917557 CJZ917556:CJZ917557 CTV917556:CTV917557 DDR917556:DDR917557 DNN917556:DNN917557 DXJ917556:DXJ917557 EHF917556:EHF917557 ERB917556:ERB917557 FAX917556:FAX917557 FKT917556:FKT917557 FUP917556:FUP917557 GEL917556:GEL917557 GOH917556:GOH917557 GYD917556:GYD917557 HHZ917556:HHZ917557 HRV917556:HRV917557 IBR917556:IBR917557 ILN917556:ILN917557 IVJ917556:IVJ917557 JFF917556:JFF917557 JPB917556:JPB917557 JYX917556:JYX917557 KIT917556:KIT917557 KSP917556:KSP917557 LCL917556:LCL917557 LMH917556:LMH917557 LWD917556:LWD917557 MFZ917556:MFZ917557 MPV917556:MPV917557 MZR917556:MZR917557 NJN917556:NJN917557 NTJ917556:NTJ917557 ODF917556:ODF917557 ONB917556:ONB917557 OWX917556:OWX917557 PGT917556:PGT917557 PQP917556:PQP917557 QAL917556:QAL917557 QKH917556:QKH917557 QUD917556:QUD917557 RDZ917556:RDZ917557 RNV917556:RNV917557 RXR917556:RXR917557 SHN917556:SHN917557 SRJ917556:SRJ917557 TBF917556:TBF917557 TLB917556:TLB917557 TUX917556:TUX917557 UET917556:UET917557 UOP917556:UOP917557 UYL917556:UYL917557 VIH917556:VIH917557 VSD917556:VSD917557 WBZ917556:WBZ917557 WLV917556:WLV917557 WVR917556:WVR917557 J983092:J983093 JF983092:JF983093 TB983092:TB983093 ACX983092:ACX983093 AMT983092:AMT983093 AWP983092:AWP983093 BGL983092:BGL983093 BQH983092:BQH983093 CAD983092:CAD983093 CJZ983092:CJZ983093 CTV983092:CTV983093 DDR983092:DDR983093 DNN983092:DNN983093 DXJ983092:DXJ983093 EHF983092:EHF983093 ERB983092:ERB983093 FAX983092:FAX983093 FKT983092:FKT983093 FUP983092:FUP983093 GEL983092:GEL983093 GOH983092:GOH983093 GYD983092:GYD983093 HHZ983092:HHZ983093 HRV983092:HRV983093 IBR983092:IBR983093 ILN983092:ILN983093 IVJ983092:IVJ983093 JFF983092:JFF983093 JPB983092:JPB983093 JYX983092:JYX983093 KIT983092:KIT983093 KSP983092:KSP983093 LCL983092:LCL983093 LMH983092:LMH983093 LWD983092:LWD983093 MFZ983092:MFZ983093 MPV983092:MPV983093 MZR983092:MZR983093 NJN983092:NJN983093 NTJ983092:NTJ983093 ODF983092:ODF983093 ONB983092:ONB983093 OWX983092:OWX983093 PGT983092:PGT983093 PQP983092:PQP983093 QAL983092:QAL983093 QKH983092:QKH983093 QUD983092:QUD983093 RDZ983092:RDZ983093 RNV983092:RNV983093 RXR983092:RXR983093 SHN983092:SHN983093 SRJ983092:SRJ983093 TBF983092:TBF983093 TLB983092:TLB983093 TUX983092:TUX983093 UET983092:UET983093 UOP983092:UOP983093 UYL983092:UYL983093 VIH983092:VIH983093 VSD983092:VSD983093 WBZ983092:WBZ983093 WLV983092:WLV983093 WVR983092:WVR983093" xr:uid="{00000000-0002-0000-1800-000002000000}">
      <formula1>"×（  　　）,×（2-1）,×（3-1）,×（4-1）,　　　,"</formula1>
    </dataValidation>
    <dataValidation type="list" allowBlank="1" showInputMessage="1" showErrorMessage="1" sqref="I54" xr:uid="{00000000-0002-0000-1800-000003000000}">
      <formula1>"×（15％・10％・5％）,×（15％）,×（10％）,×（5％）,　　　,"</formula1>
    </dataValidation>
  </dataValidations>
  <printOptions horizontalCentered="1"/>
  <pageMargins left="0.31496062992125984" right="0.31496062992125984" top="0.35433070866141736"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2:C319"/>
  <sheetViews>
    <sheetView zoomScale="90" zoomScaleNormal="90" workbookViewId="0">
      <selection activeCell="F29" sqref="F29"/>
    </sheetView>
  </sheetViews>
  <sheetFormatPr defaultRowHeight="18" customHeight="1"/>
  <cols>
    <col min="1" max="16384" width="9" style="52"/>
  </cols>
  <sheetData>
    <row r="2" spans="2:3" ht="18" customHeight="1">
      <c r="B2" s="52" t="s">
        <v>3193</v>
      </c>
    </row>
    <row r="4" spans="2:3" ht="18" customHeight="1">
      <c r="B4" s="52" t="s">
        <v>3194</v>
      </c>
    </row>
    <row r="5" spans="2:3" ht="18" customHeight="1">
      <c r="C5" s="52" t="s">
        <v>3195</v>
      </c>
    </row>
    <row r="6" spans="2:3" ht="18" customHeight="1">
      <c r="B6" s="52" t="s">
        <v>3196</v>
      </c>
    </row>
    <row r="7" spans="2:3" ht="18" customHeight="1">
      <c r="C7" s="52" t="s">
        <v>217</v>
      </c>
    </row>
    <row r="8" spans="2:3" ht="18" customHeight="1">
      <c r="B8" s="52" t="s">
        <v>3197</v>
      </c>
    </row>
    <row r="9" spans="2:3" ht="18" customHeight="1">
      <c r="C9" s="52" t="s">
        <v>3198</v>
      </c>
    </row>
    <row r="10" spans="2:3" ht="18" customHeight="1">
      <c r="B10" s="52" t="s">
        <v>3199</v>
      </c>
    </row>
    <row r="11" spans="2:3" ht="18" customHeight="1">
      <c r="C11" s="52" t="s">
        <v>3200</v>
      </c>
    </row>
    <row r="12" spans="2:3" ht="18" customHeight="1">
      <c r="B12" s="52" t="s">
        <v>3201</v>
      </c>
    </row>
    <row r="13" spans="2:3" ht="18" customHeight="1">
      <c r="C13" s="52" t="s">
        <v>3202</v>
      </c>
    </row>
    <row r="14" spans="2:3" ht="18" customHeight="1">
      <c r="B14" s="52" t="s">
        <v>3203</v>
      </c>
    </row>
    <row r="15" spans="2:3" ht="18" customHeight="1">
      <c r="C15" s="52" t="s">
        <v>3204</v>
      </c>
    </row>
    <row r="17" spans="2:3" ht="18" customHeight="1">
      <c r="B17" s="52" t="s">
        <v>3205</v>
      </c>
    </row>
    <row r="18" spans="2:3" ht="18" customHeight="1">
      <c r="C18" s="52" t="s">
        <v>3206</v>
      </c>
    </row>
    <row r="20" spans="2:3" ht="18" customHeight="1">
      <c r="B20" s="52" t="s">
        <v>3207</v>
      </c>
    </row>
    <row r="21" spans="2:3" ht="18" customHeight="1">
      <c r="C21" s="52" t="s">
        <v>3208</v>
      </c>
    </row>
    <row r="22" spans="2:3" ht="18" customHeight="1">
      <c r="B22" s="52" t="s">
        <v>3209</v>
      </c>
    </row>
    <row r="23" spans="2:3" ht="18" customHeight="1">
      <c r="C23" s="52" t="s">
        <v>3210</v>
      </c>
    </row>
    <row r="24" spans="2:3" ht="18" customHeight="1">
      <c r="B24" s="52" t="s">
        <v>4866</v>
      </c>
    </row>
    <row r="25" spans="2:3" ht="18" customHeight="1">
      <c r="B25" s="52" t="s">
        <v>4867</v>
      </c>
    </row>
    <row r="26" spans="2:3" ht="18" customHeight="1">
      <c r="C26" s="52" t="s">
        <v>4868</v>
      </c>
    </row>
    <row r="27" spans="2:3" ht="18" customHeight="1">
      <c r="B27" s="52" t="s">
        <v>4869</v>
      </c>
    </row>
    <row r="28" spans="2:3" ht="18" customHeight="1">
      <c r="C28" s="52" t="s">
        <v>4870</v>
      </c>
    </row>
    <row r="29" spans="2:3" ht="18" customHeight="1">
      <c r="B29" s="52" t="s">
        <v>4871</v>
      </c>
    </row>
    <row r="30" spans="2:3" ht="18" customHeight="1">
      <c r="C30" s="52" t="s">
        <v>4872</v>
      </c>
    </row>
    <row r="31" spans="2:3" ht="18" customHeight="1">
      <c r="B31" s="52" t="s">
        <v>4873</v>
      </c>
    </row>
    <row r="32" spans="2:3" ht="18" customHeight="1">
      <c r="C32" s="52" t="s">
        <v>4874</v>
      </c>
    </row>
    <row r="33" spans="2:3" ht="18" customHeight="1">
      <c r="B33" s="52" t="s">
        <v>4875</v>
      </c>
    </row>
    <row r="34" spans="2:3" ht="18" customHeight="1">
      <c r="C34" s="52" t="s">
        <v>4876</v>
      </c>
    </row>
    <row r="36" spans="2:3" ht="18" customHeight="1">
      <c r="B36" s="52" t="s">
        <v>4877</v>
      </c>
    </row>
    <row r="37" spans="2:3" ht="18" customHeight="1">
      <c r="C37" s="52" t="s">
        <v>4878</v>
      </c>
    </row>
    <row r="38" spans="2:3" ht="18" customHeight="1">
      <c r="B38" s="52" t="s">
        <v>4879</v>
      </c>
    </row>
    <row r="39" spans="2:3" ht="18" customHeight="1">
      <c r="C39" s="52" t="s">
        <v>4880</v>
      </c>
    </row>
    <row r="40" spans="2:3" ht="18" customHeight="1">
      <c r="C40" s="52" t="s">
        <v>4881</v>
      </c>
    </row>
    <row r="42" spans="2:3" ht="18" customHeight="1">
      <c r="B42" s="52" t="s">
        <v>4882</v>
      </c>
    </row>
    <row r="43" spans="2:3" ht="18" customHeight="1">
      <c r="B43" s="52" t="s">
        <v>3194</v>
      </c>
    </row>
    <row r="44" spans="2:3" ht="18" customHeight="1">
      <c r="C44" s="52" t="s">
        <v>3195</v>
      </c>
    </row>
    <row r="45" spans="2:3" ht="18" customHeight="1">
      <c r="B45" s="52" t="s">
        <v>3196</v>
      </c>
    </row>
    <row r="46" spans="2:3" ht="18" customHeight="1">
      <c r="B46" s="52" t="s">
        <v>4883</v>
      </c>
    </row>
    <row r="47" spans="2:3" ht="18" customHeight="1">
      <c r="B47" s="52" t="s">
        <v>3197</v>
      </c>
    </row>
    <row r="48" spans="2:3" ht="18" customHeight="1">
      <c r="C48" s="52" t="s">
        <v>3198</v>
      </c>
    </row>
    <row r="49" spans="2:3" ht="18" customHeight="1">
      <c r="B49" s="52" t="s">
        <v>3199</v>
      </c>
    </row>
    <row r="50" spans="2:3" ht="18" customHeight="1">
      <c r="C50" s="52" t="s">
        <v>3200</v>
      </c>
    </row>
    <row r="51" spans="2:3" ht="18" customHeight="1">
      <c r="B51" s="52" t="s">
        <v>3201</v>
      </c>
    </row>
    <row r="52" spans="2:3" ht="18" customHeight="1">
      <c r="C52" s="52" t="s">
        <v>3202</v>
      </c>
    </row>
    <row r="53" spans="2:3" ht="18" customHeight="1">
      <c r="B53" s="52" t="s">
        <v>3203</v>
      </c>
    </row>
    <row r="54" spans="2:3" ht="18" customHeight="1">
      <c r="C54" s="52" t="s">
        <v>4884</v>
      </c>
    </row>
    <row r="56" spans="2:3" ht="18" customHeight="1">
      <c r="B56" s="52" t="s">
        <v>4885</v>
      </c>
    </row>
    <row r="57" spans="2:3" ht="18" customHeight="1">
      <c r="C57" s="52" t="s">
        <v>220</v>
      </c>
    </row>
    <row r="59" spans="2:3" ht="18" customHeight="1">
      <c r="B59" s="52" t="s">
        <v>4886</v>
      </c>
    </row>
    <row r="60" spans="2:3" ht="18" customHeight="1">
      <c r="B60" s="52" t="s">
        <v>4867</v>
      </c>
    </row>
    <row r="61" spans="2:3" ht="18" customHeight="1">
      <c r="C61" s="52" t="s">
        <v>4868</v>
      </c>
    </row>
    <row r="62" spans="2:3" ht="18" customHeight="1">
      <c r="B62" s="52" t="s">
        <v>4871</v>
      </c>
    </row>
    <row r="63" spans="2:3" ht="18" customHeight="1">
      <c r="C63" s="52" t="s">
        <v>4872</v>
      </c>
    </row>
    <row r="64" spans="2:3" ht="18" customHeight="1">
      <c r="B64" s="52" t="s">
        <v>4869</v>
      </c>
    </row>
    <row r="66" spans="2:3" ht="18" customHeight="1">
      <c r="B66" s="52" t="s">
        <v>4873</v>
      </c>
      <c r="C66" s="52" t="s">
        <v>4870</v>
      </c>
    </row>
    <row r="67" spans="2:3" ht="18" customHeight="1">
      <c r="C67" s="52" t="s">
        <v>4874</v>
      </c>
    </row>
    <row r="68" spans="2:3" ht="18" customHeight="1">
      <c r="B68" s="52" t="s">
        <v>4875</v>
      </c>
    </row>
    <row r="69" spans="2:3" ht="18" customHeight="1">
      <c r="C69" s="52" t="s">
        <v>4876</v>
      </c>
    </row>
    <row r="71" spans="2:3" ht="18" customHeight="1">
      <c r="B71" s="52" t="s">
        <v>4877</v>
      </c>
    </row>
    <row r="72" spans="2:3" ht="18" customHeight="1">
      <c r="C72" s="52" t="s">
        <v>4878</v>
      </c>
    </row>
    <row r="73" spans="2:3" ht="18" customHeight="1">
      <c r="B73" s="52" t="s">
        <v>4887</v>
      </c>
    </row>
    <row r="74" spans="2:3" ht="18" customHeight="1">
      <c r="C74" s="52" t="s">
        <v>3195</v>
      </c>
    </row>
    <row r="75" spans="2:3" ht="18" customHeight="1">
      <c r="B75" s="52" t="s">
        <v>3207</v>
      </c>
    </row>
    <row r="76" spans="2:3" ht="18" customHeight="1">
      <c r="C76" s="52" t="s">
        <v>3208</v>
      </c>
    </row>
    <row r="77" spans="2:3" ht="18" customHeight="1">
      <c r="B77" s="52" t="s">
        <v>4888</v>
      </c>
    </row>
    <row r="78" spans="2:3" ht="18" customHeight="1">
      <c r="B78" s="52" t="s">
        <v>4889</v>
      </c>
    </row>
    <row r="80" spans="2:3" ht="18" customHeight="1">
      <c r="B80" s="52" t="s">
        <v>4890</v>
      </c>
    </row>
    <row r="81" spans="2:3" ht="18" customHeight="1">
      <c r="C81" s="52" t="s">
        <v>4891</v>
      </c>
    </row>
    <row r="83" spans="2:3" ht="18" customHeight="1">
      <c r="B83" s="52" t="s">
        <v>4892</v>
      </c>
    </row>
    <row r="85" spans="2:3" ht="18" customHeight="1">
      <c r="B85" s="52" t="s">
        <v>4893</v>
      </c>
    </row>
    <row r="86" spans="2:3" ht="18" customHeight="1">
      <c r="C86" s="52" t="s">
        <v>4894</v>
      </c>
    </row>
    <row r="87" spans="2:3" ht="18" customHeight="1">
      <c r="B87" s="52" t="s">
        <v>4895</v>
      </c>
    </row>
    <row r="88" spans="2:3" ht="18" customHeight="1">
      <c r="C88" s="52" t="s">
        <v>3202</v>
      </c>
    </row>
    <row r="89" spans="2:3" ht="18" customHeight="1">
      <c r="B89" s="52" t="s">
        <v>4896</v>
      </c>
    </row>
    <row r="90" spans="2:3" ht="18" customHeight="1">
      <c r="C90" s="52" t="s">
        <v>3204</v>
      </c>
    </row>
    <row r="92" spans="2:3" ht="18" customHeight="1">
      <c r="B92" s="52" t="s">
        <v>3205</v>
      </c>
    </row>
    <row r="93" spans="2:3" ht="18" customHeight="1">
      <c r="C93" s="52" t="s">
        <v>4897</v>
      </c>
    </row>
    <row r="95" spans="2:3" ht="18" customHeight="1">
      <c r="B95" s="52" t="s">
        <v>4890</v>
      </c>
    </row>
    <row r="96" spans="2:3" ht="18" customHeight="1">
      <c r="C96" s="52" t="s">
        <v>2795</v>
      </c>
    </row>
    <row r="99" spans="2:3" ht="18" customHeight="1">
      <c r="B99" s="52" t="s">
        <v>4898</v>
      </c>
    </row>
    <row r="101" spans="2:3" ht="18" customHeight="1">
      <c r="B101" s="52" t="s">
        <v>4899</v>
      </c>
    </row>
    <row r="102" spans="2:3" ht="18" customHeight="1">
      <c r="C102" s="52" t="s">
        <v>3208</v>
      </c>
    </row>
    <row r="103" spans="2:3" ht="18" customHeight="1">
      <c r="B103" s="52" t="s">
        <v>3194</v>
      </c>
    </row>
    <row r="104" spans="2:3" ht="18" customHeight="1">
      <c r="C104" s="52" t="s">
        <v>4900</v>
      </c>
    </row>
    <row r="106" spans="2:3" ht="18" customHeight="1">
      <c r="B106" s="52" t="s">
        <v>3196</v>
      </c>
    </row>
    <row r="107" spans="2:3" ht="18" customHeight="1">
      <c r="C107" s="52" t="s">
        <v>217</v>
      </c>
    </row>
    <row r="109" spans="2:3" ht="18" customHeight="1">
      <c r="B109" s="52" t="s">
        <v>3201</v>
      </c>
    </row>
    <row r="110" spans="2:3" ht="18" customHeight="1">
      <c r="C110" s="52" t="s">
        <v>4901</v>
      </c>
    </row>
    <row r="111" spans="2:3" ht="18" customHeight="1">
      <c r="B111" s="52" t="s">
        <v>3203</v>
      </c>
    </row>
    <row r="112" spans="2:3" ht="18" customHeight="1">
      <c r="C112" s="52" t="s">
        <v>4902</v>
      </c>
    </row>
    <row r="114" spans="2:3" ht="18" customHeight="1">
      <c r="B114" s="52" t="s">
        <v>4903</v>
      </c>
    </row>
    <row r="115" spans="2:3" ht="18" customHeight="1">
      <c r="C115" s="52" t="s">
        <v>4904</v>
      </c>
    </row>
    <row r="117" spans="2:3" ht="18" customHeight="1">
      <c r="B117" s="52" t="s">
        <v>4877</v>
      </c>
    </row>
    <row r="118" spans="2:3" ht="18" customHeight="1">
      <c r="C118" s="52" t="s">
        <v>4878</v>
      </c>
    </row>
    <row r="120" spans="2:3" ht="18" customHeight="1">
      <c r="B120" s="52" t="s">
        <v>4905</v>
      </c>
    </row>
    <row r="121" spans="2:3" ht="18" customHeight="1">
      <c r="C121" s="52" t="s">
        <v>4906</v>
      </c>
    </row>
    <row r="122" spans="2:3" ht="18" customHeight="1">
      <c r="B122" s="52" t="s">
        <v>4907</v>
      </c>
    </row>
    <row r="123" spans="2:3" ht="18" customHeight="1">
      <c r="C123" s="52" t="s">
        <v>4908</v>
      </c>
    </row>
    <row r="124" spans="2:3" ht="18" customHeight="1">
      <c r="B124" s="52" t="s">
        <v>4909</v>
      </c>
    </row>
    <row r="125" spans="2:3" ht="18" customHeight="1">
      <c r="C125" s="52" t="s">
        <v>4910</v>
      </c>
    </row>
    <row r="128" spans="2:3" ht="18" customHeight="1">
      <c r="B128" s="52" t="s">
        <v>4911</v>
      </c>
    </row>
    <row r="130" spans="2:3" ht="18" customHeight="1">
      <c r="B130" s="52" t="s">
        <v>4899</v>
      </c>
    </row>
    <row r="131" spans="2:3" ht="18" customHeight="1">
      <c r="C131" s="52" t="s">
        <v>3208</v>
      </c>
    </row>
    <row r="132" spans="2:3" ht="18" customHeight="1">
      <c r="B132" s="52" t="s">
        <v>3194</v>
      </c>
    </row>
    <row r="133" spans="2:3" ht="18" customHeight="1">
      <c r="C133" s="52" t="s">
        <v>4900</v>
      </c>
    </row>
    <row r="134" spans="2:3" ht="18" customHeight="1">
      <c r="B134" s="52" t="s">
        <v>3196</v>
      </c>
    </row>
    <row r="135" spans="2:3" ht="18" customHeight="1">
      <c r="C135" s="52" t="s">
        <v>217</v>
      </c>
    </row>
    <row r="137" spans="2:3" ht="18" customHeight="1">
      <c r="B137" s="52" t="s">
        <v>3201</v>
      </c>
    </row>
    <row r="138" spans="2:3" ht="18" customHeight="1">
      <c r="C138" s="52" t="s">
        <v>4901</v>
      </c>
    </row>
    <row r="139" spans="2:3" ht="18" customHeight="1">
      <c r="B139" s="52" t="s">
        <v>3203</v>
      </c>
    </row>
    <row r="140" spans="2:3" ht="18" customHeight="1">
      <c r="C140" s="52" t="s">
        <v>4902</v>
      </c>
    </row>
    <row r="142" spans="2:3" ht="18" customHeight="1">
      <c r="B142" s="52" t="s">
        <v>4903</v>
      </c>
    </row>
    <row r="143" spans="2:3" ht="18" customHeight="1">
      <c r="C143" s="52" t="s">
        <v>4904</v>
      </c>
    </row>
    <row r="145" spans="2:3" ht="18" customHeight="1">
      <c r="B145" s="152" t="s">
        <v>4905</v>
      </c>
    </row>
    <row r="146" spans="2:3" ht="18" customHeight="1">
      <c r="C146" s="52" t="s">
        <v>4906</v>
      </c>
    </row>
    <row r="149" spans="2:3" ht="18" customHeight="1">
      <c r="B149" s="52" t="s">
        <v>4912</v>
      </c>
    </row>
    <row r="151" spans="2:3" ht="18" customHeight="1">
      <c r="B151" s="52" t="s">
        <v>4899</v>
      </c>
    </row>
    <row r="152" spans="2:3" ht="18" customHeight="1">
      <c r="C152" s="52" t="s">
        <v>4913</v>
      </c>
    </row>
    <row r="153" spans="2:3" ht="18" customHeight="1">
      <c r="B153" s="52" t="s">
        <v>3194</v>
      </c>
    </row>
    <row r="154" spans="2:3" ht="18" customHeight="1">
      <c r="C154" s="52" t="s">
        <v>4914</v>
      </c>
    </row>
    <row r="156" spans="2:3" ht="18" customHeight="1">
      <c r="B156" s="52" t="s">
        <v>3196</v>
      </c>
    </row>
    <row r="157" spans="2:3" ht="18" customHeight="1">
      <c r="C157" s="52" t="s">
        <v>217</v>
      </c>
    </row>
    <row r="159" spans="2:3" ht="18" customHeight="1">
      <c r="B159" s="52" t="s">
        <v>3197</v>
      </c>
    </row>
    <row r="160" spans="2:3" ht="18" customHeight="1">
      <c r="C160" s="52" t="s">
        <v>4915</v>
      </c>
    </row>
    <row r="161" spans="2:3" ht="18" customHeight="1">
      <c r="B161" s="52" t="s">
        <v>3199</v>
      </c>
    </row>
    <row r="162" spans="2:3" ht="18" customHeight="1">
      <c r="C162" s="52" t="s">
        <v>4916</v>
      </c>
    </row>
    <row r="163" spans="2:3" ht="18" customHeight="1">
      <c r="B163" s="52" t="s">
        <v>3201</v>
      </c>
    </row>
    <row r="164" spans="2:3" ht="18" customHeight="1">
      <c r="C164" s="52" t="s">
        <v>4917</v>
      </c>
    </row>
    <row r="165" spans="2:3" ht="18" customHeight="1">
      <c r="B165" s="52" t="s">
        <v>3203</v>
      </c>
    </row>
    <row r="166" spans="2:3" ht="18" customHeight="1">
      <c r="C166" s="52" t="s">
        <v>4918</v>
      </c>
    </row>
    <row r="168" spans="2:3" ht="18" customHeight="1">
      <c r="B168" s="52" t="s">
        <v>4877</v>
      </c>
    </row>
    <row r="169" spans="2:3" ht="18" customHeight="1">
      <c r="C169" s="52" t="s">
        <v>4878</v>
      </c>
    </row>
    <row r="171" spans="2:3" ht="18" customHeight="1">
      <c r="B171" s="52" t="s">
        <v>4919</v>
      </c>
    </row>
    <row r="172" spans="2:3" ht="18" customHeight="1">
      <c r="C172" s="52" t="s">
        <v>4920</v>
      </c>
    </row>
    <row r="173" spans="2:3" ht="18" customHeight="1">
      <c r="B173" s="52" t="s">
        <v>4921</v>
      </c>
    </row>
    <row r="174" spans="2:3" ht="18" customHeight="1">
      <c r="C174" s="52" t="s">
        <v>4922</v>
      </c>
    </row>
    <row r="175" spans="2:3" ht="18" customHeight="1">
      <c r="B175" s="52" t="s">
        <v>4923</v>
      </c>
    </row>
    <row r="176" spans="2:3" ht="18" customHeight="1">
      <c r="C176" s="52" t="s">
        <v>4924</v>
      </c>
    </row>
    <row r="177" spans="2:3" ht="18" customHeight="1">
      <c r="B177" s="52" t="s">
        <v>4925</v>
      </c>
    </row>
    <row r="178" spans="2:3" ht="18" customHeight="1">
      <c r="C178" s="52" t="s">
        <v>4926</v>
      </c>
    </row>
    <row r="179" spans="2:3" ht="18" customHeight="1">
      <c r="B179" s="52" t="s">
        <v>4927</v>
      </c>
    </row>
    <row r="180" spans="2:3" ht="18" customHeight="1">
      <c r="B180" s="52" t="s">
        <v>4928</v>
      </c>
    </row>
    <row r="181" spans="2:3" ht="18" customHeight="1">
      <c r="C181" s="52" t="s">
        <v>4250</v>
      </c>
    </row>
    <row r="182" spans="2:3" ht="18" customHeight="1">
      <c r="B182" s="52" t="s">
        <v>4929</v>
      </c>
    </row>
    <row r="183" spans="2:3" ht="18" customHeight="1">
      <c r="C183" s="52" t="s">
        <v>4930</v>
      </c>
    </row>
    <row r="184" spans="2:3" ht="18" customHeight="1">
      <c r="B184" s="52" t="s">
        <v>4931</v>
      </c>
    </row>
    <row r="185" spans="2:3" ht="18" customHeight="1">
      <c r="C185" s="52" t="s">
        <v>4932</v>
      </c>
    </row>
    <row r="186" spans="2:3" ht="18" customHeight="1">
      <c r="B186" s="52" t="s">
        <v>4933</v>
      </c>
    </row>
    <row r="187" spans="2:3" ht="18" customHeight="1">
      <c r="B187" s="52" t="s">
        <v>4934</v>
      </c>
    </row>
    <row r="188" spans="2:3" ht="18" customHeight="1">
      <c r="C188" s="52" t="s">
        <v>4935</v>
      </c>
    </row>
    <row r="189" spans="2:3" ht="18" customHeight="1">
      <c r="B189" s="52" t="s">
        <v>4936</v>
      </c>
    </row>
    <row r="190" spans="2:3" ht="18" customHeight="1">
      <c r="C190" s="52" t="s">
        <v>4222</v>
      </c>
    </row>
    <row r="191" spans="2:3" ht="18" customHeight="1">
      <c r="B191" s="52" t="s">
        <v>4937</v>
      </c>
    </row>
    <row r="192" spans="2:3" ht="18" customHeight="1">
      <c r="C192" s="52" t="s">
        <v>4938</v>
      </c>
    </row>
    <row r="193" spans="2:3" ht="18" customHeight="1">
      <c r="B193" s="52" t="s">
        <v>4939</v>
      </c>
    </row>
    <row r="194" spans="2:3" ht="18" customHeight="1">
      <c r="C194" s="52" t="s">
        <v>4940</v>
      </c>
    </row>
    <row r="196" spans="2:3" ht="18" customHeight="1">
      <c r="B196" s="52" t="s">
        <v>4941</v>
      </c>
    </row>
    <row r="197" spans="2:3" ht="18" customHeight="1">
      <c r="C197" s="52" t="s">
        <v>4942</v>
      </c>
    </row>
    <row r="198" spans="2:3" ht="18" customHeight="1">
      <c r="B198" s="52" t="s">
        <v>4943</v>
      </c>
    </row>
    <row r="199" spans="2:3" ht="18" customHeight="1">
      <c r="C199" s="52" t="s">
        <v>1734</v>
      </c>
    </row>
    <row r="200" spans="2:3" ht="18" customHeight="1">
      <c r="B200" s="52" t="s">
        <v>4944</v>
      </c>
    </row>
    <row r="201" spans="2:3" ht="18" customHeight="1">
      <c r="C201" s="52" t="s">
        <v>1731</v>
      </c>
    </row>
    <row r="202" spans="2:3" ht="18" customHeight="1">
      <c r="B202" s="52" t="s">
        <v>4945</v>
      </c>
    </row>
    <row r="203" spans="2:3" ht="18" customHeight="1">
      <c r="C203" s="52" t="s">
        <v>4946</v>
      </c>
    </row>
    <row r="204" spans="2:3" ht="18" customHeight="1">
      <c r="B204" s="52" t="s">
        <v>4947</v>
      </c>
    </row>
    <row r="205" spans="2:3" ht="18" customHeight="1">
      <c r="C205" s="52" t="s">
        <v>4948</v>
      </c>
    </row>
    <row r="206" spans="2:3" ht="18" customHeight="1">
      <c r="B206" s="52" t="s">
        <v>4949</v>
      </c>
    </row>
    <row r="207" spans="2:3" ht="18" customHeight="1">
      <c r="C207" s="52" t="s">
        <v>4950</v>
      </c>
    </row>
    <row r="210" spans="2:3" ht="18" customHeight="1">
      <c r="B210" s="52" t="s">
        <v>4951</v>
      </c>
    </row>
    <row r="212" spans="2:3" ht="18" customHeight="1">
      <c r="B212" s="52" t="s">
        <v>4899</v>
      </c>
    </row>
    <row r="213" spans="2:3" ht="18" customHeight="1">
      <c r="C213" s="52" t="s">
        <v>4913</v>
      </c>
    </row>
    <row r="214" spans="2:3" ht="18" customHeight="1">
      <c r="B214" s="52" t="s">
        <v>3194</v>
      </c>
    </row>
    <row r="215" spans="2:3" ht="18" customHeight="1">
      <c r="C215" s="52" t="s">
        <v>4914</v>
      </c>
    </row>
    <row r="217" spans="2:3" ht="18" customHeight="1">
      <c r="B217" s="52" t="s">
        <v>3196</v>
      </c>
    </row>
    <row r="218" spans="2:3" ht="18" customHeight="1">
      <c r="C218" s="52" t="s">
        <v>217</v>
      </c>
    </row>
    <row r="220" spans="2:3" ht="18" customHeight="1">
      <c r="B220" s="52" t="s">
        <v>3197</v>
      </c>
    </row>
    <row r="221" spans="2:3" ht="18" customHeight="1">
      <c r="C221" s="52" t="s">
        <v>4915</v>
      </c>
    </row>
    <row r="222" spans="2:3" ht="18" customHeight="1">
      <c r="B222" s="52" t="s">
        <v>3199</v>
      </c>
    </row>
    <row r="223" spans="2:3" ht="18" customHeight="1">
      <c r="C223" s="52" t="s">
        <v>4916</v>
      </c>
    </row>
    <row r="224" spans="2:3" ht="18" customHeight="1">
      <c r="B224" s="52" t="s">
        <v>3201</v>
      </c>
    </row>
    <row r="225" spans="2:3" ht="18" customHeight="1">
      <c r="C225" s="52" t="s">
        <v>4917</v>
      </c>
    </row>
    <row r="226" spans="2:3" ht="18" customHeight="1">
      <c r="B226" s="52" t="s">
        <v>3203</v>
      </c>
    </row>
    <row r="227" spans="2:3" ht="18" customHeight="1">
      <c r="C227" s="52" t="s">
        <v>4918</v>
      </c>
    </row>
    <row r="229" spans="2:3" ht="18" customHeight="1">
      <c r="B229" s="52" t="s">
        <v>4877</v>
      </c>
    </row>
    <row r="230" spans="2:3" ht="18" customHeight="1">
      <c r="C230" s="52" t="s">
        <v>4878</v>
      </c>
    </row>
    <row r="232" spans="2:3" ht="18" customHeight="1">
      <c r="B232" s="52" t="s">
        <v>4919</v>
      </c>
    </row>
    <row r="233" spans="2:3" ht="18" customHeight="1">
      <c r="C233" s="52" t="s">
        <v>4920</v>
      </c>
    </row>
    <row r="234" spans="2:3" ht="18" customHeight="1">
      <c r="B234" s="52" t="s">
        <v>4952</v>
      </c>
    </row>
    <row r="235" spans="2:3" ht="18" customHeight="1">
      <c r="C235" s="52" t="s">
        <v>4953</v>
      </c>
    </row>
    <row r="236" spans="2:3" ht="18" customHeight="1">
      <c r="B236" s="52" t="s">
        <v>4954</v>
      </c>
    </row>
    <row r="237" spans="2:3" ht="18" customHeight="1">
      <c r="C237" s="52" t="s">
        <v>4955</v>
      </c>
    </row>
    <row r="238" spans="2:3" ht="18" customHeight="1">
      <c r="B238" s="52" t="s">
        <v>4921</v>
      </c>
    </row>
    <row r="239" spans="2:3" ht="18" customHeight="1">
      <c r="C239" s="52" t="s">
        <v>4956</v>
      </c>
    </row>
    <row r="240" spans="2:3" ht="18" customHeight="1">
      <c r="B240" s="52" t="s">
        <v>4957</v>
      </c>
    </row>
    <row r="241" spans="2:3" ht="18" customHeight="1">
      <c r="C241" s="52" t="s">
        <v>4958</v>
      </c>
    </row>
    <row r="242" spans="2:3" ht="18" customHeight="1">
      <c r="B242" s="52" t="s">
        <v>4959</v>
      </c>
    </row>
    <row r="243" spans="2:3" ht="18" customHeight="1">
      <c r="C243" s="52" t="s">
        <v>4960</v>
      </c>
    </row>
    <row r="244" spans="2:3" ht="18" customHeight="1">
      <c r="B244" s="52" t="s">
        <v>4961</v>
      </c>
    </row>
    <row r="245" spans="2:3" ht="18" customHeight="1">
      <c r="C245" s="52" t="s">
        <v>4962</v>
      </c>
    </row>
    <row r="246" spans="2:3" ht="18" customHeight="1">
      <c r="B246" s="52" t="s">
        <v>4963</v>
      </c>
    </row>
    <row r="247" spans="2:3" ht="18" customHeight="1">
      <c r="C247" s="52" t="s">
        <v>4964</v>
      </c>
    </row>
    <row r="249" spans="2:3" ht="18" customHeight="1">
      <c r="B249" s="52" t="s">
        <v>4941</v>
      </c>
    </row>
    <row r="250" spans="2:3" ht="18" customHeight="1">
      <c r="C250" s="52" t="s">
        <v>4942</v>
      </c>
    </row>
    <row r="253" spans="2:3" ht="18" customHeight="1">
      <c r="B253" s="52" t="s">
        <v>4965</v>
      </c>
    </row>
    <row r="255" spans="2:3" ht="18" customHeight="1">
      <c r="B255" s="52" t="s">
        <v>4899</v>
      </c>
    </row>
    <row r="256" spans="2:3" ht="18" customHeight="1">
      <c r="C256" s="52" t="s">
        <v>4913</v>
      </c>
    </row>
    <row r="257" spans="2:3" ht="18" customHeight="1">
      <c r="B257" s="52" t="s">
        <v>3194</v>
      </c>
    </row>
    <row r="258" spans="2:3" ht="18" customHeight="1">
      <c r="C258" s="52" t="s">
        <v>4914</v>
      </c>
    </row>
    <row r="260" spans="2:3" ht="18" customHeight="1">
      <c r="B260" s="52" t="s">
        <v>3196</v>
      </c>
    </row>
    <row r="261" spans="2:3" ht="18" customHeight="1">
      <c r="C261" s="52" t="s">
        <v>217</v>
      </c>
    </row>
    <row r="263" spans="2:3" ht="18" customHeight="1">
      <c r="B263" s="52" t="s">
        <v>3197</v>
      </c>
    </row>
    <row r="264" spans="2:3" ht="18" customHeight="1">
      <c r="C264" s="52" t="s">
        <v>4915</v>
      </c>
    </row>
    <row r="265" spans="2:3" ht="18" customHeight="1">
      <c r="B265" s="52" t="s">
        <v>3199</v>
      </c>
    </row>
    <row r="266" spans="2:3" ht="18" customHeight="1">
      <c r="C266" s="52" t="s">
        <v>4916</v>
      </c>
    </row>
    <row r="267" spans="2:3" ht="18" customHeight="1">
      <c r="B267" s="52" t="s">
        <v>3201</v>
      </c>
    </row>
    <row r="268" spans="2:3" ht="18" customHeight="1">
      <c r="C268" s="52" t="s">
        <v>4917</v>
      </c>
    </row>
    <row r="269" spans="2:3" ht="18" customHeight="1">
      <c r="B269" s="52" t="s">
        <v>3203</v>
      </c>
    </row>
    <row r="270" spans="2:3" ht="18" customHeight="1">
      <c r="C270" s="52" t="s">
        <v>4918</v>
      </c>
    </row>
    <row r="272" spans="2:3" ht="18" customHeight="1">
      <c r="B272" s="52" t="s">
        <v>4877</v>
      </c>
    </row>
    <row r="273" spans="2:3" ht="18" customHeight="1">
      <c r="C273" s="52" t="s">
        <v>4878</v>
      </c>
    </row>
    <row r="275" spans="2:3" ht="18" customHeight="1">
      <c r="B275" s="52" t="s">
        <v>4966</v>
      </c>
    </row>
    <row r="276" spans="2:3" ht="18" customHeight="1">
      <c r="C276" s="52" t="s">
        <v>4920</v>
      </c>
    </row>
    <row r="278" spans="2:3" ht="18" customHeight="1">
      <c r="B278" s="52" t="s">
        <v>4967</v>
      </c>
    </row>
    <row r="279" spans="2:3" ht="18" customHeight="1">
      <c r="C279" s="52" t="s">
        <v>4968</v>
      </c>
    </row>
    <row r="280" spans="2:3" ht="18" customHeight="1">
      <c r="B280" s="52" t="s">
        <v>4969</v>
      </c>
    </row>
    <row r="281" spans="2:3" ht="18" customHeight="1">
      <c r="C281" s="52" t="s">
        <v>4970</v>
      </c>
    </row>
    <row r="282" spans="2:3" ht="18" customHeight="1">
      <c r="C282" s="52" t="s">
        <v>4971</v>
      </c>
    </row>
    <row r="283" spans="2:3" ht="18" customHeight="1">
      <c r="C283" s="52" t="s">
        <v>4972</v>
      </c>
    </row>
    <row r="284" spans="2:3" ht="18" customHeight="1">
      <c r="B284" s="52" t="s">
        <v>4925</v>
      </c>
    </row>
    <row r="285" spans="2:3" ht="18" customHeight="1">
      <c r="C285" s="52" t="s">
        <v>4973</v>
      </c>
    </row>
    <row r="286" spans="2:3" ht="18" customHeight="1">
      <c r="B286" s="52" t="s">
        <v>4954</v>
      </c>
    </row>
    <row r="287" spans="2:3" ht="18" customHeight="1">
      <c r="C287" s="52" t="s">
        <v>4974</v>
      </c>
    </row>
    <row r="288" spans="2:3" ht="18" customHeight="1">
      <c r="B288" s="52" t="s">
        <v>4975</v>
      </c>
    </row>
    <row r="289" spans="1:3" ht="18" customHeight="1">
      <c r="C289" s="52" t="s">
        <v>4976</v>
      </c>
    </row>
    <row r="290" spans="1:3" ht="18" customHeight="1">
      <c r="B290" s="52" t="s">
        <v>4977</v>
      </c>
    </row>
    <row r="291" spans="1:3" ht="18" customHeight="1">
      <c r="C291" s="52" t="s">
        <v>4978</v>
      </c>
    </row>
    <row r="293" spans="1:3" ht="18" customHeight="1">
      <c r="B293" s="52" t="s">
        <v>4941</v>
      </c>
    </row>
    <row r="294" spans="1:3" ht="18" customHeight="1">
      <c r="C294" s="52" t="s">
        <v>4942</v>
      </c>
    </row>
    <row r="296" spans="1:3" ht="18" customHeight="1">
      <c r="B296" s="52" t="s">
        <v>4979</v>
      </c>
    </row>
    <row r="297" spans="1:3" ht="18" customHeight="1">
      <c r="C297" s="52" t="s">
        <v>4980</v>
      </c>
    </row>
    <row r="298" spans="1:3" ht="18" customHeight="1">
      <c r="C298" s="52" t="s">
        <v>4950</v>
      </c>
    </row>
    <row r="300" spans="1:3" ht="18" customHeight="1">
      <c r="A300" s="52" t="s">
        <v>4981</v>
      </c>
    </row>
    <row r="306" spans="1:1" ht="18" customHeight="1">
      <c r="A306" s="52" t="s">
        <v>9983</v>
      </c>
    </row>
    <row r="308" spans="1:1" ht="18" customHeight="1">
      <c r="A308" s="52" t="s">
        <v>9984</v>
      </c>
    </row>
    <row r="310" spans="1:1" ht="18" customHeight="1">
      <c r="A310" s="52" t="s">
        <v>9985</v>
      </c>
    </row>
    <row r="311" spans="1:1" ht="18" customHeight="1">
      <c r="A311" s="52" t="s">
        <v>9986</v>
      </c>
    </row>
    <row r="313" spans="1:1" ht="18" customHeight="1">
      <c r="A313" s="52" t="s">
        <v>9987</v>
      </c>
    </row>
    <row r="314" spans="1:1" ht="18" customHeight="1">
      <c r="A314" s="52" t="s">
        <v>9988</v>
      </c>
    </row>
    <row r="315" spans="1:1" ht="18" customHeight="1">
      <c r="A315" s="52" t="s">
        <v>9989</v>
      </c>
    </row>
    <row r="316" spans="1:1" ht="18" customHeight="1">
      <c r="A316" s="52" t="s">
        <v>9990</v>
      </c>
    </row>
    <row r="317" spans="1:1" ht="18" customHeight="1">
      <c r="A317" s="52" t="s">
        <v>9991</v>
      </c>
    </row>
    <row r="319" spans="1:1" ht="18" customHeight="1">
      <c r="A319" s="52" t="s">
        <v>9992</v>
      </c>
    </row>
  </sheetData>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2"/>
  <dimension ref="G20"/>
  <sheetViews>
    <sheetView workbookViewId="0"/>
  </sheetViews>
  <sheetFormatPr defaultRowHeight="12"/>
  <cols>
    <col min="1" max="16384" width="9" style="166"/>
  </cols>
  <sheetData>
    <row r="20" spans="7:7">
      <c r="G20" s="166" t="s">
        <v>8756</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7">
    <tabColor rgb="FFFF99CC"/>
  </sheetPr>
  <dimension ref="B2:I14"/>
  <sheetViews>
    <sheetView workbookViewId="0"/>
  </sheetViews>
  <sheetFormatPr defaultColWidth="3.625" defaultRowHeight="15" customHeight="1"/>
  <cols>
    <col min="1" max="5" width="3.625" style="52" customWidth="1"/>
    <col min="6" max="12" width="18.625" style="52" customWidth="1"/>
    <col min="13" max="16384" width="3.625" style="52"/>
  </cols>
  <sheetData>
    <row r="2" spans="2:9" ht="15" customHeight="1">
      <c r="B2" s="52" t="s">
        <v>9972</v>
      </c>
    </row>
    <row r="4" spans="2:9" ht="15" customHeight="1">
      <c r="C4" s="52" t="s">
        <v>9973</v>
      </c>
    </row>
    <row r="5" spans="2:9" ht="15" customHeight="1">
      <c r="C5" s="52" t="s">
        <v>9974</v>
      </c>
    </row>
    <row r="7" spans="2:9" ht="15" customHeight="1">
      <c r="D7" s="52" t="s">
        <v>9975</v>
      </c>
      <c r="E7" s="52" t="s">
        <v>9976</v>
      </c>
    </row>
    <row r="8" spans="2:9" ht="15" customHeight="1">
      <c r="E8" s="52" t="s">
        <v>9977</v>
      </c>
    </row>
    <row r="11" spans="2:9" s="1" customFormat="1" ht="15" customHeight="1">
      <c r="B11" s="323" t="s">
        <v>9978</v>
      </c>
    </row>
    <row r="12" spans="2:9" s="1" customFormat="1" ht="15" customHeight="1"/>
    <row r="13" spans="2:9" s="1" customFormat="1" ht="15" customHeight="1">
      <c r="G13" s="323" t="s">
        <v>9982</v>
      </c>
      <c r="H13" s="444">
        <f>IF(_output_finished="","",_output_finished)</f>
        <v>1</v>
      </c>
      <c r="I13" s="1" t="s">
        <v>9979</v>
      </c>
    </row>
    <row r="14" spans="2:9" s="1" customFormat="1" ht="15" customHeight="1">
      <c r="G14" s="323" t="s">
        <v>9980</v>
      </c>
      <c r="H14" s="445"/>
      <c r="I14" s="1" t="s">
        <v>9981</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6">
    <tabColor rgb="FFFF99CC"/>
  </sheetPr>
  <dimension ref="A1"/>
  <sheetViews>
    <sheetView workbookViewId="0"/>
  </sheetViews>
  <sheetFormatPr defaultRowHeight="13.5"/>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FFFF"/>
  </sheetPr>
  <dimension ref="A1:AE2300"/>
  <sheetViews>
    <sheetView topLeftCell="A1527" zoomScale="90" zoomScaleNormal="90" workbookViewId="0">
      <selection activeCell="I1558" sqref="I1558"/>
    </sheetView>
  </sheetViews>
  <sheetFormatPr defaultRowHeight="18" customHeight="1"/>
  <cols>
    <col min="1" max="4" width="2.875" style="5" customWidth="1"/>
    <col min="5" max="6" width="15.625" style="5" customWidth="1"/>
    <col min="7" max="7" width="30.625" style="6" customWidth="1"/>
    <col min="8" max="8" width="18.625" style="7" customWidth="1"/>
    <col min="9" max="9" width="40.625" style="7" customWidth="1"/>
    <col min="10" max="10" width="22.375" style="7" customWidth="1"/>
    <col min="11" max="11" width="13.125" style="7" customWidth="1"/>
    <col min="12" max="19" width="14.125" style="7" customWidth="1"/>
    <col min="20" max="16384" width="9" style="7"/>
  </cols>
  <sheetData>
    <row r="1" spans="1:11" ht="18" customHeight="1">
      <c r="A1" s="5" t="s">
        <v>2754</v>
      </c>
    </row>
    <row r="2" spans="1:11" ht="18" customHeight="1">
      <c r="A2" s="5" t="s">
        <v>2755</v>
      </c>
      <c r="G2" s="6" t="s">
        <v>2756</v>
      </c>
      <c r="H2" s="7" t="s">
        <v>2757</v>
      </c>
      <c r="I2" s="7" t="s">
        <v>2758</v>
      </c>
      <c r="J2" s="7" t="s">
        <v>2759</v>
      </c>
      <c r="K2" s="7" t="s">
        <v>2760</v>
      </c>
    </row>
    <row r="5" spans="1:11" s="10" customFormat="1" ht="18" customHeight="1">
      <c r="A5" s="8" t="s">
        <v>2761</v>
      </c>
      <c r="B5" s="8"/>
      <c r="C5" s="8"/>
      <c r="D5" s="8"/>
      <c r="E5" s="8"/>
      <c r="F5" s="8"/>
      <c r="G5" s="8"/>
      <c r="H5" s="9"/>
    </row>
    <row r="7" spans="1:11" s="10" customFormat="1" ht="18" customHeight="1">
      <c r="A7" s="11"/>
      <c r="B7" s="12" t="s">
        <v>2762</v>
      </c>
      <c r="C7" s="12"/>
      <c r="D7" s="12"/>
      <c r="E7" s="12"/>
      <c r="F7" s="12"/>
      <c r="G7" s="12"/>
      <c r="H7" s="9"/>
    </row>
    <row r="8" spans="1:11" s="10" customFormat="1" ht="18" customHeight="1">
      <c r="A8" s="11"/>
      <c r="B8" s="12" t="s">
        <v>2763</v>
      </c>
      <c r="C8" s="12"/>
      <c r="D8" s="12"/>
      <c r="E8" s="12"/>
      <c r="F8" s="12"/>
      <c r="G8" s="12"/>
      <c r="H8" s="9"/>
      <c r="J8" s="10" t="s">
        <v>2764</v>
      </c>
    </row>
    <row r="9" spans="1:11" s="10" customFormat="1" ht="18" customHeight="1">
      <c r="A9" s="11"/>
      <c r="B9" s="13"/>
      <c r="C9" s="12" t="s">
        <v>2765</v>
      </c>
      <c r="D9" s="12"/>
      <c r="E9" s="12"/>
      <c r="F9" s="12"/>
      <c r="G9" s="12" t="s">
        <v>1940</v>
      </c>
      <c r="H9" s="13" t="s">
        <v>11787</v>
      </c>
      <c r="I9" s="9"/>
      <c r="J9" s="9"/>
    </row>
    <row r="10" spans="1:11" s="10" customFormat="1" ht="18" customHeight="1">
      <c r="A10" s="11"/>
      <c r="B10" s="13"/>
      <c r="C10" s="12" t="s">
        <v>2766</v>
      </c>
      <c r="D10" s="12"/>
      <c r="E10" s="12"/>
      <c r="F10" s="12"/>
      <c r="G10" s="12" t="s">
        <v>1941</v>
      </c>
      <c r="H10" s="13" t="s">
        <v>10211</v>
      </c>
      <c r="I10" s="9"/>
      <c r="J10" s="9"/>
    </row>
    <row r="11" spans="1:11" s="10" customFormat="1" ht="18" customHeight="1">
      <c r="A11" s="11"/>
      <c r="B11" s="13"/>
      <c r="C11" s="12" t="s">
        <v>2767</v>
      </c>
      <c r="D11" s="12"/>
      <c r="E11" s="12"/>
      <c r="F11" s="12"/>
      <c r="G11" s="12" t="s">
        <v>1942</v>
      </c>
      <c r="H11" s="13" t="s">
        <v>11798</v>
      </c>
      <c r="I11" s="9"/>
      <c r="J11" s="9"/>
    </row>
    <row r="12" spans="1:11" s="18" customFormat="1" ht="18" customHeight="1">
      <c r="A12" s="14"/>
      <c r="B12" s="5"/>
      <c r="C12" s="5" t="s">
        <v>2768</v>
      </c>
      <c r="D12" s="5"/>
      <c r="E12" s="5"/>
      <c r="F12" s="5"/>
      <c r="G12" s="12" t="s">
        <v>1943</v>
      </c>
      <c r="H12" s="15" t="s">
        <v>11797</v>
      </c>
      <c r="I12" s="16" t="s">
        <v>2769</v>
      </c>
      <c r="J12" s="17" t="str">
        <f>IF(config_PRESENTER_ADDRESS="","",config_PRESENTER_ADDRESS)</f>
        <v>東京都中央区八重洲2丁目4番6号</v>
      </c>
      <c r="K12" s="10" t="s">
        <v>2770</v>
      </c>
    </row>
    <row r="13" spans="1:11" s="18" customFormat="1" ht="18" customHeight="1">
      <c r="A13" s="14"/>
      <c r="B13" s="5"/>
      <c r="C13" s="5"/>
      <c r="D13" s="5"/>
      <c r="E13" s="5"/>
      <c r="F13" s="5"/>
      <c r="G13" s="12" t="s">
        <v>1944</v>
      </c>
      <c r="H13" s="15"/>
      <c r="I13" s="16"/>
      <c r="J13" s="27"/>
      <c r="K13" s="10"/>
    </row>
    <row r="14" spans="1:11" s="18" customFormat="1" ht="18" customHeight="1">
      <c r="A14" s="14"/>
      <c r="B14" s="5"/>
      <c r="C14" s="5" t="s">
        <v>2771</v>
      </c>
      <c r="D14" s="5"/>
      <c r="E14" s="5"/>
      <c r="F14" s="5"/>
      <c r="G14" s="12" t="s">
        <v>1945</v>
      </c>
      <c r="H14" s="15" t="s">
        <v>11799</v>
      </c>
      <c r="I14" s="16"/>
      <c r="J14" s="7"/>
      <c r="K14" s="10" t="s">
        <v>2770</v>
      </c>
    </row>
    <row r="15" spans="1:11" s="10" customFormat="1" ht="18" customHeight="1">
      <c r="A15" s="11"/>
      <c r="B15" s="12"/>
      <c r="C15" s="12" t="s">
        <v>2772</v>
      </c>
      <c r="D15" s="12"/>
      <c r="E15" s="12"/>
      <c r="F15" s="12"/>
      <c r="G15" s="12"/>
      <c r="H15" s="9"/>
      <c r="I15" s="9"/>
    </row>
    <row r="16" spans="1:11" s="10" customFormat="1" ht="18" customHeight="1">
      <c r="A16" s="11"/>
      <c r="B16" s="12"/>
      <c r="C16" s="11"/>
      <c r="D16" s="12" t="s">
        <v>2773</v>
      </c>
      <c r="E16" s="12"/>
      <c r="F16" s="12"/>
      <c r="G16" s="12" t="s">
        <v>1946</v>
      </c>
      <c r="H16" s="13"/>
      <c r="I16" s="9"/>
      <c r="J16" s="9"/>
      <c r="K16" s="10" t="s">
        <v>2770</v>
      </c>
    </row>
    <row r="17" spans="1:11" s="10" customFormat="1" ht="18" customHeight="1">
      <c r="A17" s="11"/>
      <c r="B17" s="12"/>
      <c r="C17" s="11"/>
      <c r="D17" s="12" t="s">
        <v>2774</v>
      </c>
      <c r="E17" s="12"/>
      <c r="F17" s="12"/>
      <c r="G17" s="12" t="s">
        <v>1947</v>
      </c>
      <c r="H17" s="13"/>
      <c r="I17" s="9"/>
      <c r="J17" s="9"/>
      <c r="K17" s="10" t="s">
        <v>2770</v>
      </c>
    </row>
    <row r="18" spans="1:11" s="10" customFormat="1" ht="18" customHeight="1">
      <c r="A18" s="11"/>
      <c r="B18" s="12"/>
      <c r="C18" s="11"/>
      <c r="D18" s="12" t="s">
        <v>2775</v>
      </c>
      <c r="E18" s="12"/>
      <c r="F18" s="12"/>
      <c r="G18" s="12" t="s">
        <v>1948</v>
      </c>
      <c r="H18" s="13"/>
      <c r="I18" s="9"/>
      <c r="J18" s="9"/>
      <c r="K18" s="10" t="s">
        <v>2770</v>
      </c>
    </row>
    <row r="19" spans="1:11" s="10" customFormat="1" ht="18" customHeight="1">
      <c r="A19" s="11"/>
      <c r="B19" s="12"/>
      <c r="C19" s="11"/>
      <c r="D19" s="12" t="s">
        <v>2776</v>
      </c>
      <c r="E19" s="12"/>
      <c r="F19" s="12"/>
      <c r="G19" s="12" t="s">
        <v>1949</v>
      </c>
      <c r="H19" s="13"/>
      <c r="I19" s="12"/>
      <c r="J19" s="9"/>
      <c r="K19" s="10" t="s">
        <v>2770</v>
      </c>
    </row>
    <row r="20" spans="1:11" s="10" customFormat="1" ht="18" customHeight="1">
      <c r="A20" s="11"/>
      <c r="B20" s="12"/>
      <c r="C20" s="12" t="s">
        <v>2777</v>
      </c>
      <c r="D20" s="11"/>
      <c r="E20" s="11"/>
      <c r="F20" s="11"/>
      <c r="G20" s="12" t="s">
        <v>1950</v>
      </c>
      <c r="H20" s="13" t="s">
        <v>9456</v>
      </c>
      <c r="I20" s="9"/>
      <c r="J20" s="9"/>
      <c r="K20" s="10" t="s">
        <v>2770</v>
      </c>
    </row>
    <row r="21" spans="1:11" s="18" customFormat="1" ht="18" customHeight="1">
      <c r="A21" s="14"/>
      <c r="B21" s="5"/>
      <c r="C21" s="5" t="s">
        <v>2778</v>
      </c>
      <c r="D21" s="5"/>
      <c r="E21" s="5"/>
      <c r="F21" s="5"/>
      <c r="G21" s="14" t="s">
        <v>1951</v>
      </c>
      <c r="H21" s="15" t="s">
        <v>1953</v>
      </c>
      <c r="I21" s="16" t="s">
        <v>11028</v>
      </c>
      <c r="J21" s="40" t="str">
        <f>IF(config_CUSTOM_CODE="","",config_CUSTOM_CODE)</f>
        <v>CIAS</v>
      </c>
      <c r="K21" s="10" t="s">
        <v>2770</v>
      </c>
    </row>
    <row r="22" spans="1:11" s="10" customFormat="1" ht="18" customHeight="1">
      <c r="A22" s="11"/>
      <c r="B22" s="12"/>
      <c r="C22" s="12"/>
      <c r="D22" s="12"/>
      <c r="E22" s="12"/>
      <c r="F22" s="12"/>
      <c r="G22" s="12"/>
      <c r="H22" s="9"/>
      <c r="I22" s="9"/>
      <c r="J22" s="9"/>
    </row>
    <row r="23" spans="1:11" s="10" customFormat="1" ht="18" customHeight="1">
      <c r="A23" s="11"/>
      <c r="B23" s="12"/>
      <c r="C23" s="12"/>
      <c r="D23" s="12"/>
      <c r="E23" s="12"/>
      <c r="F23" s="12"/>
      <c r="G23" s="12"/>
      <c r="H23" s="9"/>
      <c r="I23" s="9"/>
      <c r="J23" s="9"/>
    </row>
    <row r="24" spans="1:11" s="10" customFormat="1" ht="18" customHeight="1">
      <c r="A24" s="11"/>
      <c r="B24" s="12" t="s">
        <v>2779</v>
      </c>
      <c r="C24" s="12"/>
      <c r="D24" s="12"/>
      <c r="E24" s="12"/>
      <c r="F24" s="12"/>
      <c r="G24" s="12"/>
      <c r="H24" s="9"/>
      <c r="I24" s="9"/>
      <c r="J24" s="9"/>
    </row>
    <row r="25" spans="1:11" s="10" customFormat="1" ht="18" customHeight="1">
      <c r="A25" s="11"/>
      <c r="B25" s="12" t="s">
        <v>2780</v>
      </c>
      <c r="C25" s="12"/>
      <c r="D25" s="12"/>
      <c r="E25" s="12"/>
      <c r="F25" s="12"/>
      <c r="G25" s="12"/>
      <c r="H25" s="9"/>
      <c r="I25" s="9"/>
      <c r="J25" s="9"/>
    </row>
    <row r="26" spans="1:11" s="10" customFormat="1" ht="18" customHeight="1">
      <c r="A26" s="11"/>
      <c r="B26" s="12"/>
      <c r="C26" s="12" t="s">
        <v>2781</v>
      </c>
      <c r="D26" s="12"/>
      <c r="E26" s="12"/>
      <c r="F26" s="12"/>
      <c r="G26" s="12" t="s">
        <v>276</v>
      </c>
      <c r="H26" s="20" t="s">
        <v>10211</v>
      </c>
      <c r="I26" s="9"/>
      <c r="J26" s="9"/>
    </row>
    <row r="27" spans="1:11" s="10" customFormat="1" ht="18" customHeight="1">
      <c r="A27" s="11"/>
      <c r="B27" s="12"/>
      <c r="C27" s="12" t="s">
        <v>10110</v>
      </c>
      <c r="D27" s="12"/>
      <c r="E27" s="12"/>
      <c r="F27" s="12"/>
      <c r="G27" s="12" t="s">
        <v>287</v>
      </c>
      <c r="H27" s="20">
        <v>2</v>
      </c>
      <c r="I27" s="9" t="s">
        <v>11029</v>
      </c>
      <c r="J27" s="20">
        <f>IF(shinsei_UKETUKE_OFFICE_ID__ID="","",shinsei_UKETUKE_OFFICE_ID__ID)</f>
        <v>2</v>
      </c>
      <c r="K27" s="10" t="s">
        <v>2787</v>
      </c>
    </row>
    <row r="28" spans="1:11" s="10" customFormat="1" ht="18" customHeight="1">
      <c r="A28" s="11"/>
      <c r="B28" s="12"/>
      <c r="C28" s="12" t="s">
        <v>2774</v>
      </c>
      <c r="D28" s="12"/>
      <c r="E28" s="12"/>
      <c r="F28" s="12"/>
      <c r="G28" s="12" t="s">
        <v>277</v>
      </c>
      <c r="H28" s="20" t="s">
        <v>11859</v>
      </c>
      <c r="I28" s="9" t="s">
        <v>9915</v>
      </c>
      <c r="J28" s="20" t="str">
        <f>IF(shinsei_UKETUKE_OFFICE_ID__OFFICE_NAME="","",shinsei_UKETUKE_OFFICE_ID__OFFICE_NAME)</f>
        <v>大阪本店</v>
      </c>
    </row>
    <row r="29" spans="1:11" s="10" customFormat="1" ht="18" customHeight="1">
      <c r="A29" s="11"/>
      <c r="B29" s="12"/>
      <c r="C29" s="12" t="s">
        <v>814</v>
      </c>
      <c r="D29" s="12"/>
      <c r="E29" s="12"/>
      <c r="F29" s="12"/>
      <c r="G29" s="12" t="s">
        <v>278</v>
      </c>
      <c r="H29" s="20" t="s">
        <v>10216</v>
      </c>
      <c r="I29" s="12" t="s">
        <v>9965</v>
      </c>
      <c r="J29" s="20" t="str">
        <f>IF(shinsei_UKETUKE_OFFICE_ID__POST_CODE="","",shinsei_UKETUKE_OFFICE_ID__POST_CODE)</f>
        <v>541-0041</v>
      </c>
    </row>
    <row r="30" spans="1:11" s="10" customFormat="1" ht="18" customHeight="1">
      <c r="A30" s="11"/>
      <c r="B30" s="12"/>
      <c r="C30" s="12" t="s">
        <v>2855</v>
      </c>
      <c r="D30" s="12"/>
      <c r="E30" s="12"/>
      <c r="F30" s="12"/>
      <c r="G30" s="12" t="s">
        <v>279</v>
      </c>
      <c r="H30" s="20" t="s">
        <v>11858</v>
      </c>
      <c r="I30" s="12" t="s">
        <v>9963</v>
      </c>
      <c r="J30" s="21" t="str">
        <f>IF(shinsei_UKETUKE_OFFICE_ID__ADDRESS="","",shinsei_UKETUKE_OFFICE_ID__ADDRESS)</f>
        <v>大阪府大阪市中央区北浜3丁目7番12号</v>
      </c>
    </row>
    <row r="31" spans="1:11" s="10" customFormat="1" ht="18" customHeight="1">
      <c r="A31" s="11"/>
      <c r="B31" s="12"/>
      <c r="C31" s="12" t="s">
        <v>2783</v>
      </c>
      <c r="D31" s="12"/>
      <c r="E31" s="12"/>
      <c r="F31" s="12"/>
      <c r="G31" s="12" t="s">
        <v>280</v>
      </c>
      <c r="H31" s="20" t="s">
        <v>10217</v>
      </c>
      <c r="I31" s="12" t="s">
        <v>9962</v>
      </c>
      <c r="J31" s="20" t="str">
        <f>IF(shinsei_UKETUKE_OFFICE_ID__ADDRESS2="","",shinsei_UKETUKE_OFFICE_ID__ADDRESS2)</f>
        <v>京阪御堂筋ビル７Ｆ</v>
      </c>
    </row>
    <row r="32" spans="1:11" s="10" customFormat="1" ht="18" customHeight="1">
      <c r="A32" s="11"/>
      <c r="B32" s="12"/>
      <c r="C32" s="12"/>
      <c r="D32" s="46" t="s">
        <v>2784</v>
      </c>
      <c r="E32" s="46"/>
      <c r="F32" s="46"/>
      <c r="G32" s="11"/>
      <c r="H32" s="9"/>
      <c r="I32" s="12" t="s">
        <v>9964</v>
      </c>
      <c r="J32" s="22" t="str">
        <f>IF(shinsei_UKETUKE_OFFICE_ID__ADDRESS="","",shinsei_UKETUKE_OFFICE_ID__ADDRESS&amp;IF(shinsei_UKETUKE_OFFICE_ID__ADDRESS2="","","  "&amp;shinsei_UKETUKE_OFFICE_ID__ADDRESS2))</f>
        <v>大阪府大阪市中央区北浜3丁目7番12号  京阪御堂筋ビル７Ｆ</v>
      </c>
    </row>
    <row r="33" spans="1:11" s="10" customFormat="1" ht="18" customHeight="1">
      <c r="A33" s="11"/>
      <c r="B33" s="12"/>
      <c r="C33" s="12" t="s">
        <v>4139</v>
      </c>
      <c r="D33" s="12"/>
      <c r="E33" s="12"/>
      <c r="F33" s="12"/>
      <c r="G33" s="12" t="s">
        <v>281</v>
      </c>
      <c r="H33" s="20" t="s">
        <v>10218</v>
      </c>
      <c r="I33" s="12" t="s">
        <v>9960</v>
      </c>
      <c r="J33" s="23" t="str">
        <f>IF(shinsei_UKETUKE_OFFICE_ID__TEL="","",shinsei_UKETUKE_OFFICE_ID__TEL)</f>
        <v>06-6222-6626</v>
      </c>
    </row>
    <row r="34" spans="1:11" s="10" customFormat="1" ht="18" customHeight="1">
      <c r="A34" s="11"/>
      <c r="B34" s="12"/>
      <c r="C34" s="12" t="s">
        <v>8810</v>
      </c>
      <c r="D34" s="12"/>
      <c r="E34" s="12"/>
      <c r="F34" s="12"/>
      <c r="G34" s="12" t="s">
        <v>282</v>
      </c>
      <c r="H34" s="20" t="s">
        <v>10219</v>
      </c>
      <c r="I34" s="12" t="s">
        <v>9961</v>
      </c>
      <c r="J34" s="23" t="str">
        <f>IF(shinsei_UKETUKE_OFFICE_ID__FAX="","",shinsei_UKETUKE_OFFICE_ID__FAX)</f>
        <v>06-6222-6627</v>
      </c>
    </row>
    <row r="35" spans="1:11" s="10" customFormat="1" ht="18" customHeight="1">
      <c r="A35" s="11"/>
      <c r="B35" s="12"/>
      <c r="C35" s="12" t="s">
        <v>2772</v>
      </c>
      <c r="D35" s="12"/>
      <c r="E35" s="12"/>
      <c r="F35" s="12"/>
      <c r="G35" s="12"/>
      <c r="H35" s="9"/>
      <c r="I35" s="9"/>
      <c r="J35" s="9"/>
    </row>
    <row r="36" spans="1:11" s="10" customFormat="1" ht="18" customHeight="1">
      <c r="A36" s="11"/>
      <c r="B36" s="12"/>
      <c r="C36" s="11"/>
      <c r="D36" s="12" t="s">
        <v>2773</v>
      </c>
      <c r="E36" s="12"/>
      <c r="F36" s="12"/>
      <c r="G36" s="12" t="s">
        <v>283</v>
      </c>
      <c r="H36" s="20"/>
      <c r="I36" s="9"/>
      <c r="J36" s="9"/>
    </row>
    <row r="37" spans="1:11" s="10" customFormat="1" ht="18" customHeight="1">
      <c r="A37" s="11"/>
      <c r="B37" s="12"/>
      <c r="C37" s="11"/>
      <c r="D37" s="12" t="s">
        <v>2774</v>
      </c>
      <c r="E37" s="12"/>
      <c r="F37" s="12"/>
      <c r="G37" s="12" t="s">
        <v>284</v>
      </c>
      <c r="H37" s="20"/>
      <c r="I37" s="9"/>
      <c r="J37" s="9"/>
    </row>
    <row r="38" spans="1:11" s="10" customFormat="1" ht="18" customHeight="1">
      <c r="A38" s="11"/>
      <c r="B38" s="12"/>
      <c r="C38" s="11"/>
      <c r="D38" s="12" t="s">
        <v>2775</v>
      </c>
      <c r="E38" s="12"/>
      <c r="F38" s="12"/>
      <c r="G38" s="12" t="s">
        <v>285</v>
      </c>
      <c r="H38" s="20"/>
      <c r="I38" s="9"/>
      <c r="J38" s="9"/>
    </row>
    <row r="39" spans="1:11" s="10" customFormat="1" ht="18" customHeight="1">
      <c r="A39" s="11"/>
      <c r="B39" s="12"/>
      <c r="C39" s="11"/>
      <c r="D39" s="12" t="s">
        <v>2776</v>
      </c>
      <c r="E39" s="12"/>
      <c r="F39" s="12"/>
      <c r="G39" s="12" t="s">
        <v>286</v>
      </c>
      <c r="H39" s="20"/>
      <c r="I39" s="9"/>
      <c r="J39" s="9"/>
    </row>
    <row r="40" spans="1:11" s="10" customFormat="1" ht="18" customHeight="1">
      <c r="A40" s="11"/>
      <c r="B40" s="12"/>
      <c r="C40" s="12"/>
      <c r="D40" s="12"/>
      <c r="E40" s="12"/>
      <c r="F40" s="12"/>
      <c r="G40" s="12"/>
      <c r="H40" s="9"/>
      <c r="I40" s="9"/>
      <c r="J40" s="9"/>
    </row>
    <row r="41" spans="1:11" s="10" customFormat="1" ht="18" customHeight="1">
      <c r="A41" s="11"/>
      <c r="B41" s="12"/>
      <c r="C41" s="12"/>
      <c r="D41" s="12"/>
      <c r="E41" s="12"/>
      <c r="F41" s="12"/>
      <c r="G41" s="12"/>
      <c r="H41" s="9"/>
      <c r="I41" s="9"/>
      <c r="J41" s="9"/>
    </row>
    <row r="42" spans="1:11" s="10" customFormat="1" ht="18" customHeight="1">
      <c r="A42" s="12"/>
      <c r="B42" s="12"/>
      <c r="C42" s="12"/>
      <c r="D42" s="12"/>
      <c r="E42" s="12"/>
      <c r="F42" s="12"/>
      <c r="G42" s="12"/>
      <c r="H42" s="9"/>
      <c r="J42" s="9"/>
    </row>
    <row r="43" spans="1:11" s="10" customFormat="1" ht="18" customHeight="1">
      <c r="A43" s="12"/>
      <c r="B43" s="12"/>
      <c r="C43" s="12"/>
      <c r="D43" s="12"/>
      <c r="E43" s="12"/>
      <c r="F43" s="12"/>
      <c r="G43" s="12"/>
      <c r="H43" s="9"/>
      <c r="I43" s="9"/>
      <c r="J43" s="9"/>
    </row>
    <row r="44" spans="1:11" s="10" customFormat="1" ht="18" customHeight="1">
      <c r="A44" s="11"/>
      <c r="B44" s="12" t="s">
        <v>2788</v>
      </c>
      <c r="C44" s="12"/>
      <c r="D44" s="12"/>
      <c r="E44" s="12"/>
      <c r="F44" s="12"/>
      <c r="G44" s="12"/>
      <c r="H44" s="9"/>
      <c r="I44" s="9"/>
      <c r="J44" s="9"/>
    </row>
    <row r="45" spans="1:11" s="10" customFormat="1" ht="18" customHeight="1">
      <c r="A45" s="11"/>
      <c r="B45" s="12" t="s">
        <v>2789</v>
      </c>
      <c r="C45" s="12"/>
      <c r="D45" s="12"/>
      <c r="E45" s="12"/>
      <c r="F45" s="12"/>
      <c r="G45" s="12"/>
      <c r="H45" s="9"/>
      <c r="I45" s="9"/>
      <c r="J45" s="9"/>
      <c r="K45" s="10" t="s">
        <v>2790</v>
      </c>
    </row>
    <row r="46" spans="1:11" s="10" customFormat="1" ht="18" customHeight="1">
      <c r="A46" s="11"/>
      <c r="B46" s="12" t="s">
        <v>2791</v>
      </c>
      <c r="C46" s="12"/>
      <c r="D46" s="12"/>
      <c r="E46" s="12"/>
      <c r="F46" s="12"/>
      <c r="G46" s="12" t="s">
        <v>288</v>
      </c>
      <c r="H46" s="13" t="s">
        <v>11844</v>
      </c>
      <c r="I46" s="10" t="s">
        <v>2792</v>
      </c>
      <c r="J46" s="24" t="str">
        <f>IF(shinsei_PROVO_TANTO_USER_ID="","",shinsei_PROVO_TANTO_USER_ID)</f>
        <v>福田 基久</v>
      </c>
    </row>
    <row r="47" spans="1:11" s="10" customFormat="1" ht="18" customHeight="1">
      <c r="A47" s="11"/>
      <c r="B47" s="12" t="s">
        <v>2793</v>
      </c>
      <c r="C47" s="12"/>
      <c r="D47" s="12"/>
      <c r="E47" s="12"/>
      <c r="F47" s="12"/>
      <c r="G47" s="12" t="s">
        <v>2794</v>
      </c>
      <c r="H47" s="13" t="s">
        <v>11787</v>
      </c>
      <c r="I47" s="9" t="s">
        <v>2795</v>
      </c>
      <c r="J47" s="19" t="str">
        <f>IF(shinsei_HIKIUKE_TANTO="","",shinsei_HIKIUKE_TANTO)</f>
        <v/>
      </c>
    </row>
    <row r="48" spans="1:11" s="10" customFormat="1" ht="18" customHeight="1">
      <c r="A48" s="12"/>
      <c r="B48" s="12"/>
      <c r="C48" s="12" t="s">
        <v>11062</v>
      </c>
      <c r="D48" s="12"/>
      <c r="E48" s="12"/>
      <c r="F48" s="12"/>
      <c r="G48" s="12"/>
      <c r="H48" s="9"/>
      <c r="I48" s="9" t="s">
        <v>11063</v>
      </c>
      <c r="J48" s="511" t="str">
        <f>IF(ISERROR(SEARCH(" ",SUBSTITUTE(shinsei_HIKIUKE_TANTO,"　"," "))),cst_shinsei_HIKIUKE_TANTO,MID(shinsei_HIKIUKE_TANTO,1,SEARCH(" ",SUBSTITUTE(shinsei_HIKIUKE_TANTO,"　"," "))))</f>
        <v/>
      </c>
    </row>
    <row r="49" spans="1:11" s="10" customFormat="1" ht="18" customHeight="1">
      <c r="A49" s="12" t="s">
        <v>2796</v>
      </c>
      <c r="B49" s="12"/>
      <c r="C49" s="12"/>
      <c r="D49" s="12"/>
      <c r="E49" s="12"/>
      <c r="F49" s="12"/>
      <c r="G49" s="12" t="s">
        <v>289</v>
      </c>
      <c r="H49" s="13" t="s">
        <v>11787</v>
      </c>
      <c r="I49" s="9" t="s">
        <v>2797</v>
      </c>
      <c r="J49" s="19" t="str">
        <f>IF(shinsei_STR_1ST_USER_ID="","",shinsei_STR_1ST_USER_ID)</f>
        <v/>
      </c>
    </row>
    <row r="50" spans="1:11" s="10" customFormat="1" ht="18" customHeight="1">
      <c r="A50" s="12" t="s">
        <v>2798</v>
      </c>
      <c r="B50" s="12"/>
      <c r="C50" s="12"/>
      <c r="D50" s="12"/>
      <c r="E50" s="12"/>
      <c r="F50" s="12"/>
      <c r="G50" s="12" t="s">
        <v>290</v>
      </c>
      <c r="H50" s="13" t="s">
        <v>11787</v>
      </c>
      <c r="I50" s="9" t="s">
        <v>2799</v>
      </c>
      <c r="J50" s="19" t="str">
        <f>IF(shinsei_STR_2ND_USER_ID="","",shinsei_STR_2ND_USER_ID)</f>
        <v/>
      </c>
    </row>
    <row r="51" spans="1:11" s="10" customFormat="1" ht="18" customHeight="1">
      <c r="A51" s="11"/>
      <c r="B51" s="12" t="s">
        <v>2800</v>
      </c>
      <c r="C51" s="12"/>
      <c r="D51" s="12"/>
      <c r="E51" s="12"/>
      <c r="F51" s="12"/>
      <c r="G51" s="12"/>
      <c r="H51" s="9"/>
      <c r="I51" s="9"/>
      <c r="J51" s="9"/>
      <c r="K51" s="10" t="s">
        <v>2801</v>
      </c>
    </row>
    <row r="52" spans="1:11" s="10" customFormat="1" ht="18" customHeight="1">
      <c r="A52" s="11"/>
      <c r="B52" s="12" t="s">
        <v>2802</v>
      </c>
      <c r="C52" s="12"/>
      <c r="D52" s="12"/>
      <c r="E52" s="12"/>
      <c r="G52" s="12" t="s">
        <v>2803</v>
      </c>
      <c r="H52" s="20" t="s">
        <v>11860</v>
      </c>
      <c r="I52" s="9" t="s">
        <v>2804</v>
      </c>
      <c r="J52" s="20" t="str">
        <f>IF(shinseijudgehist_accept_isyou1_TANTO_USER_ID="","",shinseijudgehist_accept_isyou1_TANTO_USER_ID)</f>
        <v>小林 元治</v>
      </c>
    </row>
    <row r="53" spans="1:11" s="10" customFormat="1" ht="18" customHeight="1">
      <c r="A53" s="11"/>
      <c r="B53" s="12"/>
      <c r="C53" s="12" t="s">
        <v>10194</v>
      </c>
      <c r="D53" s="12"/>
      <c r="E53" s="12"/>
      <c r="G53" s="12" t="s">
        <v>11185</v>
      </c>
      <c r="H53" s="74">
        <v>44225</v>
      </c>
      <c r="I53" s="9"/>
      <c r="J53" s="74"/>
    </row>
    <row r="54" spans="1:11" s="10" customFormat="1" ht="18" customHeight="1">
      <c r="A54" s="11"/>
      <c r="B54" s="12"/>
      <c r="C54" s="12" t="s">
        <v>11187</v>
      </c>
      <c r="D54" s="12"/>
      <c r="E54" s="12"/>
      <c r="G54" s="12" t="s">
        <v>11186</v>
      </c>
      <c r="H54" s="74"/>
      <c r="I54" s="9"/>
      <c r="J54" s="74"/>
    </row>
    <row r="55" spans="1:11" s="10" customFormat="1" ht="18" customHeight="1">
      <c r="A55" s="11"/>
      <c r="B55" s="12" t="s">
        <v>2805</v>
      </c>
      <c r="C55" s="12"/>
      <c r="D55" s="12"/>
      <c r="E55" s="12"/>
      <c r="G55" s="12" t="s">
        <v>1339</v>
      </c>
      <c r="H55" s="20" t="s">
        <v>11861</v>
      </c>
      <c r="I55" s="9" t="s">
        <v>1340</v>
      </c>
      <c r="J55" s="20" t="str">
        <f>IF(shinseijudgehist_accept_isyou2_TANTO_USER_ID="","",shinseijudgehist_accept_isyou2_TANTO_USER_ID)</f>
        <v>北村 広美</v>
      </c>
    </row>
    <row r="56" spans="1:11" s="10" customFormat="1" ht="18" customHeight="1">
      <c r="A56" s="11"/>
      <c r="B56" s="12" t="s">
        <v>1341</v>
      </c>
      <c r="C56" s="12"/>
      <c r="D56" s="12"/>
      <c r="E56" s="12"/>
      <c r="G56" s="12" t="s">
        <v>1342</v>
      </c>
      <c r="H56" s="20"/>
      <c r="I56" s="9" t="s">
        <v>1343</v>
      </c>
      <c r="J56" s="20" t="str">
        <f>IF(shinseijudgehist_accept_isyou3_TANTO_USER_ID="","",shinseijudgehist_accept_isyou3_TANTO_USER_ID)</f>
        <v/>
      </c>
    </row>
    <row r="57" spans="1:11" s="10" customFormat="1" ht="18" customHeight="1">
      <c r="A57" s="11"/>
      <c r="B57" s="12" t="s">
        <v>2796</v>
      </c>
      <c r="C57" s="12"/>
      <c r="D57" s="12"/>
      <c r="E57" s="12"/>
      <c r="G57" s="12" t="s">
        <v>1344</v>
      </c>
      <c r="H57" s="13" t="s">
        <v>11840</v>
      </c>
      <c r="I57" s="9" t="s">
        <v>1345</v>
      </c>
      <c r="J57" s="19" t="str">
        <f>IF(shinseijudgehist_accept_kouzou1_TANTO_USER_ID="","",shinseijudgehist_accept_kouzou1_TANTO_USER_ID)</f>
        <v>新見 光夫</v>
      </c>
      <c r="K57" s="10" t="s">
        <v>2770</v>
      </c>
    </row>
    <row r="58" spans="1:11" s="10" customFormat="1" ht="18" customHeight="1">
      <c r="A58" s="11"/>
      <c r="B58" s="12" t="s">
        <v>2798</v>
      </c>
      <c r="C58" s="12"/>
      <c r="D58" s="12"/>
      <c r="E58" s="12"/>
      <c r="G58" s="12" t="s">
        <v>1346</v>
      </c>
      <c r="H58" s="13" t="s">
        <v>11787</v>
      </c>
      <c r="I58" s="9" t="s">
        <v>2799</v>
      </c>
      <c r="J58" s="19" t="str">
        <f>IF(shinseijudgehist_accept_kouzou2_TANTO_USER_ID="","",shinseijudgehist_accept_kouzou2_TANTO_USER_ID)</f>
        <v/>
      </c>
      <c r="K58" s="10" t="s">
        <v>2770</v>
      </c>
    </row>
    <row r="59" spans="1:11" s="10" customFormat="1" ht="18" customHeight="1">
      <c r="A59" s="11"/>
      <c r="B59" s="12" t="s">
        <v>1347</v>
      </c>
      <c r="C59" s="12"/>
      <c r="D59" s="12"/>
      <c r="E59" s="12"/>
      <c r="G59" s="12" t="s">
        <v>1348</v>
      </c>
      <c r="H59" s="13" t="s">
        <v>11787</v>
      </c>
      <c r="I59" s="9" t="s">
        <v>1349</v>
      </c>
      <c r="J59" s="19" t="str">
        <f>IF(shinseijudgehist_accept_kouzou3_TANTO_USER_ID="","",shinseijudgehist_accept_kouzou3_TANTO_USER_ID)</f>
        <v/>
      </c>
    </row>
    <row r="60" spans="1:11" s="10" customFormat="1" ht="18" customHeight="1">
      <c r="A60" s="11"/>
      <c r="B60" s="12" t="s">
        <v>1350</v>
      </c>
      <c r="C60" s="12"/>
      <c r="D60" s="12"/>
      <c r="E60" s="12"/>
      <c r="G60" s="12" t="s">
        <v>1351</v>
      </c>
      <c r="H60" s="13" t="s">
        <v>11862</v>
      </c>
      <c r="I60" s="9" t="s">
        <v>1352</v>
      </c>
      <c r="J60" s="19" t="str">
        <f>IF(shinseijudgehist_accept_setubi1_TANTO_USER_ID="","",shinseijudgehist_accept_setubi1_TANTO_USER_ID)</f>
        <v>大本 康博</v>
      </c>
    </row>
    <row r="61" spans="1:11" s="10" customFormat="1" ht="18" customHeight="1">
      <c r="A61" s="11"/>
      <c r="B61" s="12" t="s">
        <v>1353</v>
      </c>
      <c r="C61" s="12"/>
      <c r="D61" s="12"/>
      <c r="E61" s="12"/>
      <c r="G61" s="12" t="s">
        <v>1354</v>
      </c>
      <c r="H61" s="13" t="s">
        <v>11863</v>
      </c>
      <c r="I61" s="9" t="s">
        <v>1355</v>
      </c>
      <c r="J61" s="19" t="str">
        <f>IF(shinseijudgehist_accept_setubi2_TANTO_USER_ID="","",shinseijudgehist_accept_setubi2_TANTO_USER_ID)</f>
        <v>柴田 篤志</v>
      </c>
    </row>
    <row r="62" spans="1:11" s="10" customFormat="1" ht="18" customHeight="1">
      <c r="A62" s="11"/>
      <c r="B62" s="12" t="s">
        <v>1356</v>
      </c>
      <c r="C62" s="12"/>
      <c r="D62" s="12"/>
      <c r="E62" s="12"/>
      <c r="G62" s="12" t="s">
        <v>1357</v>
      </c>
      <c r="H62" s="13" t="s">
        <v>11787</v>
      </c>
      <c r="I62" s="9" t="s">
        <v>1358</v>
      </c>
      <c r="J62" s="19" t="str">
        <f>IF(shinseijudgehist_accept_setubi3_TANTO_USER_ID="","",shinseijudgehist_accept_setubi3_TANTO_USER_ID)</f>
        <v/>
      </c>
    </row>
    <row r="63" spans="1:11" s="10" customFormat="1" ht="18" customHeight="1">
      <c r="A63" s="12" t="s">
        <v>1359</v>
      </c>
      <c r="B63" s="12"/>
      <c r="C63" s="12"/>
      <c r="D63" s="12"/>
      <c r="E63" s="12"/>
      <c r="G63" s="12"/>
      <c r="H63" s="9"/>
      <c r="I63" s="9"/>
    </row>
    <row r="64" spans="1:11" s="10" customFormat="1" ht="18" customHeight="1">
      <c r="A64" s="12"/>
      <c r="B64" s="12" t="s">
        <v>1360</v>
      </c>
      <c r="C64" s="12"/>
      <c r="D64" s="12"/>
      <c r="E64" s="12"/>
      <c r="G64" s="12" t="s">
        <v>1361</v>
      </c>
      <c r="H64" s="13" t="s">
        <v>11860</v>
      </c>
      <c r="I64" s="9" t="s">
        <v>1362</v>
      </c>
      <c r="J64" s="25" t="str">
        <f>IF(shinseijudgehist_provo_isyou1_TANTO_USER_ID="","",shinseijudgehist_provo_isyou1_TANTO_USER_ID)</f>
        <v>小林 元治</v>
      </c>
    </row>
    <row r="65" spans="1:12" s="10" customFormat="1" ht="18" customHeight="1">
      <c r="A65" s="12"/>
      <c r="B65" s="12" t="s">
        <v>1363</v>
      </c>
      <c r="C65" s="12"/>
      <c r="D65" s="12"/>
      <c r="E65" s="12"/>
      <c r="G65" s="12" t="s">
        <v>1364</v>
      </c>
      <c r="H65" s="13" t="s">
        <v>11861</v>
      </c>
      <c r="I65" s="9" t="s">
        <v>1365</v>
      </c>
      <c r="J65" s="25" t="str">
        <f>IF(shinseijudgehist_provo_isyou2_TANTO_USER_ID="","",shinseijudgehist_provo_isyou2_TANTO_USER_ID)</f>
        <v>北村 広美</v>
      </c>
    </row>
    <row r="66" spans="1:12" s="10" customFormat="1" ht="18" customHeight="1">
      <c r="A66" s="12"/>
      <c r="B66" s="12" t="s">
        <v>2796</v>
      </c>
      <c r="C66" s="12"/>
      <c r="D66" s="12"/>
      <c r="E66" s="12"/>
      <c r="G66" s="12" t="s">
        <v>1366</v>
      </c>
      <c r="H66" s="13" t="s">
        <v>11840</v>
      </c>
      <c r="I66" s="9"/>
    </row>
    <row r="67" spans="1:12" s="10" customFormat="1" ht="18" customHeight="1">
      <c r="A67" s="12"/>
      <c r="B67" s="12"/>
      <c r="C67" s="12"/>
      <c r="D67" s="12"/>
      <c r="E67" s="12"/>
      <c r="F67" s="12"/>
      <c r="G67" s="12"/>
      <c r="H67" s="9"/>
      <c r="I67" s="9"/>
    </row>
    <row r="68" spans="1:12" s="10" customFormat="1" ht="18" customHeight="1">
      <c r="A68" s="12"/>
      <c r="B68" s="12"/>
      <c r="C68" s="12"/>
      <c r="D68" s="12"/>
      <c r="E68" s="12"/>
      <c r="F68" s="12"/>
      <c r="G68" s="12"/>
      <c r="H68" s="9"/>
      <c r="I68" s="9"/>
    </row>
    <row r="69" spans="1:12" s="10" customFormat="1" ht="18" customHeight="1">
      <c r="A69" s="8" t="s">
        <v>1367</v>
      </c>
      <c r="B69" s="8"/>
      <c r="C69" s="8"/>
      <c r="D69" s="8"/>
      <c r="E69" s="8"/>
      <c r="F69" s="8"/>
      <c r="G69" s="8"/>
      <c r="H69" s="9"/>
      <c r="I69" s="9"/>
    </row>
    <row r="70" spans="1:12" s="10" customFormat="1" ht="18" customHeight="1">
      <c r="A70" s="12"/>
      <c r="B70" s="12"/>
      <c r="C70" s="12"/>
      <c r="D70" s="12"/>
      <c r="E70" s="12"/>
      <c r="F70" s="12"/>
      <c r="G70" s="12"/>
      <c r="H70" s="9"/>
      <c r="I70" s="9"/>
      <c r="J70" s="9"/>
    </row>
    <row r="71" spans="1:12" s="10" customFormat="1" ht="18" customHeight="1">
      <c r="A71" s="11"/>
      <c r="B71" s="12" t="s">
        <v>1368</v>
      </c>
      <c r="C71" s="12"/>
      <c r="D71" s="12"/>
      <c r="E71" s="12"/>
      <c r="F71" s="125" t="s">
        <v>272</v>
      </c>
      <c r="H71" s="13"/>
      <c r="I71" s="9"/>
      <c r="J71" s="9"/>
    </row>
    <row r="72" spans="1:12" s="10" customFormat="1" ht="18" customHeight="1">
      <c r="A72" s="11"/>
      <c r="B72" s="12" t="s">
        <v>1369</v>
      </c>
      <c r="C72" s="12"/>
      <c r="D72" s="12"/>
      <c r="E72" s="12"/>
      <c r="F72" s="125" t="s">
        <v>273</v>
      </c>
      <c r="H72" s="13"/>
      <c r="I72" s="9"/>
      <c r="J72" s="9"/>
      <c r="K72" s="10" t="s">
        <v>1370</v>
      </c>
    </row>
    <row r="73" spans="1:12" s="10" customFormat="1" ht="18" customHeight="1">
      <c r="A73" s="11"/>
      <c r="B73" s="12" t="s">
        <v>1371</v>
      </c>
      <c r="C73" s="12"/>
      <c r="D73" s="12"/>
      <c r="E73" s="12"/>
      <c r="F73" s="125"/>
      <c r="H73" s="9"/>
      <c r="I73" s="9"/>
      <c r="J73" s="9"/>
    </row>
    <row r="74" spans="1:12" s="10" customFormat="1" ht="18" customHeight="1">
      <c r="A74" s="11"/>
      <c r="B74" s="12"/>
      <c r="C74" s="12" t="s">
        <v>1372</v>
      </c>
      <c r="D74" s="12"/>
      <c r="E74" s="12"/>
      <c r="F74" s="125" t="s">
        <v>274</v>
      </c>
      <c r="H74" s="13"/>
      <c r="I74" s="9"/>
      <c r="J74" s="9"/>
    </row>
    <row r="75" spans="1:12" s="10" customFormat="1" ht="18" customHeight="1">
      <c r="A75" s="11"/>
      <c r="B75" s="12"/>
      <c r="C75" s="12" t="s">
        <v>1373</v>
      </c>
      <c r="D75" s="12"/>
      <c r="E75" s="12"/>
      <c r="F75" s="125" t="s">
        <v>275</v>
      </c>
      <c r="H75" s="13"/>
      <c r="I75" s="9"/>
      <c r="J75" s="9"/>
    </row>
    <row r="76" spans="1:12" s="10" customFormat="1" ht="18" customHeight="1">
      <c r="A76" s="12"/>
      <c r="B76" s="12"/>
      <c r="C76" s="12"/>
      <c r="D76" s="12"/>
      <c r="E76" s="12"/>
      <c r="F76" s="12"/>
      <c r="G76" s="12"/>
      <c r="H76" s="9"/>
      <c r="I76" s="9"/>
      <c r="J76" s="9"/>
    </row>
    <row r="77" spans="1:12" s="10" customFormat="1" ht="18" customHeight="1">
      <c r="A77" s="12"/>
      <c r="B77" s="12"/>
      <c r="C77" s="12"/>
      <c r="D77" s="12"/>
      <c r="E77" s="12"/>
      <c r="F77" s="12"/>
      <c r="G77" s="12"/>
      <c r="H77" s="9"/>
      <c r="I77" s="9"/>
      <c r="J77" s="9"/>
    </row>
    <row r="78" spans="1:12" s="18" customFormat="1" ht="18" customHeight="1">
      <c r="A78" s="26" t="s">
        <v>1374</v>
      </c>
      <c r="B78" s="26"/>
      <c r="C78" s="26"/>
      <c r="D78" s="26"/>
      <c r="E78" s="26"/>
      <c r="F78" s="26"/>
      <c r="G78" s="26"/>
      <c r="H78" s="7"/>
      <c r="I78" s="16"/>
      <c r="J78" s="7"/>
    </row>
    <row r="79" spans="1:12" s="10" customFormat="1" ht="18" customHeight="1">
      <c r="A79" s="12"/>
      <c r="B79" s="12"/>
      <c r="C79" s="12"/>
      <c r="D79" s="12"/>
      <c r="E79" s="12"/>
      <c r="F79" s="12"/>
      <c r="G79" s="12"/>
      <c r="H79" s="9"/>
      <c r="I79" s="9"/>
      <c r="J79" s="27" t="s">
        <v>1376</v>
      </c>
    </row>
    <row r="80" spans="1:12" s="27" customFormat="1" ht="18" customHeight="1">
      <c r="A80" s="14"/>
      <c r="B80" s="14" t="s">
        <v>1375</v>
      </c>
      <c r="C80" s="14"/>
      <c r="D80" s="14"/>
      <c r="E80" s="14"/>
      <c r="F80" s="14"/>
      <c r="G80" s="14"/>
      <c r="J80" s="27" t="s">
        <v>1377</v>
      </c>
      <c r="K80" s="28" t="s">
        <v>1378</v>
      </c>
      <c r="L80" s="27" t="s">
        <v>1379</v>
      </c>
    </row>
    <row r="81" spans="1:12" s="10" customFormat="1" ht="18" customHeight="1">
      <c r="A81" s="11"/>
      <c r="B81" s="12" t="s">
        <v>1380</v>
      </c>
      <c r="C81" s="12"/>
      <c r="D81" s="12"/>
      <c r="E81" s="12"/>
      <c r="F81" s="12"/>
      <c r="G81" s="12" t="s">
        <v>1381</v>
      </c>
      <c r="H81" s="13" t="s">
        <v>324</v>
      </c>
      <c r="I81" s="9" t="s">
        <v>1383</v>
      </c>
      <c r="J81" s="24" t="str">
        <f>IF(shinsei_TARGET_KIND="","",shinsei_TARGET_KIND)</f>
        <v>建築物</v>
      </c>
      <c r="K81" s="10" t="s">
        <v>1384</v>
      </c>
    </row>
    <row r="82" spans="1:12" s="10" customFormat="1" ht="18" customHeight="1">
      <c r="A82" s="11"/>
      <c r="B82" s="12" t="s">
        <v>1385</v>
      </c>
      <c r="C82" s="12"/>
      <c r="D82" s="12"/>
      <c r="E82" s="12"/>
      <c r="F82" s="12"/>
      <c r="G82" s="12" t="s">
        <v>1386</v>
      </c>
      <c r="H82" s="13" t="s">
        <v>11839</v>
      </c>
      <c r="I82" s="9" t="s">
        <v>1388</v>
      </c>
      <c r="J82" s="24" t="str">
        <f>IF(shinsei_INSPECTION_TYPE="","",shinsei_INSPECTION_TYPE)</f>
        <v>確認</v>
      </c>
      <c r="K82" s="10" t="s">
        <v>1389</v>
      </c>
    </row>
    <row r="83" spans="1:12" s="10" customFormat="1" ht="18" customHeight="1">
      <c r="A83" s="11"/>
      <c r="B83" s="12"/>
      <c r="C83" s="12"/>
      <c r="D83" s="12"/>
      <c r="E83" s="12"/>
      <c r="F83" s="12"/>
      <c r="G83" s="12"/>
      <c r="H83" s="7"/>
      <c r="I83" s="9" t="s">
        <v>1390</v>
      </c>
      <c r="J83" s="29" t="str">
        <f>IF(shinsei_INSPECTION_TYPE="","",IF(OR(shinsei_INSPECTION_TYPE="確認",shinsei_INSPECTION_TYPE="計画変更"),"確認申請",IF(OR(shinsei_INSPECTION_TYPE="中間検査",shinsei_INSPECTION_TYPE="完了検査"),"検査申請","")))</f>
        <v>確認申請</v>
      </c>
      <c r="K83" s="10" t="s">
        <v>1391</v>
      </c>
    </row>
    <row r="84" spans="1:12" s="10" customFormat="1" ht="18" customHeight="1">
      <c r="A84" s="11"/>
      <c r="B84" s="12"/>
      <c r="C84" s="12"/>
      <c r="D84" s="12"/>
      <c r="E84" s="12"/>
      <c r="F84" s="12"/>
      <c r="G84" s="12"/>
      <c r="H84" s="7"/>
      <c r="I84" s="10" t="s">
        <v>1392</v>
      </c>
      <c r="J84" s="22" t="str">
        <f>IF(shinsei_INSPECTION_TYPE="","",IF(OR(shinsei_INSPECTION_TYPE="確認",shinsei_INSPECTION_TYPE="計画変更"),"確認申請",shinsei_INSPECTION_TYPE))</f>
        <v>確認申請</v>
      </c>
      <c r="K84" s="10" t="s">
        <v>1393</v>
      </c>
    </row>
    <row r="85" spans="1:12" s="10" customFormat="1" ht="18" customHeight="1">
      <c r="A85" s="11"/>
      <c r="B85" s="12"/>
      <c r="C85" s="12"/>
      <c r="D85" s="12"/>
      <c r="E85" s="12"/>
      <c r="F85" s="12"/>
      <c r="G85" s="12"/>
      <c r="H85" s="7"/>
      <c r="I85" s="10" t="s">
        <v>1394</v>
      </c>
      <c r="J85" s="22" t="str">
        <f>IF(shinsei_INSPECTION_TYPE="","",IF(OR(shinsei_INSPECTION_TYPE="確認",shinsei_INSPECTION_TYPE="計画変更"),"確認",shinsei_INSPECTION_TYPE))</f>
        <v>確認</v>
      </c>
      <c r="K85" s="10" t="s">
        <v>1395</v>
      </c>
    </row>
    <row r="86" spans="1:12" s="10" customFormat="1" ht="18" customHeight="1">
      <c r="A86" s="12"/>
      <c r="B86" s="12"/>
      <c r="C86" s="12"/>
      <c r="D86" s="12"/>
      <c r="E86" s="12"/>
      <c r="F86" s="12"/>
      <c r="G86" s="12"/>
      <c r="H86" s="9"/>
      <c r="I86" s="9" t="s">
        <v>10062</v>
      </c>
      <c r="J86" s="22" t="str">
        <f>IF(shinsei_INSPECTION_TYPE="","",IF(OR(shinsei_INSPECTION_TYPE="確認",shinsei_INSPECTION_TYPE="計画変更"),"確認",IF(shinsei_INSPECTION_TYPE="中間検査","中間","完了")))</f>
        <v>確認</v>
      </c>
    </row>
    <row r="87" spans="1:12" s="10" customFormat="1" ht="18" customHeight="1">
      <c r="A87" s="12"/>
      <c r="B87" s="12"/>
      <c r="C87" s="12"/>
      <c r="D87" s="12"/>
      <c r="E87" s="12"/>
      <c r="F87" s="12"/>
      <c r="G87" s="12"/>
      <c r="H87" s="9"/>
      <c r="I87" s="9" t="s">
        <v>11326</v>
      </c>
      <c r="J87" s="511">
        <f>IF(shinsei_INSPECTION_TYPE="計画変更",1,0)</f>
        <v>0</v>
      </c>
    </row>
    <row r="88" spans="1:12" s="10" customFormat="1" ht="18" customHeight="1">
      <c r="A88" s="12"/>
      <c r="B88" s="12"/>
      <c r="C88" s="12"/>
      <c r="D88" s="12"/>
      <c r="E88" s="12"/>
      <c r="F88" s="12"/>
      <c r="G88" s="12"/>
      <c r="H88" s="9"/>
      <c r="I88" s="9"/>
      <c r="J88" s="9"/>
    </row>
    <row r="89" spans="1:12" s="10" customFormat="1" ht="18" customHeight="1">
      <c r="A89" s="11"/>
      <c r="B89" s="12" t="s">
        <v>1396</v>
      </c>
      <c r="C89" s="12"/>
      <c r="D89" s="12"/>
      <c r="E89" s="12"/>
      <c r="F89" s="12"/>
      <c r="G89" s="12" t="s">
        <v>291</v>
      </c>
      <c r="H89" s="20">
        <v>0</v>
      </c>
      <c r="I89" s="10" t="s">
        <v>1397</v>
      </c>
      <c r="J89" s="23">
        <f>IF(shinsei_INSPECTION_NO="","",shinsei_INSPECTION_NO)</f>
        <v>0</v>
      </c>
      <c r="K89" s="10" t="s">
        <v>1398</v>
      </c>
    </row>
    <row r="90" spans="1:12" s="10" customFormat="1" ht="18" customHeight="1">
      <c r="A90" s="11"/>
      <c r="B90" s="12" t="s">
        <v>1399</v>
      </c>
      <c r="C90" s="12"/>
      <c r="D90" s="12"/>
      <c r="E90" s="12"/>
      <c r="F90" s="12"/>
      <c r="G90" s="12" t="s">
        <v>1400</v>
      </c>
      <c r="H90" s="20" t="s">
        <v>11783</v>
      </c>
      <c r="I90" s="9" t="s">
        <v>1402</v>
      </c>
      <c r="J90" s="30" t="str">
        <f>IF(_button_kind="","",IF(_button_kind="strtuikaimposs","imposs",IF(_button_kind="strtuikaimpossx","impossx",IF(_button_kind="strtuikang","ng",IF(_button_kind="strenkiimposs","imposs",IF(OR(_button_kind="strtuikahosei",_button_kind="strenkihosei"),"hosei",_button_kind))))))</f>
        <v>事前</v>
      </c>
      <c r="K90" s="10" t="s">
        <v>1403</v>
      </c>
    </row>
    <row r="91" spans="1:12" s="18" customFormat="1" ht="18" customHeight="1">
      <c r="A91" s="14"/>
      <c r="B91" s="5"/>
      <c r="C91" s="12" t="s">
        <v>1404</v>
      </c>
      <c r="D91" s="12" t="s">
        <v>1403</v>
      </c>
      <c r="E91" s="5"/>
      <c r="F91" s="5"/>
      <c r="G91" s="5"/>
      <c r="H91" s="7"/>
      <c r="K91" s="10"/>
      <c r="L91" s="18" t="s">
        <v>1405</v>
      </c>
    </row>
    <row r="92" spans="1:12" s="18" customFormat="1" ht="18" customHeight="1">
      <c r="A92" s="14"/>
      <c r="B92" s="5"/>
      <c r="C92" s="5"/>
      <c r="D92" s="5" t="s">
        <v>1406</v>
      </c>
      <c r="E92" s="5"/>
      <c r="F92" s="5"/>
      <c r="G92" s="5"/>
      <c r="I92" s="16" t="s">
        <v>1407</v>
      </c>
      <c r="J92" s="28" t="str">
        <f>IF(OR(cst__button_kind__select="imposs",cst__button_kind__select="impossx",cst__button_kind__select="ng",cst__button_kind__select="ngx",cst__button_kind__select="hosei"),IF(_button_no="",cst__button_kind__select,cst__button_kind__select&amp;_button_no),"")</f>
        <v/>
      </c>
      <c r="K92" s="10" t="s">
        <v>1408</v>
      </c>
    </row>
    <row r="93" spans="1:12" s="10" customFormat="1" ht="18" customHeight="1">
      <c r="A93" s="11"/>
      <c r="B93" s="12" t="s">
        <v>1409</v>
      </c>
      <c r="C93" s="12"/>
      <c r="D93" s="12"/>
      <c r="E93" s="12"/>
      <c r="F93" s="12"/>
      <c r="G93" s="12" t="s">
        <v>1410</v>
      </c>
      <c r="H93" s="20"/>
      <c r="I93" s="9"/>
      <c r="J93" s="9"/>
      <c r="K93" s="10" t="s">
        <v>1411</v>
      </c>
    </row>
    <row r="94" spans="1:12" s="10" customFormat="1" ht="18" customHeight="1">
      <c r="A94" s="11"/>
      <c r="B94" s="12" t="s">
        <v>1412</v>
      </c>
      <c r="C94" s="12"/>
      <c r="D94" s="12"/>
      <c r="E94" s="12"/>
      <c r="F94" s="12"/>
      <c r="G94" s="12" t="s">
        <v>1413</v>
      </c>
      <c r="H94" s="20"/>
      <c r="I94" s="9" t="s">
        <v>1414</v>
      </c>
      <c r="J94" s="19" t="str">
        <f>IF(_button_no="","",_button_no)</f>
        <v/>
      </c>
      <c r="K94" s="10" t="s">
        <v>1415</v>
      </c>
    </row>
    <row r="95" spans="1:12" s="10" customFormat="1" ht="18" customHeight="1">
      <c r="A95" s="12"/>
      <c r="B95" s="12"/>
      <c r="C95" s="12"/>
      <c r="D95" s="12"/>
      <c r="E95" s="12"/>
      <c r="F95" s="12"/>
      <c r="G95" s="12"/>
      <c r="H95" s="9"/>
      <c r="I95" s="9"/>
    </row>
    <row r="96" spans="1:12" s="10" customFormat="1" ht="18" customHeight="1">
      <c r="A96" s="12"/>
      <c r="B96" s="12" t="s">
        <v>1291</v>
      </c>
      <c r="C96" s="12"/>
      <c r="D96" s="12"/>
      <c r="E96" s="12"/>
      <c r="F96" s="12"/>
      <c r="G96" s="12" t="s">
        <v>1290</v>
      </c>
      <c r="H96" s="74">
        <v>44259.71365740741</v>
      </c>
      <c r="I96" s="9" t="s">
        <v>10692</v>
      </c>
      <c r="J96" s="421">
        <f>IF(_print_time="","",_print_time)</f>
        <v>44259.71365740741</v>
      </c>
    </row>
    <row r="97" spans="1:12" s="10" customFormat="1" ht="18" customHeight="1">
      <c r="A97" s="12"/>
      <c r="B97" s="12"/>
      <c r="C97" s="12"/>
      <c r="D97" s="12"/>
      <c r="E97" s="12"/>
      <c r="F97" s="12"/>
      <c r="G97" s="12"/>
      <c r="H97" s="9"/>
      <c r="I97" s="9" t="s">
        <v>10691</v>
      </c>
      <c r="J97" s="421" t="str">
        <f>IF(_print_time="",cst_DISP__date,TEXT(_print_time,"ggg")&amp;"　"&amp;TEXT(_print_time,"e")&amp;"　年　"&amp;TEXT(_print_time,"m")&amp;"　月　"&amp;TEXT(_print_time,"d")&amp;"　日")</f>
        <v>令和　3　年　3　月　4　日</v>
      </c>
      <c r="K97" s="553" t="s">
        <v>11594</v>
      </c>
      <c r="L97" s="421" t="str">
        <f>IF(_print_time="",cst_DISP__date,IF(_print_time&lt;=43585,TEXT(_print_time,"ggg"),"令和")&amp;"　"&amp;IF(_print_time&lt;=43585,TEXT(_print_time,"e"),YEAR(_print_time)-2018)&amp;"　年　"&amp;TEXT(_print_time,"m")&amp;"　月　"&amp;TEXT(_print_time,"d")&amp;"　日")</f>
        <v>令和　3　年　3　月　4　日</v>
      </c>
    </row>
    <row r="98" spans="1:12" s="10" customFormat="1" ht="18" customHeight="1">
      <c r="A98" s="12"/>
      <c r="C98" s="12"/>
      <c r="D98" s="12"/>
      <c r="F98" s="12"/>
      <c r="H98" s="9"/>
      <c r="I98" s="9"/>
    </row>
    <row r="99" spans="1:12" s="10" customFormat="1" ht="18" customHeight="1">
      <c r="A99" s="12"/>
      <c r="B99" s="12" t="s">
        <v>9995</v>
      </c>
      <c r="C99" s="9"/>
      <c r="D99" s="9"/>
      <c r="E99" s="9"/>
      <c r="F99" s="12"/>
      <c r="G99" s="9" t="s">
        <v>9998</v>
      </c>
      <c r="H99" s="127">
        <v>1</v>
      </c>
      <c r="I99" s="9"/>
      <c r="K99" s="322" t="s">
        <v>9996</v>
      </c>
    </row>
    <row r="100" spans="1:12" s="10" customFormat="1" ht="18" customHeight="1">
      <c r="A100" s="12"/>
      <c r="B100" s="9"/>
      <c r="C100" s="9"/>
      <c r="D100" s="9"/>
      <c r="F100" s="12"/>
      <c r="G100" s="12"/>
      <c r="H100" s="9"/>
      <c r="I100" s="9"/>
      <c r="K100" s="9"/>
    </row>
    <row r="101" spans="1:12" s="10" customFormat="1" ht="18" customHeight="1">
      <c r="A101" s="12"/>
      <c r="B101" s="12" t="s">
        <v>9995</v>
      </c>
      <c r="C101" s="12"/>
      <c r="D101" s="12"/>
      <c r="E101" s="12"/>
      <c r="F101" s="12"/>
      <c r="G101" s="9" t="s">
        <v>9999</v>
      </c>
      <c r="H101" s="22"/>
      <c r="I101" s="9"/>
      <c r="K101" s="9" t="s">
        <v>9997</v>
      </c>
    </row>
    <row r="102" spans="1:12" s="10" customFormat="1" ht="18" customHeight="1">
      <c r="A102" s="12"/>
      <c r="B102" s="12"/>
      <c r="C102" s="12"/>
      <c r="D102" s="12"/>
      <c r="E102" s="12"/>
      <c r="F102" s="12"/>
      <c r="G102" s="12"/>
      <c r="H102" s="9"/>
      <c r="I102" s="9"/>
    </row>
    <row r="103" spans="1:12" s="10" customFormat="1" ht="18" customHeight="1">
      <c r="A103" s="12"/>
      <c r="B103" s="12"/>
      <c r="C103" s="12"/>
      <c r="D103" s="12"/>
      <c r="E103" s="12"/>
      <c r="F103" s="12"/>
      <c r="G103" s="12"/>
      <c r="H103" s="9"/>
      <c r="I103" s="9"/>
    </row>
    <row r="104" spans="1:12" s="10" customFormat="1" ht="18" customHeight="1">
      <c r="A104" s="12"/>
      <c r="B104" s="12"/>
      <c r="C104" s="12"/>
      <c r="D104" s="12"/>
      <c r="E104" s="12"/>
      <c r="F104" s="12"/>
      <c r="G104" s="12"/>
      <c r="H104" s="9"/>
      <c r="I104" s="9"/>
    </row>
    <row r="105" spans="1:12" s="10" customFormat="1" ht="18" customHeight="1">
      <c r="A105" s="12"/>
      <c r="B105" s="12"/>
      <c r="C105" s="12"/>
      <c r="D105" s="12"/>
      <c r="E105" s="12"/>
      <c r="F105" s="12"/>
      <c r="G105" s="12"/>
      <c r="H105" s="9"/>
      <c r="I105" s="9"/>
    </row>
    <row r="106" spans="1:12" s="10" customFormat="1" ht="18" customHeight="1">
      <c r="A106" s="31" t="s">
        <v>1416</v>
      </c>
      <c r="B106" s="31"/>
      <c r="C106" s="31"/>
      <c r="D106" s="31"/>
      <c r="E106" s="31"/>
      <c r="F106" s="31"/>
      <c r="G106" s="31"/>
      <c r="K106" s="10" t="s">
        <v>1417</v>
      </c>
    </row>
    <row r="107" spans="1:12" s="10" customFormat="1" ht="18" customHeight="1">
      <c r="A107" s="11"/>
      <c r="B107" s="11" t="s">
        <v>1418</v>
      </c>
      <c r="C107" s="11"/>
      <c r="D107" s="11"/>
      <c r="E107" s="11"/>
      <c r="F107" s="11"/>
      <c r="G107" s="11"/>
      <c r="K107" s="10" t="s">
        <v>1419</v>
      </c>
    </row>
    <row r="108" spans="1:12" s="10" customFormat="1" ht="18" customHeight="1">
      <c r="A108" s="11"/>
      <c r="B108" s="11"/>
      <c r="C108" s="11" t="s">
        <v>1420</v>
      </c>
      <c r="D108" s="11"/>
      <c r="E108" s="11"/>
      <c r="F108" s="11"/>
      <c r="G108" s="11" t="s">
        <v>1421</v>
      </c>
      <c r="H108" s="13" t="s">
        <v>11796</v>
      </c>
      <c r="I108" s="9"/>
      <c r="J108" s="9"/>
    </row>
    <row r="109" spans="1:12" s="10" customFormat="1" ht="18" customHeight="1">
      <c r="A109" s="11"/>
      <c r="B109" s="11"/>
      <c r="C109" s="11" t="s">
        <v>1422</v>
      </c>
      <c r="D109" s="11"/>
      <c r="E109" s="11"/>
      <c r="F109" s="11"/>
      <c r="G109" s="11" t="s">
        <v>1423</v>
      </c>
      <c r="H109" s="13" t="s">
        <v>11787</v>
      </c>
      <c r="I109" s="9"/>
      <c r="J109" s="9"/>
    </row>
    <row r="110" spans="1:12" s="10" customFormat="1" ht="18" customHeight="1">
      <c r="A110" s="11"/>
      <c r="B110" s="11" t="s">
        <v>1424</v>
      </c>
      <c r="C110" s="11"/>
      <c r="D110" s="11"/>
      <c r="E110" s="11"/>
      <c r="F110" s="11"/>
      <c r="G110" s="11"/>
      <c r="H110" s="9"/>
      <c r="I110" s="9"/>
      <c r="J110" s="9"/>
      <c r="K110" s="10" t="s">
        <v>1425</v>
      </c>
    </row>
    <row r="111" spans="1:12" s="10" customFormat="1" ht="18" customHeight="1">
      <c r="A111" s="11"/>
      <c r="B111" s="11"/>
      <c r="C111" s="11" t="s">
        <v>1426</v>
      </c>
      <c r="D111" s="11"/>
      <c r="E111" s="11"/>
      <c r="G111" s="11" t="s">
        <v>1427</v>
      </c>
      <c r="H111" s="13" t="s">
        <v>11796</v>
      </c>
      <c r="I111" s="10" t="s">
        <v>1428</v>
      </c>
      <c r="J111" s="24" t="str">
        <f>IF(city_ken="","",city_ken)</f>
        <v>大阪府</v>
      </c>
      <c r="K111" s="10" t="s">
        <v>2770</v>
      </c>
    </row>
    <row r="112" spans="1:12" s="10" customFormat="1" ht="18" customHeight="1">
      <c r="A112" s="11"/>
      <c r="B112" s="11"/>
      <c r="C112" s="11" t="s">
        <v>1429</v>
      </c>
      <c r="D112" s="11"/>
      <c r="E112" s="11"/>
      <c r="G112" s="11" t="s">
        <v>1430</v>
      </c>
      <c r="H112" s="13" t="s">
        <v>11784</v>
      </c>
      <c r="I112" s="10" t="s">
        <v>1431</v>
      </c>
      <c r="J112" s="24" t="str">
        <f>IF(city_city="","",city_city)</f>
        <v>東大阪市</v>
      </c>
      <c r="K112" s="10" t="s">
        <v>2770</v>
      </c>
    </row>
    <row r="113" spans="1:11" s="10" customFormat="1" ht="18" customHeight="1">
      <c r="A113" s="11"/>
      <c r="B113" s="11"/>
      <c r="C113" s="11"/>
      <c r="D113" s="11"/>
      <c r="E113" s="11"/>
      <c r="G113" s="11"/>
      <c r="H113" s="12"/>
      <c r="I113" s="10" t="s">
        <v>1432</v>
      </c>
      <c r="J113" s="24" t="str">
        <f>LEFT(cst_city_city,3)</f>
        <v>東大阪</v>
      </c>
    </row>
    <row r="114" spans="1:11" s="10" customFormat="1" ht="18" customHeight="1">
      <c r="A114" s="11"/>
      <c r="B114" s="11"/>
      <c r="C114" s="11"/>
      <c r="D114" s="11"/>
      <c r="E114" s="11"/>
      <c r="G114" s="11"/>
      <c r="H114" s="12"/>
      <c r="I114" s="10" t="s">
        <v>1433</v>
      </c>
      <c r="J114" s="24" t="str">
        <f>IF(cst_city_city2="仙台市",cst_city_city2,cst_city_city)</f>
        <v>東大阪市</v>
      </c>
    </row>
    <row r="115" spans="1:11" s="10" customFormat="1" ht="18" customHeight="1">
      <c r="A115" s="11"/>
      <c r="B115" s="11"/>
      <c r="C115" s="11" t="s">
        <v>1434</v>
      </c>
      <c r="D115" s="11"/>
      <c r="E115" s="11"/>
      <c r="G115" s="11" t="s">
        <v>1435</v>
      </c>
      <c r="H115" s="13" t="s">
        <v>11787</v>
      </c>
      <c r="I115" s="10" t="s">
        <v>1436</v>
      </c>
      <c r="J115" s="24" t="str">
        <f>IF(city_town="","",city_town)</f>
        <v/>
      </c>
      <c r="K115" s="10" t="s">
        <v>2770</v>
      </c>
    </row>
    <row r="116" spans="1:11" s="10" customFormat="1" ht="18" customHeight="1">
      <c r="A116" s="11"/>
      <c r="B116" s="11"/>
      <c r="C116" s="11" t="s">
        <v>1437</v>
      </c>
      <c r="D116" s="11"/>
      <c r="E116" s="11"/>
      <c r="G116" s="11" t="s">
        <v>1438</v>
      </c>
      <c r="H116" s="13" t="s">
        <v>11787</v>
      </c>
      <c r="I116" s="10" t="s">
        <v>1439</v>
      </c>
      <c r="J116" s="24" t="str">
        <f>IF(city_street="","",city_street)</f>
        <v/>
      </c>
      <c r="K116" s="10" t="s">
        <v>2770</v>
      </c>
    </row>
    <row r="117" spans="1:11" s="10" customFormat="1" ht="18" customHeight="1">
      <c r="A117" s="12"/>
      <c r="B117" s="12"/>
      <c r="C117" s="12"/>
      <c r="D117" s="12"/>
      <c r="E117" s="12"/>
      <c r="F117" s="12"/>
      <c r="G117" s="12"/>
      <c r="H117" s="9"/>
      <c r="I117" s="9"/>
    </row>
    <row r="118" spans="1:11" s="10" customFormat="1" ht="18" customHeight="1">
      <c r="A118" s="12"/>
      <c r="B118" s="12"/>
      <c r="C118" s="11" t="s">
        <v>1426</v>
      </c>
      <c r="D118" s="12"/>
      <c r="E118" s="12"/>
      <c r="F118" s="12"/>
      <c r="G118" s="12" t="s">
        <v>292</v>
      </c>
      <c r="H118" s="13" t="s">
        <v>11796</v>
      </c>
      <c r="I118" s="9"/>
    </row>
    <row r="119" spans="1:11" s="10" customFormat="1" ht="18" customHeight="1">
      <c r="A119" s="12"/>
      <c r="B119" s="12"/>
      <c r="C119" s="11" t="s">
        <v>1429</v>
      </c>
      <c r="D119" s="12"/>
      <c r="E119" s="12"/>
      <c r="F119" s="12"/>
      <c r="G119" s="12" t="s">
        <v>293</v>
      </c>
      <c r="H119" s="13" t="s">
        <v>11823</v>
      </c>
      <c r="I119" s="9"/>
    </row>
    <row r="120" spans="1:11" s="10" customFormat="1" ht="18" customHeight="1">
      <c r="A120" s="12"/>
      <c r="B120" s="12"/>
      <c r="C120" s="11" t="s">
        <v>271</v>
      </c>
      <c r="D120" s="12"/>
      <c r="E120" s="12"/>
      <c r="F120" s="12"/>
      <c r="G120" s="12" t="s">
        <v>294</v>
      </c>
      <c r="H120" s="13" t="s">
        <v>11787</v>
      </c>
      <c r="I120" s="9"/>
    </row>
    <row r="121" spans="1:11" s="10" customFormat="1" ht="18" customHeight="1">
      <c r="A121" s="12"/>
      <c r="B121" s="12"/>
      <c r="C121" s="11" t="s">
        <v>1437</v>
      </c>
      <c r="D121" s="12"/>
      <c r="E121" s="12"/>
      <c r="F121" s="12"/>
      <c r="G121" s="12" t="s">
        <v>295</v>
      </c>
      <c r="H121" s="13" t="s">
        <v>11787</v>
      </c>
      <c r="I121" s="9"/>
    </row>
    <row r="122" spans="1:11" s="10" customFormat="1" ht="18" customHeight="1">
      <c r="A122" s="12"/>
      <c r="B122" s="12"/>
      <c r="C122" s="12"/>
      <c r="D122" s="12"/>
      <c r="E122" s="12"/>
      <c r="F122" s="12"/>
      <c r="G122" s="12"/>
      <c r="H122" s="9"/>
      <c r="I122" s="9"/>
    </row>
    <row r="123" spans="1:11" s="10" customFormat="1" ht="18" customHeight="1">
      <c r="A123" s="12"/>
      <c r="B123" s="12"/>
      <c r="C123" s="12"/>
      <c r="D123" s="12"/>
      <c r="E123" s="12"/>
      <c r="F123" s="12"/>
      <c r="G123" s="12"/>
      <c r="H123" s="9"/>
      <c r="I123" s="9"/>
    </row>
    <row r="124" spans="1:11" s="10" customFormat="1" ht="18" customHeight="1">
      <c r="A124" s="12"/>
      <c r="B124" s="12"/>
      <c r="C124" s="12"/>
      <c r="D124" s="12"/>
      <c r="E124" s="12"/>
      <c r="F124" s="12"/>
      <c r="G124" s="12"/>
      <c r="H124" s="9"/>
      <c r="I124" s="9"/>
    </row>
    <row r="125" spans="1:11" s="10" customFormat="1" ht="18" customHeight="1">
      <c r="A125" s="11"/>
      <c r="B125" s="11" t="s">
        <v>1440</v>
      </c>
      <c r="C125" s="11"/>
      <c r="D125" s="11"/>
      <c r="E125" s="11"/>
      <c r="F125" s="11"/>
      <c r="G125" s="11"/>
      <c r="H125" s="9"/>
      <c r="I125" s="9"/>
      <c r="J125" s="9"/>
    </row>
    <row r="126" spans="1:11" s="10" customFormat="1" ht="18" customHeight="1">
      <c r="A126" s="11"/>
      <c r="B126" s="11"/>
      <c r="C126" s="11" t="s">
        <v>1441</v>
      </c>
      <c r="D126" s="11"/>
      <c r="E126" s="11"/>
      <c r="G126" s="11" t="s">
        <v>1442</v>
      </c>
      <c r="H126" s="13" t="s">
        <v>11793</v>
      </c>
      <c r="I126" s="234" t="s">
        <v>1443</v>
      </c>
      <c r="J126" s="501" t="str">
        <f>IF(city_FIRE_STATION_ID__NAME="","",city_FIRE_STATION_ID__NAME)</f>
        <v>東大阪市西消防署</v>
      </c>
      <c r="K126" s="10" t="s">
        <v>2770</v>
      </c>
    </row>
    <row r="127" spans="1:11" s="10" customFormat="1" ht="18" customHeight="1">
      <c r="A127" s="11"/>
      <c r="B127" s="11"/>
      <c r="C127" s="11" t="s">
        <v>1444</v>
      </c>
      <c r="D127" s="11"/>
      <c r="E127" s="11"/>
      <c r="G127" s="11" t="s">
        <v>1445</v>
      </c>
      <c r="H127" s="13" t="s">
        <v>11791</v>
      </c>
      <c r="I127" s="234" t="s">
        <v>1446</v>
      </c>
      <c r="J127" s="501" t="str">
        <f>IF(city_FIRE_STATION_ID__DEPART_NAME="","",city_FIRE_STATION_ID__DEPART_NAME)</f>
        <v>予防課</v>
      </c>
      <c r="K127" s="10" t="s">
        <v>2770</v>
      </c>
    </row>
    <row r="128" spans="1:11" s="10" customFormat="1" ht="18" customHeight="1">
      <c r="A128" s="11"/>
      <c r="B128" s="11"/>
      <c r="C128" s="11" t="s">
        <v>1447</v>
      </c>
      <c r="D128" s="11"/>
      <c r="E128" s="11"/>
      <c r="G128" s="11" t="s">
        <v>1448</v>
      </c>
      <c r="H128" s="13" t="s">
        <v>11792</v>
      </c>
      <c r="I128" s="502" t="s">
        <v>1449</v>
      </c>
      <c r="J128" s="501" t="str">
        <f>IF(city_FIRE_STATION_ID__DEST_NAME="","",city_FIRE_STATION_ID__DEST_NAME)</f>
        <v>東大阪市西消防署長</v>
      </c>
      <c r="K128" s="10" t="s">
        <v>2770</v>
      </c>
    </row>
    <row r="129" spans="1:11" s="10" customFormat="1" ht="18" customHeight="1">
      <c r="A129" s="11"/>
      <c r="C129" s="11"/>
      <c r="D129" s="11" t="s">
        <v>11462</v>
      </c>
      <c r="E129" s="11"/>
      <c r="G129" s="11"/>
      <c r="H129" s="9"/>
      <c r="I129" s="502" t="s">
        <v>9955</v>
      </c>
      <c r="J129" s="501" t="str">
        <f>IF(city_FIRE_STATION_ID__DEST_NAME="","",city_FIRE_STATION_ID__DEST_NAME&amp;"　様")</f>
        <v>東大阪市西消防署長　様</v>
      </c>
    </row>
    <row r="130" spans="1:11" s="10" customFormat="1" ht="18" customHeight="1">
      <c r="A130" s="12"/>
      <c r="B130" s="12"/>
      <c r="C130" s="12"/>
      <c r="D130" s="12" t="s">
        <v>11463</v>
      </c>
      <c r="E130" s="12"/>
      <c r="F130" s="12"/>
      <c r="G130" s="12"/>
      <c r="H130" s="9"/>
      <c r="I130" s="502" t="s">
        <v>11460</v>
      </c>
      <c r="J130" s="501" t="str">
        <f>IF(shinsei_CITY_ID__city="横浜市","横浜市消防長　様",IF(city_FIRE_STATION_ID__DEST_NAME="","",city_FIRE_STATION_ID__DEST_NAME&amp;"　様"))</f>
        <v>東大阪市西消防署長　様</v>
      </c>
    </row>
    <row r="131" spans="1:11" s="10" customFormat="1" ht="18" customHeight="1">
      <c r="A131" s="12"/>
      <c r="B131" s="12"/>
      <c r="C131" s="12"/>
      <c r="D131" s="12"/>
      <c r="E131" s="12"/>
      <c r="F131" s="12"/>
      <c r="G131" s="12"/>
      <c r="H131" s="9"/>
      <c r="I131" s="9"/>
    </row>
    <row r="132" spans="1:11" s="10" customFormat="1" ht="18" customHeight="1">
      <c r="A132" s="12"/>
      <c r="B132" s="11" t="s">
        <v>1450</v>
      </c>
      <c r="C132" s="12"/>
      <c r="D132" s="12"/>
      <c r="E132" s="12"/>
      <c r="F132" s="12"/>
      <c r="G132" s="12"/>
      <c r="H132" s="9"/>
      <c r="I132" s="9"/>
    </row>
    <row r="133" spans="1:11" s="10" customFormat="1" ht="18" customHeight="1">
      <c r="A133" s="11"/>
      <c r="B133" s="11"/>
      <c r="C133" s="11" t="s">
        <v>1450</v>
      </c>
      <c r="D133" s="11"/>
      <c r="E133" s="11"/>
      <c r="G133" s="11" t="s">
        <v>1451</v>
      </c>
      <c r="H133" s="13" t="s">
        <v>11795</v>
      </c>
      <c r="I133" s="9"/>
      <c r="J133" s="9"/>
      <c r="K133" s="10" t="s">
        <v>2770</v>
      </c>
    </row>
    <row r="134" spans="1:11" s="10" customFormat="1" ht="18" customHeight="1">
      <c r="A134" s="11"/>
      <c r="B134" s="11"/>
      <c r="C134" s="11" t="s">
        <v>1444</v>
      </c>
      <c r="D134" s="11"/>
      <c r="E134" s="11"/>
      <c r="G134" s="11" t="s">
        <v>1452</v>
      </c>
      <c r="H134" s="13" t="s">
        <v>11787</v>
      </c>
      <c r="I134" s="9"/>
      <c r="J134" s="9"/>
      <c r="K134" s="10" t="s">
        <v>2770</v>
      </c>
    </row>
    <row r="135" spans="1:11" s="10" customFormat="1" ht="18" customHeight="1">
      <c r="A135" s="11"/>
      <c r="B135" s="11"/>
      <c r="C135" s="11" t="s">
        <v>1447</v>
      </c>
      <c r="D135" s="11"/>
      <c r="E135" s="11"/>
      <c r="G135" s="11" t="s">
        <v>1453</v>
      </c>
      <c r="H135" s="13" t="s">
        <v>11794</v>
      </c>
      <c r="I135" s="10" t="s">
        <v>1454</v>
      </c>
      <c r="J135" s="25" t="str">
        <f>IF(city_HEALTH_CENTER_ID__DEST_NAME="","",city_HEALTH_CENTER_ID__DEST_NAME)</f>
        <v>東大阪市保健所長</v>
      </c>
      <c r="K135" s="10" t="s">
        <v>2770</v>
      </c>
    </row>
    <row r="136" spans="1:11" s="10" customFormat="1" ht="18" customHeight="1">
      <c r="A136" s="11"/>
      <c r="B136" s="11"/>
      <c r="C136" s="11"/>
      <c r="D136" s="11"/>
      <c r="E136" s="11"/>
      <c r="F136" s="11"/>
      <c r="G136" s="11"/>
      <c r="H136" s="12"/>
      <c r="I136" s="9" t="s">
        <v>1455</v>
      </c>
      <c r="J136" s="24" t="str">
        <f>IF(city_HEALTH_CENTER_ID__DEST_NAME="","所轄保健所長  様",city_HEALTH_CENTER_ID__DEST_NAME&amp;"  様")</f>
        <v>東大阪市保健所長  様</v>
      </c>
    </row>
    <row r="137" spans="1:11" s="10" customFormat="1" ht="18" customHeight="1">
      <c r="A137" s="12"/>
      <c r="B137" s="12"/>
      <c r="C137" s="12"/>
      <c r="D137" s="12"/>
      <c r="E137" s="12"/>
      <c r="F137" s="12"/>
      <c r="G137" s="12"/>
      <c r="H137" s="9"/>
      <c r="I137" s="9"/>
    </row>
    <row r="138" spans="1:11" s="10" customFormat="1" ht="18" customHeight="1">
      <c r="A138" s="11"/>
      <c r="B138" s="11" t="s">
        <v>1462</v>
      </c>
      <c r="C138" s="11"/>
      <c r="D138" s="11"/>
      <c r="E138" s="11"/>
      <c r="G138" s="11" t="s">
        <v>1463</v>
      </c>
      <c r="H138" s="13" t="s">
        <v>11785</v>
      </c>
      <c r="I138" s="10" t="s">
        <v>1464</v>
      </c>
      <c r="J138" s="24" t="str">
        <f>IF(city_CITY_KIND="","",city_CITY_KIND)</f>
        <v>特定行政庁</v>
      </c>
      <c r="K138" s="10" t="s">
        <v>1465</v>
      </c>
    </row>
    <row r="139" spans="1:11" s="10" customFormat="1" ht="18" customHeight="1">
      <c r="A139" s="12"/>
      <c r="B139" s="12"/>
      <c r="C139" s="12"/>
      <c r="D139" s="12"/>
      <c r="E139" s="12"/>
      <c r="F139" s="12"/>
      <c r="G139" s="12"/>
      <c r="H139" s="9"/>
      <c r="I139" s="9"/>
    </row>
    <row r="140" spans="1:11" s="10" customFormat="1" ht="18" customHeight="1">
      <c r="A140" s="11"/>
      <c r="B140" s="11" t="s">
        <v>1466</v>
      </c>
      <c r="C140" s="11"/>
      <c r="D140" s="11"/>
      <c r="E140" s="11"/>
      <c r="F140" s="11"/>
      <c r="G140" s="11"/>
      <c r="H140" s="11"/>
    </row>
    <row r="141" spans="1:11" s="10" customFormat="1" ht="18" customHeight="1">
      <c r="A141" s="11"/>
      <c r="B141" s="11"/>
      <c r="C141" s="11" t="s">
        <v>1467</v>
      </c>
      <c r="D141" s="11"/>
      <c r="E141" s="11"/>
      <c r="F141" s="11"/>
      <c r="G141" s="11" t="s">
        <v>297</v>
      </c>
      <c r="H141" s="34" t="s">
        <v>11789</v>
      </c>
      <c r="I141" s="10" t="s">
        <v>1468</v>
      </c>
      <c r="J141" s="24" t="str">
        <f>IF(shinsei_REPORT_DEST_NAME="","",shinsei_REPORT_DEST_NAME)</f>
        <v>東大阪市役所</v>
      </c>
      <c r="K141" s="10" t="s">
        <v>2770</v>
      </c>
    </row>
    <row r="142" spans="1:11" s="10" customFormat="1" ht="18" customHeight="1">
      <c r="A142" s="11"/>
      <c r="B142" s="11"/>
      <c r="C142" s="11" t="s">
        <v>1444</v>
      </c>
      <c r="D142" s="11"/>
      <c r="E142" s="11"/>
      <c r="F142" s="11"/>
      <c r="G142" s="11" t="s">
        <v>298</v>
      </c>
      <c r="H142" s="34" t="s">
        <v>11786</v>
      </c>
      <c r="I142" s="10" t="s">
        <v>1469</v>
      </c>
      <c r="J142" s="24" t="str">
        <f>IF(shinsei_REPORT_DEST_DEPART_NAME="","",shinsei_REPORT_DEST_DEPART_NAME)</f>
        <v>建築部建築指導室</v>
      </c>
      <c r="K142" s="10" t="s">
        <v>2770</v>
      </c>
    </row>
    <row r="143" spans="1:11" s="10" customFormat="1" ht="18" customHeight="1">
      <c r="A143" s="11"/>
      <c r="B143" s="11"/>
      <c r="C143" s="11" t="s">
        <v>2786</v>
      </c>
      <c r="D143" s="11"/>
      <c r="E143" s="11"/>
      <c r="F143" s="11"/>
      <c r="G143" s="11" t="s">
        <v>299</v>
      </c>
      <c r="H143" s="34" t="s">
        <v>11787</v>
      </c>
      <c r="I143" s="10" t="s">
        <v>1470</v>
      </c>
      <c r="J143" s="24" t="str">
        <f>IF(shinsei_REPORT_DEST_FAX="","",shinsei_REPORT_DEST_FAX)</f>
        <v/>
      </c>
      <c r="K143" s="10" t="s">
        <v>2770</v>
      </c>
    </row>
    <row r="144" spans="1:11" s="10" customFormat="1" ht="18" customHeight="1">
      <c r="A144" s="11"/>
      <c r="B144" s="11"/>
      <c r="C144" s="11" t="s">
        <v>1471</v>
      </c>
      <c r="D144" s="11"/>
      <c r="E144" s="11"/>
      <c r="F144" s="11"/>
      <c r="G144" s="11" t="s">
        <v>300</v>
      </c>
      <c r="H144" s="34" t="s">
        <v>11846</v>
      </c>
      <c r="I144" s="10" t="s">
        <v>1472</v>
      </c>
      <c r="J144" s="24" t="str">
        <f>IF(shinsei_REPORT_DEST_SYUJI_NAME="","",shinsei_REPORT_DEST_SYUJI_NAME)</f>
        <v>東大阪市建築主事</v>
      </c>
      <c r="K144" s="10" t="s">
        <v>2770</v>
      </c>
    </row>
    <row r="145" spans="1:12" s="10" customFormat="1" ht="18" customHeight="1">
      <c r="A145" s="12"/>
      <c r="B145" s="12"/>
      <c r="C145" s="12"/>
      <c r="D145" s="12"/>
      <c r="E145" s="12"/>
      <c r="F145" s="12"/>
      <c r="G145" s="12"/>
      <c r="H145" s="9"/>
      <c r="I145" s="10" t="s">
        <v>334</v>
      </c>
      <c r="J145" s="24" t="str">
        <f>IF(shinsei_REPORT_DEST_SYUJI_NAME="","",shinsei_REPORT_DEST_SYUJI_NAME&amp;"　様")</f>
        <v>東大阪市建築主事　様</v>
      </c>
    </row>
    <row r="146" spans="1:12" s="10" customFormat="1" ht="18" customHeight="1">
      <c r="A146" s="11"/>
      <c r="B146" s="11"/>
      <c r="C146" s="11" t="s">
        <v>1473</v>
      </c>
      <c r="D146" s="11"/>
      <c r="E146" s="11"/>
      <c r="F146" s="11"/>
      <c r="G146" s="11" t="s">
        <v>301</v>
      </c>
      <c r="H146" s="34" t="s">
        <v>11845</v>
      </c>
      <c r="I146" s="10" t="s">
        <v>1474</v>
      </c>
      <c r="J146" s="24" t="str">
        <f>IF(shinsei_REPORT_DEST_GYOUSEI_NAME="","",shinsei_REPORT_DEST_GYOUSEI_NAME)</f>
        <v>東大阪市長</v>
      </c>
      <c r="K146" s="10" t="s">
        <v>2770</v>
      </c>
    </row>
    <row r="147" spans="1:12" s="10" customFormat="1" ht="18" customHeight="1">
      <c r="A147" s="12"/>
      <c r="B147" s="12"/>
      <c r="C147" s="12"/>
      <c r="D147" s="12"/>
      <c r="E147" s="12"/>
      <c r="F147" s="12"/>
      <c r="G147" s="12"/>
      <c r="H147" s="9"/>
      <c r="I147" s="10" t="s">
        <v>10817</v>
      </c>
      <c r="J147" s="24" t="str">
        <f>IF(shinsei_REPORT_DEST_GYOUSEI_NAME="","",shinsei_REPORT_DEST_GYOUSEI_NAME&amp;"　様")</f>
        <v>東大阪市長　様</v>
      </c>
    </row>
    <row r="148" spans="1:12" s="10" customFormat="1" ht="18" customHeight="1">
      <c r="A148" s="12"/>
      <c r="B148" s="12"/>
      <c r="C148" s="12"/>
      <c r="D148" s="12"/>
      <c r="E148" s="12"/>
      <c r="F148" s="12"/>
      <c r="G148" s="12"/>
      <c r="H148" s="9"/>
      <c r="I148" s="9" t="s">
        <v>67</v>
      </c>
      <c r="J148" s="24" t="str">
        <f>IF(AND(shinsei_STAT_KEN="熊本県",city_CITY_KIND="その他"),"熊本県知事",IF(AND(cst_city_city="御殿場市",cst_shinsei_TARGET_KIND="工作物"),"御殿場市長",shinsei_REPORT_DEST_GYOUSEI_NAME))</f>
        <v>東大阪市長</v>
      </c>
    </row>
    <row r="149" spans="1:12" s="10" customFormat="1" ht="18" customHeight="1">
      <c r="A149" s="11"/>
      <c r="B149" s="11" t="s">
        <v>1475</v>
      </c>
      <c r="C149" s="11"/>
      <c r="D149" s="11"/>
      <c r="E149" s="11"/>
      <c r="F149" s="11"/>
      <c r="G149" s="11"/>
      <c r="H149" s="11"/>
    </row>
    <row r="150" spans="1:12" s="10" customFormat="1" ht="18" customHeight="1">
      <c r="A150" s="11"/>
      <c r="B150" s="11"/>
      <c r="C150" s="11" t="s">
        <v>1467</v>
      </c>
      <c r="D150" s="11"/>
      <c r="E150" s="11"/>
      <c r="G150" s="11" t="s">
        <v>1476</v>
      </c>
      <c r="H150" s="34" t="s">
        <v>11789</v>
      </c>
      <c r="I150" s="10" t="s">
        <v>77</v>
      </c>
      <c r="J150" s="24" t="str">
        <f>IF(city_CITY_PUBLIC_OFFICE_ID__NAME="","",city_CITY_PUBLIC_OFFICE_ID__NAME)</f>
        <v>東大阪市役所</v>
      </c>
      <c r="K150" s="10" t="s">
        <v>2770</v>
      </c>
    </row>
    <row r="151" spans="1:12" s="10" customFormat="1" ht="18" customHeight="1">
      <c r="A151" s="11"/>
      <c r="B151" s="11"/>
      <c r="C151" s="11" t="s">
        <v>1444</v>
      </c>
      <c r="D151" s="11"/>
      <c r="E151" s="11"/>
      <c r="G151" s="11" t="s">
        <v>78</v>
      </c>
      <c r="H151" s="34" t="s">
        <v>11786</v>
      </c>
      <c r="I151" s="10" t="s">
        <v>79</v>
      </c>
      <c r="J151" s="24" t="str">
        <f>IF(city_CITY_PUBLIC_OFFICE_ID__DEPART_NAME="","",city_CITY_PUBLIC_OFFICE_ID__DEPART_NAME)</f>
        <v>建築部建築指導室</v>
      </c>
      <c r="K151" s="10" t="s">
        <v>2770</v>
      </c>
      <c r="L151" s="35"/>
    </row>
    <row r="152" spans="1:12" s="10" customFormat="1" ht="18" customHeight="1">
      <c r="A152" s="11"/>
      <c r="B152" s="11"/>
      <c r="C152" s="11" t="s">
        <v>2786</v>
      </c>
      <c r="D152" s="11"/>
      <c r="E152" s="11"/>
      <c r="G152" s="11" t="s">
        <v>80</v>
      </c>
      <c r="H152" s="34" t="s">
        <v>11787</v>
      </c>
      <c r="I152" s="10" t="s">
        <v>81</v>
      </c>
      <c r="J152" s="24" t="str">
        <f>IF(city_CITY_PUBLIC_OFFICE_ID__FAX="","",city_CITY_PUBLIC_OFFICE_ID__FAX)</f>
        <v/>
      </c>
      <c r="K152" s="10" t="s">
        <v>2770</v>
      </c>
    </row>
    <row r="153" spans="1:12" s="10" customFormat="1" ht="18" customHeight="1">
      <c r="A153" s="11"/>
      <c r="B153" s="11"/>
      <c r="C153" s="11" t="s">
        <v>1471</v>
      </c>
      <c r="D153" s="11"/>
      <c r="E153" s="11"/>
      <c r="G153" s="11" t="s">
        <v>82</v>
      </c>
      <c r="H153" s="34" t="s">
        <v>11790</v>
      </c>
      <c r="I153" s="10" t="s">
        <v>83</v>
      </c>
      <c r="J153" s="24" t="str">
        <f>IF(city_CITY_PUBLIC_OFFICE_ID__SYUJI_NAME="","",city_CITY_PUBLIC_OFFICE_ID__SYUJI_NAME)</f>
        <v>東大阪市建築主事</v>
      </c>
      <c r="K153" s="10" t="s">
        <v>2770</v>
      </c>
    </row>
    <row r="154" spans="1:12" s="10" customFormat="1" ht="18" customHeight="1">
      <c r="A154" s="11"/>
      <c r="B154" s="11"/>
      <c r="C154" s="11" t="s">
        <v>1473</v>
      </c>
      <c r="D154" s="11"/>
      <c r="E154" s="11"/>
      <c r="G154" s="11" t="s">
        <v>84</v>
      </c>
      <c r="H154" s="34" t="s">
        <v>11788</v>
      </c>
      <c r="I154" s="10" t="s">
        <v>85</v>
      </c>
      <c r="J154" s="24" t="str">
        <f>IF(city_CITY_PUBLIC_OFFICE_ID__GYOUSEI_NAME="","",city_CITY_PUBLIC_OFFICE_ID__GYOUSEI_NAME)</f>
        <v>東大阪市長</v>
      </c>
      <c r="K154" s="10" t="s">
        <v>2770</v>
      </c>
    </row>
    <row r="155" spans="1:12" s="10" customFormat="1" ht="18" customHeight="1">
      <c r="A155" s="12"/>
      <c r="B155" s="12"/>
      <c r="C155" s="12"/>
      <c r="D155" s="12"/>
      <c r="E155" s="12"/>
      <c r="F155" s="12"/>
      <c r="G155" s="12"/>
      <c r="H155" s="9"/>
      <c r="I155" s="9"/>
    </row>
    <row r="156" spans="1:12" s="10" customFormat="1" ht="18" customHeight="1">
      <c r="A156" s="11"/>
      <c r="B156" s="11" t="s">
        <v>86</v>
      </c>
      <c r="C156" s="11"/>
      <c r="D156" s="11"/>
      <c r="E156" s="11"/>
      <c r="G156" s="11"/>
      <c r="H156" s="11"/>
    </row>
    <row r="157" spans="1:12" s="10" customFormat="1" ht="18" customHeight="1">
      <c r="A157" s="11"/>
      <c r="B157" s="11"/>
      <c r="C157" s="11" t="s">
        <v>1467</v>
      </c>
      <c r="D157" s="11"/>
      <c r="E157" s="11"/>
      <c r="G157" s="11" t="s">
        <v>87</v>
      </c>
      <c r="H157" s="34" t="s">
        <v>11787</v>
      </c>
      <c r="I157" s="10" t="s">
        <v>88</v>
      </c>
      <c r="J157" s="24" t="str">
        <f>IF(city_KEN1_PUBLIC_OFFICE_ID__NAME="","",city_KEN1_PUBLIC_OFFICE_ID__NAME)</f>
        <v/>
      </c>
      <c r="K157" s="10" t="s">
        <v>2770</v>
      </c>
    </row>
    <row r="158" spans="1:12" s="10" customFormat="1" ht="18" customHeight="1">
      <c r="A158" s="11"/>
      <c r="B158" s="11"/>
      <c r="C158" s="11" t="s">
        <v>1444</v>
      </c>
      <c r="D158" s="11"/>
      <c r="E158" s="11"/>
      <c r="G158" s="11" t="s">
        <v>89</v>
      </c>
      <c r="H158" s="34" t="s">
        <v>11787</v>
      </c>
      <c r="I158" s="10" t="s">
        <v>90</v>
      </c>
      <c r="J158" s="24" t="str">
        <f>IF(city_KEN1_PUBLIC_OFFICE_ID__DEPART_NAME="","",city_KEN1_PUBLIC_OFFICE_ID__DEPART_NAME)</f>
        <v/>
      </c>
      <c r="K158" s="10" t="s">
        <v>2770</v>
      </c>
    </row>
    <row r="159" spans="1:12" s="10" customFormat="1" ht="18" customHeight="1">
      <c r="A159" s="11"/>
      <c r="B159" s="11"/>
      <c r="C159" s="11" t="s">
        <v>2786</v>
      </c>
      <c r="D159" s="11"/>
      <c r="E159" s="11"/>
      <c r="G159" s="11" t="s">
        <v>91</v>
      </c>
      <c r="H159" s="34" t="s">
        <v>11787</v>
      </c>
      <c r="I159" s="10" t="s">
        <v>92</v>
      </c>
      <c r="J159" s="24" t="str">
        <f>IF(city_KEN1_PUBLIC_OFFICE_ID__FAX="","",city_KEN1_PUBLIC_OFFICE_ID__FAX)</f>
        <v/>
      </c>
      <c r="K159" s="10" t="s">
        <v>2770</v>
      </c>
    </row>
    <row r="160" spans="1:12" s="10" customFormat="1" ht="18" customHeight="1">
      <c r="A160" s="11"/>
      <c r="B160" s="11"/>
      <c r="C160" s="11" t="s">
        <v>1471</v>
      </c>
      <c r="D160" s="11"/>
      <c r="E160" s="11"/>
      <c r="G160" s="11" t="s">
        <v>93</v>
      </c>
      <c r="H160" s="34" t="s">
        <v>11787</v>
      </c>
      <c r="I160" s="10" t="s">
        <v>94</v>
      </c>
      <c r="J160" s="24" t="str">
        <f>IF(city_KEN1_PUBLIC_OFFICE_ID__SYUJI_NAME="","",city_KEN1_PUBLIC_OFFICE_ID__SYUJI_NAME)</f>
        <v/>
      </c>
      <c r="K160" s="10" t="s">
        <v>2770</v>
      </c>
    </row>
    <row r="161" spans="1:11" s="10" customFormat="1" ht="18" customHeight="1">
      <c r="A161" s="11"/>
      <c r="B161" s="11"/>
      <c r="C161" s="11" t="s">
        <v>1473</v>
      </c>
      <c r="D161" s="11"/>
      <c r="E161" s="11"/>
      <c r="G161" s="11" t="s">
        <v>95</v>
      </c>
      <c r="H161" s="34" t="s">
        <v>11787</v>
      </c>
      <c r="I161" s="10" t="s">
        <v>96</v>
      </c>
      <c r="J161" s="24" t="str">
        <f>IF(city_KEN1_PUBLIC_OFFICE_ID__GYOUSEI_NAME="","",city_KEN1_PUBLIC_OFFICE_ID__GYOUSEI_NAME)</f>
        <v/>
      </c>
      <c r="K161" s="10" t="s">
        <v>2770</v>
      </c>
    </row>
    <row r="162" spans="1:11" s="10" customFormat="1" ht="18" customHeight="1">
      <c r="A162" s="12"/>
      <c r="B162" s="12"/>
      <c r="C162" s="12"/>
      <c r="D162" s="12"/>
      <c r="E162" s="12"/>
      <c r="F162" s="12"/>
      <c r="G162" s="12"/>
      <c r="H162" s="9"/>
      <c r="I162" s="9"/>
    </row>
    <row r="163" spans="1:11" s="10" customFormat="1" ht="18" customHeight="1">
      <c r="A163" s="11"/>
      <c r="B163" s="11" t="s">
        <v>97</v>
      </c>
      <c r="C163" s="11"/>
      <c r="D163" s="11"/>
      <c r="E163" s="11"/>
      <c r="G163" s="11"/>
      <c r="H163" s="11"/>
    </row>
    <row r="164" spans="1:11" s="10" customFormat="1" ht="18" customHeight="1">
      <c r="A164" s="11"/>
      <c r="B164" s="11"/>
      <c r="C164" s="11" t="s">
        <v>1467</v>
      </c>
      <c r="D164" s="11"/>
      <c r="E164" s="11"/>
      <c r="G164" s="11" t="s">
        <v>98</v>
      </c>
      <c r="H164" s="34" t="s">
        <v>11787</v>
      </c>
      <c r="I164" s="10" t="s">
        <v>99</v>
      </c>
      <c r="J164" s="24" t="str">
        <f>IF(city_KEN2_PUBLIC_OFFICE_ID__NAME="","",city_KEN2_PUBLIC_OFFICE_ID__NAME)</f>
        <v/>
      </c>
      <c r="K164" s="10" t="s">
        <v>2770</v>
      </c>
    </row>
    <row r="165" spans="1:11" s="10" customFormat="1" ht="18" customHeight="1">
      <c r="A165" s="11"/>
      <c r="B165" s="11"/>
      <c r="C165" s="11" t="s">
        <v>1444</v>
      </c>
      <c r="D165" s="11"/>
      <c r="E165" s="11"/>
      <c r="G165" s="11" t="s">
        <v>100</v>
      </c>
      <c r="H165" s="34" t="s">
        <v>11787</v>
      </c>
      <c r="I165" s="10" t="s">
        <v>101</v>
      </c>
      <c r="J165" s="24" t="str">
        <f>IF(city_KEN2_PUBLIC_OFFICE_ID__DEPART_NAME="","",city_KEN2_PUBLIC_OFFICE_ID__DEPART_NAME)</f>
        <v/>
      </c>
      <c r="K165" s="10" t="s">
        <v>2770</v>
      </c>
    </row>
    <row r="166" spans="1:11" s="10" customFormat="1" ht="18" customHeight="1">
      <c r="A166" s="11"/>
      <c r="B166" s="11"/>
      <c r="C166" s="11" t="s">
        <v>2786</v>
      </c>
      <c r="D166" s="11"/>
      <c r="E166" s="11"/>
      <c r="G166" s="11" t="s">
        <v>102</v>
      </c>
      <c r="H166" s="34" t="s">
        <v>11787</v>
      </c>
      <c r="I166" s="10" t="s">
        <v>103</v>
      </c>
      <c r="J166" s="24" t="str">
        <f>IF(city_KEN2_PUBLIC_OFFICE_ID__FAX="","",city_KEN2_PUBLIC_OFFICE_ID__FAX)</f>
        <v/>
      </c>
      <c r="K166" s="10" t="s">
        <v>2770</v>
      </c>
    </row>
    <row r="167" spans="1:11" s="10" customFormat="1" ht="18" customHeight="1">
      <c r="A167" s="11"/>
      <c r="B167" s="11"/>
      <c r="C167" s="11" t="s">
        <v>1471</v>
      </c>
      <c r="D167" s="11"/>
      <c r="E167" s="11"/>
      <c r="G167" s="11" t="s">
        <v>104</v>
      </c>
      <c r="H167" s="34" t="s">
        <v>11787</v>
      </c>
      <c r="I167" s="10" t="s">
        <v>105</v>
      </c>
      <c r="J167" s="24" t="str">
        <f>IF(city_KEN2_PUBLIC_OFFICE_ID__SYUJI_NAME="","",city_KEN2_PUBLIC_OFFICE_ID__SYUJI_NAME)</f>
        <v/>
      </c>
      <c r="K167" s="10" t="s">
        <v>2770</v>
      </c>
    </row>
    <row r="168" spans="1:11" s="10" customFormat="1" ht="18" customHeight="1">
      <c r="A168" s="11"/>
      <c r="B168" s="11"/>
      <c r="C168" s="11" t="s">
        <v>1473</v>
      </c>
      <c r="D168" s="11"/>
      <c r="E168" s="11"/>
      <c r="G168" s="11" t="s">
        <v>106</v>
      </c>
      <c r="H168" s="34" t="s">
        <v>11787</v>
      </c>
      <c r="I168" s="10" t="s">
        <v>107</v>
      </c>
      <c r="J168" s="24" t="str">
        <f>IF(city_KEN2_PUBLIC_OFFICE_ID__GYOUSEI_NAME="","",city_KEN2_PUBLIC_OFFICE_ID__GYOUSEI_NAME)</f>
        <v/>
      </c>
      <c r="K168" s="10" t="s">
        <v>2770</v>
      </c>
    </row>
    <row r="169" spans="1:11" s="10" customFormat="1" ht="18" customHeight="1">
      <c r="A169" s="12"/>
      <c r="B169" s="12"/>
      <c r="C169" s="12"/>
      <c r="D169" s="12"/>
      <c r="E169" s="12"/>
      <c r="F169" s="12"/>
      <c r="G169" s="12"/>
      <c r="H169" s="9"/>
      <c r="I169" s="9"/>
    </row>
    <row r="170" spans="1:11" s="10" customFormat="1" ht="18" customHeight="1">
      <c r="A170" s="11"/>
      <c r="B170" s="11" t="s">
        <v>108</v>
      </c>
      <c r="C170" s="11"/>
      <c r="D170" s="11"/>
      <c r="E170" s="11"/>
      <c r="G170" s="11"/>
      <c r="H170" s="11"/>
    </row>
    <row r="171" spans="1:11" s="10" customFormat="1" ht="18" customHeight="1">
      <c r="A171" s="11"/>
      <c r="B171" s="11"/>
      <c r="C171" s="11" t="s">
        <v>1467</v>
      </c>
      <c r="D171" s="11"/>
      <c r="E171" s="11"/>
      <c r="G171" s="11" t="s">
        <v>109</v>
      </c>
      <c r="H171" s="34" t="s">
        <v>11787</v>
      </c>
      <c r="I171" s="10" t="s">
        <v>110</v>
      </c>
      <c r="J171" s="24" t="str">
        <f>IF(city_KEN_PUBLIC_OFFICE_ID__NAME="","",city_KEN_PUBLIC_OFFICE_ID__NAME)</f>
        <v/>
      </c>
      <c r="K171" s="10" t="s">
        <v>2770</v>
      </c>
    </row>
    <row r="172" spans="1:11" s="10" customFormat="1" ht="18" customHeight="1">
      <c r="A172" s="11"/>
      <c r="B172" s="11"/>
      <c r="C172" s="11" t="s">
        <v>1444</v>
      </c>
      <c r="D172" s="11"/>
      <c r="E172" s="11"/>
      <c r="G172" s="11" t="s">
        <v>111</v>
      </c>
      <c r="H172" s="34" t="s">
        <v>11787</v>
      </c>
      <c r="I172" s="10" t="s">
        <v>112</v>
      </c>
      <c r="J172" s="24" t="str">
        <f>IF(city_KEN_PUBLIC_OFFICE_ID__DEPART_NAME="","",city_KEN_PUBLIC_OFFICE_ID__DEPART_NAME)</f>
        <v/>
      </c>
      <c r="K172" s="10" t="s">
        <v>2770</v>
      </c>
    </row>
    <row r="173" spans="1:11" s="10" customFormat="1" ht="18" customHeight="1">
      <c r="A173" s="11"/>
      <c r="B173" s="11"/>
      <c r="C173" s="11" t="s">
        <v>2786</v>
      </c>
      <c r="D173" s="11"/>
      <c r="E173" s="11"/>
      <c r="G173" s="11" t="s">
        <v>113</v>
      </c>
      <c r="H173" s="34" t="s">
        <v>11787</v>
      </c>
      <c r="I173" s="10" t="s">
        <v>114</v>
      </c>
      <c r="J173" s="24" t="str">
        <f>IF(city_KEN_PUBLIC_OFFICE_ID__FAX="","",city_KEN_PUBLIC_OFFICE_ID__FAX)</f>
        <v/>
      </c>
      <c r="K173" s="10" t="s">
        <v>2770</v>
      </c>
    </row>
    <row r="174" spans="1:11" s="10" customFormat="1" ht="18" customHeight="1">
      <c r="A174" s="11"/>
      <c r="B174" s="11"/>
      <c r="C174" s="11" t="s">
        <v>1471</v>
      </c>
      <c r="D174" s="11"/>
      <c r="E174" s="11"/>
      <c r="G174" s="11" t="s">
        <v>115</v>
      </c>
      <c r="H174" s="34" t="s">
        <v>11787</v>
      </c>
      <c r="I174" s="10" t="s">
        <v>116</v>
      </c>
      <c r="J174" s="24" t="str">
        <f>IF(city_KEN_PUBLIC_OFFICE_ID__SYUJI_NAME="","",city_KEN_PUBLIC_OFFICE_ID__SYUJI_NAME)</f>
        <v/>
      </c>
      <c r="K174" s="10" t="s">
        <v>2770</v>
      </c>
    </row>
    <row r="175" spans="1:11" s="10" customFormat="1" ht="18" customHeight="1">
      <c r="A175" s="11"/>
      <c r="B175" s="11"/>
      <c r="C175" s="11" t="s">
        <v>1473</v>
      </c>
      <c r="D175" s="11"/>
      <c r="E175" s="11"/>
      <c r="G175" s="11" t="s">
        <v>117</v>
      </c>
      <c r="H175" s="34" t="s">
        <v>11787</v>
      </c>
      <c r="I175" s="10" t="s">
        <v>118</v>
      </c>
      <c r="J175" s="24" t="str">
        <f>IF(city_KEN_PUBLIC_OFFICE_ID__GYOUSEI_NAME="","",city_KEN_PUBLIC_OFFICE_ID__GYOUSEI_NAME)</f>
        <v/>
      </c>
      <c r="K175" s="10" t="s">
        <v>2770</v>
      </c>
    </row>
    <row r="176" spans="1:11" s="10" customFormat="1" ht="18" customHeight="1">
      <c r="A176" s="12"/>
      <c r="B176" s="12"/>
      <c r="C176" s="12"/>
      <c r="D176" s="12"/>
      <c r="E176" s="12"/>
      <c r="F176" s="12"/>
      <c r="G176" s="12"/>
      <c r="H176" s="9"/>
      <c r="I176" s="9"/>
    </row>
    <row r="177" spans="1:12" s="10" customFormat="1" ht="18" customHeight="1">
      <c r="A177" s="11"/>
      <c r="B177" s="11" t="s">
        <v>119</v>
      </c>
      <c r="C177" s="11"/>
      <c r="D177" s="11"/>
      <c r="E177" s="11"/>
      <c r="F177" s="11"/>
      <c r="G177" s="11"/>
      <c r="H177" s="11"/>
      <c r="K177" s="10" t="s">
        <v>120</v>
      </c>
    </row>
    <row r="178" spans="1:12" s="10" customFormat="1" ht="18" customHeight="1">
      <c r="A178" s="11"/>
      <c r="B178" s="11"/>
      <c r="C178" s="11" t="s">
        <v>121</v>
      </c>
      <c r="D178" s="11"/>
      <c r="E178" s="11"/>
      <c r="F178" s="11"/>
      <c r="G178" s="11" t="s">
        <v>122</v>
      </c>
      <c r="H178" s="34" t="s">
        <v>11787</v>
      </c>
      <c r="K178" s="10" t="s">
        <v>2770</v>
      </c>
      <c r="L178" s="36"/>
    </row>
    <row r="179" spans="1:12" s="10" customFormat="1" ht="18" customHeight="1">
      <c r="A179" s="11"/>
      <c r="B179" s="11"/>
      <c r="C179" s="11" t="s">
        <v>123</v>
      </c>
      <c r="D179" s="11"/>
      <c r="E179" s="11"/>
      <c r="F179" s="11"/>
      <c r="G179" s="11" t="s">
        <v>124</v>
      </c>
      <c r="H179" s="34" t="s">
        <v>11787</v>
      </c>
      <c r="K179" s="10" t="s">
        <v>2770</v>
      </c>
      <c r="L179" s="36"/>
    </row>
    <row r="180" spans="1:12" s="10" customFormat="1" ht="18" customHeight="1">
      <c r="A180" s="11"/>
      <c r="B180" s="11"/>
      <c r="C180" s="11" t="s">
        <v>125</v>
      </c>
      <c r="D180" s="11"/>
      <c r="E180" s="11"/>
      <c r="F180" s="11"/>
      <c r="G180" s="11" t="s">
        <v>126</v>
      </c>
      <c r="H180" s="34" t="s">
        <v>11787</v>
      </c>
      <c r="K180" s="10" t="s">
        <v>2770</v>
      </c>
      <c r="L180" s="36"/>
    </row>
    <row r="181" spans="1:12" s="10" customFormat="1" ht="18" customHeight="1">
      <c r="A181" s="11"/>
      <c r="B181" s="11"/>
      <c r="C181" s="11" t="s">
        <v>127</v>
      </c>
      <c r="D181" s="11"/>
      <c r="E181" s="11"/>
      <c r="F181" s="11"/>
      <c r="G181" s="11" t="s">
        <v>128</v>
      </c>
      <c r="H181" s="34" t="s">
        <v>11787</v>
      </c>
      <c r="K181" s="10" t="s">
        <v>2770</v>
      </c>
      <c r="L181" s="36"/>
    </row>
    <row r="182" spans="1:12" s="10" customFormat="1" ht="18" customHeight="1">
      <c r="A182" s="12"/>
      <c r="B182" s="12"/>
      <c r="C182" s="12"/>
      <c r="D182" s="12"/>
      <c r="E182" s="12"/>
      <c r="F182" s="12"/>
      <c r="G182" s="12"/>
      <c r="H182" s="9"/>
      <c r="I182" s="9"/>
    </row>
    <row r="183" spans="1:12" s="10" customFormat="1" ht="18" customHeight="1">
      <c r="A183" s="11"/>
      <c r="B183" s="12" t="s">
        <v>129</v>
      </c>
      <c r="C183" s="12"/>
      <c r="D183" s="12"/>
      <c r="E183" s="12"/>
      <c r="F183" s="12"/>
      <c r="G183" s="12" t="s">
        <v>130</v>
      </c>
      <c r="H183" s="20" t="s">
        <v>11838</v>
      </c>
      <c r="I183" s="9" t="s">
        <v>131</v>
      </c>
      <c r="J183" s="19" t="str">
        <f>IF(shinsei_PREF_OFFICE_FLAG="","",shinsei_PREF_OFFICE_FLAG)</f>
        <v>無</v>
      </c>
      <c r="K183" s="10" t="s">
        <v>132</v>
      </c>
    </row>
    <row r="184" spans="1:12" s="10" customFormat="1" ht="18" customHeight="1">
      <c r="A184" s="12"/>
      <c r="B184" s="12"/>
      <c r="C184" s="12"/>
      <c r="D184" s="12"/>
      <c r="E184" s="12"/>
      <c r="F184" s="12"/>
      <c r="G184" s="12"/>
      <c r="H184" s="9"/>
      <c r="I184" s="9"/>
    </row>
    <row r="185" spans="1:12" s="10" customFormat="1" ht="18" customHeight="1">
      <c r="A185" s="12"/>
      <c r="B185" s="12"/>
      <c r="C185" s="12"/>
      <c r="D185" s="12"/>
      <c r="E185" s="12"/>
      <c r="F185" s="12"/>
      <c r="G185" s="12"/>
      <c r="H185" s="9"/>
      <c r="I185" s="9"/>
    </row>
    <row r="186" spans="1:12" ht="18" customHeight="1">
      <c r="A186" s="26" t="s">
        <v>133</v>
      </c>
      <c r="B186" s="26"/>
      <c r="C186" s="26"/>
      <c r="D186" s="26"/>
      <c r="E186" s="26"/>
      <c r="F186" s="26"/>
      <c r="G186" s="37"/>
      <c r="J186" s="657"/>
      <c r="K186" s="657"/>
    </row>
    <row r="187" spans="1:12" ht="18" customHeight="1">
      <c r="J187" s="38"/>
      <c r="K187" s="38"/>
    </row>
    <row r="188" spans="1:12" ht="18" customHeight="1">
      <c r="B188" s="5" t="s">
        <v>134</v>
      </c>
      <c r="F188" s="442" t="s">
        <v>135</v>
      </c>
      <c r="H188" s="39" t="str">
        <f>cst_shinsei_PROVO_TANTO_USER_ID</f>
        <v>福田 基久</v>
      </c>
    </row>
    <row r="189" spans="1:12" ht="18" customHeight="1">
      <c r="B189" s="5" t="s">
        <v>136</v>
      </c>
      <c r="G189" s="6" t="s">
        <v>302</v>
      </c>
      <c r="H189" s="40"/>
    </row>
    <row r="191" spans="1:12" ht="18" customHeight="1">
      <c r="B191" s="5" t="s">
        <v>137</v>
      </c>
      <c r="G191" s="6" t="s">
        <v>303</v>
      </c>
      <c r="H191" s="40">
        <v>0</v>
      </c>
      <c r="K191" s="7" t="s">
        <v>138</v>
      </c>
    </row>
    <row r="192" spans="1:12" ht="18" customHeight="1">
      <c r="C192" s="5" t="s">
        <v>139</v>
      </c>
      <c r="G192" s="6" t="s">
        <v>304</v>
      </c>
      <c r="H192" s="40" t="s">
        <v>11838</v>
      </c>
      <c r="K192" s="7" t="s">
        <v>140</v>
      </c>
    </row>
    <row r="193" spans="2:11" ht="18" customHeight="1">
      <c r="B193" s="5" t="s">
        <v>141</v>
      </c>
      <c r="G193" s="6" t="s">
        <v>305</v>
      </c>
      <c r="H193" s="40">
        <v>0</v>
      </c>
      <c r="K193" s="7" t="s">
        <v>138</v>
      </c>
    </row>
    <row r="194" spans="2:11" ht="18" customHeight="1">
      <c r="G194" s="6" t="s">
        <v>306</v>
      </c>
      <c r="H194" s="40" t="s">
        <v>11838</v>
      </c>
      <c r="K194" s="7" t="s">
        <v>140</v>
      </c>
    </row>
    <row r="195" spans="2:11" ht="18" customHeight="1">
      <c r="B195" s="5" t="s">
        <v>142</v>
      </c>
      <c r="G195" s="6" t="s">
        <v>307</v>
      </c>
      <c r="H195" s="40">
        <v>0</v>
      </c>
      <c r="K195" s="7" t="s">
        <v>138</v>
      </c>
    </row>
    <row r="196" spans="2:11" ht="18" customHeight="1">
      <c r="G196" s="6" t="s">
        <v>308</v>
      </c>
      <c r="H196" s="40" t="s">
        <v>11838</v>
      </c>
      <c r="K196" s="7" t="s">
        <v>140</v>
      </c>
    </row>
    <row r="198" spans="2:11" ht="18" customHeight="1">
      <c r="B198" s="5" t="s">
        <v>143</v>
      </c>
    </row>
    <row r="199" spans="2:11" ht="18" customHeight="1">
      <c r="B199" s="5" t="s">
        <v>144</v>
      </c>
      <c r="G199" s="6" t="s">
        <v>309</v>
      </c>
      <c r="H199" s="15" t="s">
        <v>11787</v>
      </c>
    </row>
    <row r="200" spans="2:11" ht="18" customHeight="1">
      <c r="B200" s="5" t="s">
        <v>145</v>
      </c>
      <c r="G200" s="6" t="s">
        <v>310</v>
      </c>
      <c r="H200" s="15" t="s">
        <v>11787</v>
      </c>
    </row>
    <row r="201" spans="2:11" ht="18" customHeight="1">
      <c r="B201" s="5" t="s">
        <v>146</v>
      </c>
      <c r="G201" s="6" t="s">
        <v>311</v>
      </c>
      <c r="H201" s="15" t="s">
        <v>11787</v>
      </c>
    </row>
    <row r="202" spans="2:11" ht="18" customHeight="1">
      <c r="B202" s="5" t="s">
        <v>147</v>
      </c>
      <c r="G202" s="6" t="s">
        <v>312</v>
      </c>
      <c r="H202" s="15" t="s">
        <v>11787</v>
      </c>
    </row>
    <row r="203" spans="2:11" ht="18" customHeight="1">
      <c r="B203" s="5" t="s">
        <v>148</v>
      </c>
      <c r="G203" s="6" t="s">
        <v>313</v>
      </c>
      <c r="H203" s="15" t="s">
        <v>11787</v>
      </c>
    </row>
    <row r="205" spans="2:11" ht="18" customHeight="1">
      <c r="B205" s="5" t="s">
        <v>149</v>
      </c>
    </row>
    <row r="206" spans="2:11" ht="18" customHeight="1">
      <c r="B206" s="5" t="s">
        <v>144</v>
      </c>
      <c r="G206" s="6" t="s">
        <v>314</v>
      </c>
      <c r="H206" s="15" t="s">
        <v>11787</v>
      </c>
    </row>
    <row r="207" spans="2:11" ht="18" customHeight="1">
      <c r="B207" s="5" t="s">
        <v>145</v>
      </c>
      <c r="G207" s="6" t="s">
        <v>315</v>
      </c>
      <c r="H207" s="15" t="s">
        <v>11787</v>
      </c>
    </row>
    <row r="208" spans="2:11" ht="18" customHeight="1">
      <c r="B208" s="5" t="s">
        <v>146</v>
      </c>
      <c r="G208" s="6" t="s">
        <v>316</v>
      </c>
      <c r="H208" s="15" t="s">
        <v>11787</v>
      </c>
    </row>
    <row r="209" spans="2:8" ht="18" customHeight="1">
      <c r="B209" s="5" t="s">
        <v>147</v>
      </c>
      <c r="G209" s="6" t="s">
        <v>317</v>
      </c>
      <c r="H209" s="15" t="s">
        <v>11787</v>
      </c>
    </row>
    <row r="210" spans="2:8" ht="18" customHeight="1">
      <c r="B210" s="5" t="s">
        <v>148</v>
      </c>
      <c r="G210" s="6" t="s">
        <v>1749</v>
      </c>
      <c r="H210" s="15" t="s">
        <v>11787</v>
      </c>
    </row>
    <row r="212" spans="2:8" ht="18" customHeight="1">
      <c r="B212" s="5" t="s">
        <v>150</v>
      </c>
      <c r="G212" s="6" t="s">
        <v>1750</v>
      </c>
      <c r="H212" s="416"/>
    </row>
    <row r="213" spans="2:8" ht="18" customHeight="1">
      <c r="B213" s="5" t="s">
        <v>151</v>
      </c>
      <c r="F213" s="415" t="s">
        <v>152</v>
      </c>
      <c r="H213" s="41">
        <f>cst_shinsei_PROVO_DATE</f>
        <v>44223</v>
      </c>
    </row>
    <row r="214" spans="2:8" ht="18" customHeight="1">
      <c r="B214" s="5" t="s">
        <v>153</v>
      </c>
      <c r="G214" s="6" t="s">
        <v>1751</v>
      </c>
      <c r="H214" s="416"/>
    </row>
    <row r="215" spans="2:8" ht="18" customHeight="1">
      <c r="B215" s="5" t="s">
        <v>154</v>
      </c>
      <c r="F215" s="415" t="s">
        <v>155</v>
      </c>
      <c r="H215" s="41">
        <f>cst_shinsei_ACCEPT_DATE</f>
        <v>44223</v>
      </c>
    </row>
    <row r="216" spans="2:8" ht="18" customHeight="1">
      <c r="B216" s="5" t="s">
        <v>156</v>
      </c>
      <c r="G216" s="6" t="s">
        <v>1752</v>
      </c>
      <c r="H216" s="416"/>
    </row>
    <row r="217" spans="2:8" ht="18" customHeight="1">
      <c r="B217" s="5" t="s">
        <v>157</v>
      </c>
      <c r="G217" s="6" t="s">
        <v>1753</v>
      </c>
      <c r="H217" s="416"/>
    </row>
    <row r="218" spans="2:8" ht="18" customHeight="1">
      <c r="B218" s="5" t="s">
        <v>158</v>
      </c>
      <c r="G218" s="6" t="s">
        <v>1754</v>
      </c>
      <c r="H218" s="416"/>
    </row>
    <row r="219" spans="2:8" ht="18" customHeight="1">
      <c r="B219" s="5" t="s">
        <v>159</v>
      </c>
      <c r="F219" s="415" t="s">
        <v>160</v>
      </c>
      <c r="H219" s="41">
        <f>cst_shinsei_HIKIUKE_DATE</f>
        <v>44258</v>
      </c>
    </row>
    <row r="220" spans="2:8" ht="18" customHeight="1">
      <c r="B220" s="5" t="s">
        <v>161</v>
      </c>
      <c r="G220" s="6" t="s">
        <v>1755</v>
      </c>
      <c r="H220" s="416"/>
    </row>
    <row r="221" spans="2:8" ht="18" customHeight="1">
      <c r="B221" s="5" t="s">
        <v>162</v>
      </c>
      <c r="G221" s="6" t="s">
        <v>1756</v>
      </c>
      <c r="H221" s="40"/>
    </row>
    <row r="223" spans="2:8" ht="18" customHeight="1">
      <c r="B223" s="5" t="s">
        <v>163</v>
      </c>
      <c r="G223" s="6" t="s">
        <v>1757</v>
      </c>
      <c r="H223" s="15" t="s">
        <v>11787</v>
      </c>
    </row>
    <row r="224" spans="2:8" ht="18" customHeight="1">
      <c r="B224" s="5" t="s">
        <v>164</v>
      </c>
      <c r="G224" s="6" t="s">
        <v>1758</v>
      </c>
      <c r="H224" s="15" t="s">
        <v>11787</v>
      </c>
    </row>
    <row r="227" spans="1:29" ht="18" customHeight="1">
      <c r="A227" s="26" t="s">
        <v>165</v>
      </c>
      <c r="B227" s="26"/>
      <c r="C227" s="26"/>
      <c r="D227" s="26"/>
      <c r="E227" s="26"/>
      <c r="F227" s="26"/>
      <c r="G227" s="37"/>
    </row>
    <row r="230" spans="1:29" ht="18" customHeight="1">
      <c r="B230" s="5" t="s">
        <v>166</v>
      </c>
      <c r="G230" s="6" t="s">
        <v>1759</v>
      </c>
      <c r="H230" s="417"/>
      <c r="I230" s="7" t="s">
        <v>167</v>
      </c>
      <c r="J230" s="512" t="str">
        <f>IF(shinsei_HIKIUKE_KAKU_KOUFU_YOTEI_DATE="","",shinsei_HIKIUKE_KAKU_KOUFU_YOTEI_DATE)</f>
        <v/>
      </c>
    </row>
    <row r="231" spans="1:29" ht="18" customHeight="1">
      <c r="C231" s="5" t="s">
        <v>11189</v>
      </c>
      <c r="I231" s="7" t="s">
        <v>11074</v>
      </c>
      <c r="J231" s="520" t="str">
        <f ca="1">IF(OR(shinsei_UKETUKE_OFFICE_ID__ID=4),cst_shinsei_HIKIUKE_KAKU_KOUFU_YOTEI_DATE,TEXT(TODAY(),"ggg")&amp;"　　　年　　　月　　　日")</f>
        <v>令和　　　年　　　月　　　日</v>
      </c>
      <c r="K231" s="7" t="s">
        <v>11191</v>
      </c>
    </row>
    <row r="232" spans="1:29" ht="18" customHeight="1">
      <c r="C232" s="5" t="s">
        <v>11190</v>
      </c>
      <c r="I232" s="7" t="s">
        <v>11192</v>
      </c>
      <c r="J232" s="520" t="str">
        <f ca="1">IF(OR(shinsei_UKETUKE_OFFICE_ID__ID=1,shinsei_UKETUKE_OFFICE_ID__ID=2,shinsei_UKETUKE_OFFICE_ID__ID=4),cst_shinsei_HIKIUKE_KAKU_KOUFU_YOTEI_DATE,TEXT(TODAY(),"ggg")&amp;"　　　年　　　月　　　日")</f>
        <v/>
      </c>
      <c r="K232" s="7" t="s">
        <v>11362</v>
      </c>
    </row>
    <row r="235" spans="1:29" ht="18" customHeight="1">
      <c r="A235" s="26" t="s">
        <v>168</v>
      </c>
      <c r="B235" s="26"/>
      <c r="C235" s="26"/>
      <c r="D235" s="26"/>
      <c r="E235" s="26"/>
      <c r="F235" s="26"/>
      <c r="G235" s="37"/>
    </row>
    <row r="237" spans="1:29" ht="18" customHeight="1">
      <c r="B237" s="5" t="s">
        <v>169</v>
      </c>
    </row>
    <row r="238" spans="1:29" ht="18" customHeight="1">
      <c r="B238" s="12" t="s">
        <v>170</v>
      </c>
      <c r="C238" s="42"/>
      <c r="D238" s="42"/>
      <c r="E238" s="42"/>
      <c r="G238" s="51" t="s">
        <v>171</v>
      </c>
      <c r="H238" s="13" t="s">
        <v>11800</v>
      </c>
      <c r="I238" s="16"/>
      <c r="J238" s="17"/>
      <c r="K238" s="43"/>
      <c r="L238" s="44"/>
      <c r="M238" s="44"/>
      <c r="N238" s="44"/>
      <c r="O238" s="44"/>
      <c r="P238" s="44"/>
      <c r="Q238" s="44"/>
      <c r="R238" s="44"/>
      <c r="S238" s="44"/>
      <c r="T238" s="44"/>
      <c r="U238" s="44"/>
      <c r="V238" s="44"/>
      <c r="W238" s="44"/>
      <c r="X238" s="44"/>
      <c r="Y238" s="44"/>
      <c r="Z238" s="44"/>
      <c r="AA238" s="44"/>
      <c r="AB238" s="44"/>
      <c r="AC238" s="44"/>
    </row>
    <row r="239" spans="1:29" ht="18" customHeight="1">
      <c r="B239" s="12" t="s">
        <v>172</v>
      </c>
      <c r="C239" s="42"/>
      <c r="D239" s="42"/>
      <c r="E239" s="42"/>
      <c r="G239" s="51" t="s">
        <v>173</v>
      </c>
      <c r="H239" s="13" t="s">
        <v>11787</v>
      </c>
      <c r="I239" s="16"/>
      <c r="J239" s="17"/>
      <c r="K239" s="43"/>
      <c r="L239" s="44"/>
      <c r="M239" s="44"/>
      <c r="N239" s="44"/>
      <c r="O239" s="44"/>
      <c r="P239" s="44"/>
      <c r="Q239" s="44"/>
      <c r="R239" s="44"/>
      <c r="S239" s="44"/>
      <c r="T239" s="44"/>
      <c r="U239" s="44"/>
      <c r="V239" s="44"/>
      <c r="W239" s="44"/>
      <c r="X239" s="44"/>
      <c r="Y239" s="44"/>
      <c r="Z239" s="44"/>
      <c r="AA239" s="44"/>
      <c r="AB239" s="44"/>
      <c r="AC239" s="44"/>
    </row>
    <row r="240" spans="1:29" ht="18" customHeight="1">
      <c r="B240" s="12" t="s">
        <v>174</v>
      </c>
      <c r="C240" s="42"/>
      <c r="D240" s="42"/>
      <c r="E240" s="42"/>
      <c r="G240" s="51" t="s">
        <v>175</v>
      </c>
      <c r="H240" s="13" t="s">
        <v>11787</v>
      </c>
      <c r="I240" s="16"/>
      <c r="J240" s="17"/>
      <c r="K240" s="43"/>
      <c r="L240" s="44"/>
      <c r="M240" s="44"/>
      <c r="N240" s="44"/>
      <c r="O240" s="44"/>
      <c r="P240" s="44"/>
      <c r="Q240" s="44"/>
      <c r="R240" s="44"/>
      <c r="S240" s="44"/>
      <c r="T240" s="44"/>
      <c r="U240" s="44"/>
      <c r="V240" s="44"/>
      <c r="W240" s="44"/>
      <c r="X240" s="44"/>
      <c r="Y240" s="44"/>
      <c r="Z240" s="44"/>
      <c r="AA240" s="44"/>
      <c r="AB240" s="44"/>
      <c r="AC240" s="44"/>
    </row>
    <row r="241" spans="1:29" ht="18" customHeight="1">
      <c r="B241" s="12" t="s">
        <v>176</v>
      </c>
      <c r="C241" s="42"/>
      <c r="D241" s="42"/>
      <c r="E241" s="42"/>
      <c r="G241" s="51" t="s">
        <v>177</v>
      </c>
      <c r="H241" s="13" t="s">
        <v>11787</v>
      </c>
      <c r="I241" s="16"/>
      <c r="J241" s="17"/>
      <c r="K241" s="43"/>
      <c r="L241" s="44"/>
      <c r="M241" s="44"/>
      <c r="N241" s="44"/>
      <c r="O241" s="44"/>
      <c r="P241" s="44"/>
      <c r="Q241" s="44"/>
      <c r="R241" s="44"/>
      <c r="S241" s="44"/>
      <c r="T241" s="44"/>
      <c r="U241" s="44"/>
      <c r="V241" s="44"/>
      <c r="W241" s="44"/>
      <c r="X241" s="44"/>
      <c r="Y241" s="44"/>
      <c r="Z241" s="44"/>
      <c r="AA241" s="44"/>
      <c r="AB241" s="44"/>
      <c r="AC241" s="44"/>
    </row>
    <row r="242" spans="1:29" ht="18" customHeight="1">
      <c r="B242" s="12" t="s">
        <v>178</v>
      </c>
      <c r="C242" s="42"/>
      <c r="D242" s="42"/>
      <c r="E242" s="42"/>
      <c r="G242" s="51" t="s">
        <v>179</v>
      </c>
      <c r="H242" s="13" t="s">
        <v>11787</v>
      </c>
      <c r="I242" s="16"/>
      <c r="J242" s="17"/>
      <c r="K242" s="43"/>
      <c r="L242" s="44"/>
      <c r="M242" s="44"/>
      <c r="N242" s="44"/>
      <c r="O242" s="44"/>
      <c r="P242" s="44"/>
      <c r="Q242" s="44"/>
      <c r="R242" s="44"/>
      <c r="S242" s="44"/>
      <c r="T242" s="44"/>
      <c r="U242" s="44"/>
      <c r="V242" s="44"/>
      <c r="W242" s="44"/>
      <c r="X242" s="44"/>
      <c r="Y242" s="44"/>
      <c r="Z242" s="44"/>
      <c r="AA242" s="44"/>
      <c r="AB242" s="44"/>
      <c r="AC242" s="44"/>
    </row>
    <row r="243" spans="1:29" ht="18" customHeight="1">
      <c r="B243" s="12" t="s">
        <v>180</v>
      </c>
      <c r="C243" s="42"/>
      <c r="D243" s="42"/>
      <c r="E243" s="42"/>
      <c r="G243" s="51" t="s">
        <v>181</v>
      </c>
      <c r="H243" s="13" t="s">
        <v>11787</v>
      </c>
      <c r="I243" s="16"/>
      <c r="J243" s="17"/>
      <c r="K243" s="43"/>
      <c r="L243" s="44"/>
      <c r="M243" s="44"/>
      <c r="N243" s="44"/>
      <c r="O243" s="44"/>
      <c r="P243" s="44"/>
      <c r="Q243" s="44"/>
      <c r="R243" s="44"/>
      <c r="S243" s="44"/>
      <c r="T243" s="44"/>
      <c r="U243" s="44"/>
      <c r="V243" s="44"/>
      <c r="W243" s="44"/>
      <c r="X243" s="44"/>
      <c r="Y243" s="44"/>
      <c r="Z243" s="44"/>
      <c r="AA243" s="44"/>
      <c r="AB243" s="44"/>
      <c r="AC243" s="44"/>
    </row>
    <row r="245" spans="1:29" s="10" customFormat="1" ht="18" customHeight="1">
      <c r="A245" s="11"/>
      <c r="B245" s="11"/>
      <c r="C245" s="11" t="s">
        <v>182</v>
      </c>
      <c r="D245" s="11"/>
      <c r="E245" s="11"/>
      <c r="F245" s="11"/>
      <c r="G245" s="11"/>
      <c r="L245" s="45"/>
    </row>
    <row r="246" spans="1:29" s="10" customFormat="1" ht="18" customHeight="1">
      <c r="A246" s="11"/>
      <c r="B246" s="11"/>
      <c r="C246" s="11"/>
      <c r="D246" s="11"/>
      <c r="E246" s="11"/>
      <c r="F246" s="11"/>
      <c r="G246" s="11"/>
      <c r="I246" s="10" t="s">
        <v>183</v>
      </c>
      <c r="J246" s="22" t="str">
        <f>IF(owner_name1="","",SUBSTITUTE(SUBSTITUTE(owner_name1,"　"," "),"   ",CHAR(10)))</f>
        <v>宮脇 宣綱</v>
      </c>
    </row>
    <row r="247" spans="1:29" s="10" customFormat="1" ht="18" customHeight="1">
      <c r="A247" s="12"/>
      <c r="B247" s="12"/>
      <c r="C247" s="12"/>
      <c r="D247" s="11"/>
      <c r="E247" s="12"/>
      <c r="F247" s="12"/>
      <c r="G247" s="11"/>
      <c r="I247" s="9" t="s">
        <v>184</v>
      </c>
      <c r="J247" s="22" t="str">
        <f>IF(owner_name1="","",owner_name1&amp;" 様")</f>
        <v>宮脇　宣綱 様</v>
      </c>
      <c r="L247" s="45" t="s">
        <v>185</v>
      </c>
    </row>
    <row r="248" spans="1:29" s="10" customFormat="1" ht="18" customHeight="1">
      <c r="A248" s="12"/>
      <c r="B248" s="12"/>
      <c r="C248" s="12"/>
      <c r="D248" s="11"/>
      <c r="E248" s="12"/>
      <c r="F248" s="12"/>
      <c r="G248" s="11"/>
      <c r="I248" s="10" t="s">
        <v>186</v>
      </c>
      <c r="J248" s="22" t="str">
        <f>IF(owner_name1="","",owner_name1&amp;" 様")</f>
        <v>宮脇　宣綱 様</v>
      </c>
      <c r="K248" s="18"/>
      <c r="L248" s="45" t="s">
        <v>187</v>
      </c>
    </row>
    <row r="249" spans="1:29" s="10" customFormat="1" ht="18" customHeight="1">
      <c r="A249" s="12"/>
      <c r="B249" s="12"/>
      <c r="C249" s="12"/>
      <c r="D249" s="11"/>
      <c r="E249" s="12"/>
      <c r="F249" s="12"/>
      <c r="G249" s="11"/>
      <c r="I249" s="10" t="s">
        <v>188</v>
      </c>
      <c r="J249" s="22" t="str">
        <f>IF(owner_name1="","",SUBSTITUTE(SUBSTITUTE(owner_name1,"　"," "),"   ",CHAR(10))&amp;" 様")</f>
        <v>宮脇 宣綱 様</v>
      </c>
      <c r="K249" s="18"/>
      <c r="L249" s="45" t="s">
        <v>189</v>
      </c>
    </row>
    <row r="250" spans="1:29" s="10" customFormat="1" ht="18" customHeight="1">
      <c r="A250" s="11"/>
      <c r="B250" s="11"/>
      <c r="C250" s="11" t="s">
        <v>190</v>
      </c>
      <c r="D250" s="11"/>
      <c r="E250" s="11"/>
      <c r="F250" s="11"/>
      <c r="G250" s="11"/>
      <c r="L250" s="45"/>
    </row>
    <row r="251" spans="1:29" s="10" customFormat="1" ht="18" customHeight="1">
      <c r="A251" s="11"/>
      <c r="B251" s="11"/>
      <c r="C251" s="11"/>
      <c r="D251" s="11"/>
      <c r="E251" s="11"/>
      <c r="F251" s="11"/>
      <c r="G251" s="11"/>
      <c r="I251" s="10" t="s">
        <v>191</v>
      </c>
      <c r="J251" s="22" t="str">
        <f>IF(owner_name2="","",SUBSTITUTE(SUBSTITUTE(owner_name2,"　"," "),"   ",CHAR(10)))</f>
        <v/>
      </c>
      <c r="L251" s="45"/>
    </row>
    <row r="252" spans="1:29" s="47" customFormat="1" ht="18" customHeight="1">
      <c r="A252" s="46"/>
      <c r="B252" s="46"/>
      <c r="C252" s="46"/>
      <c r="D252" s="46"/>
      <c r="E252" s="46"/>
      <c r="F252" s="46"/>
      <c r="G252" s="46"/>
      <c r="I252" s="47" t="s">
        <v>192</v>
      </c>
      <c r="J252" s="22" t="str">
        <f>IF(owner_name2="","",owner_name2&amp;" 様")</f>
        <v/>
      </c>
      <c r="K252" s="48"/>
      <c r="L252" s="45" t="s">
        <v>185</v>
      </c>
    </row>
    <row r="253" spans="1:29" s="18" customFormat="1" ht="18" customHeight="1">
      <c r="A253" s="14"/>
      <c r="B253" s="5"/>
      <c r="C253" s="5"/>
      <c r="D253" s="14"/>
      <c r="E253" s="5"/>
      <c r="F253" s="5"/>
      <c r="G253" s="14"/>
      <c r="I253" s="10" t="s">
        <v>193</v>
      </c>
      <c r="J253" s="22" t="str">
        <f>IF(owner_name2="","",owner_name2&amp;" 様")</f>
        <v/>
      </c>
      <c r="L253" s="45" t="s">
        <v>187</v>
      </c>
      <c r="O253" s="503"/>
      <c r="P253" s="503"/>
      <c r="Q253" s="503"/>
      <c r="R253" s="503"/>
      <c r="S253" s="503"/>
      <c r="T253" s="503"/>
      <c r="U253" s="503"/>
      <c r="V253" s="503"/>
      <c r="W253" s="503"/>
      <c r="X253" s="503"/>
      <c r="Y253" s="503"/>
      <c r="Z253" s="503"/>
      <c r="AA253" s="503"/>
      <c r="AB253" s="503"/>
      <c r="AC253" s="503"/>
    </row>
    <row r="254" spans="1:29" s="18" customFormat="1" ht="18" customHeight="1">
      <c r="A254" s="14"/>
      <c r="B254" s="5"/>
      <c r="C254" s="5"/>
      <c r="D254" s="14"/>
      <c r="E254" s="5"/>
      <c r="F254" s="5"/>
      <c r="G254" s="14"/>
      <c r="I254" s="10" t="s">
        <v>194</v>
      </c>
      <c r="J254" s="22" t="str">
        <f>IF(owner_name2="","",SUBSTITUTE(SUBSTITUTE(owner_name2,"　"," "),"   ",CHAR(10))&amp;" 様")</f>
        <v/>
      </c>
      <c r="L254" s="45" t="s">
        <v>189</v>
      </c>
      <c r="O254" s="503"/>
      <c r="P254" s="503"/>
      <c r="Q254" s="503"/>
      <c r="R254" s="503"/>
      <c r="S254" s="503"/>
      <c r="T254" s="503"/>
      <c r="U254" s="503"/>
      <c r="V254" s="503"/>
      <c r="W254" s="503"/>
      <c r="X254" s="503"/>
      <c r="Y254" s="503"/>
      <c r="Z254" s="503"/>
      <c r="AA254" s="503"/>
      <c r="AB254" s="503"/>
      <c r="AC254" s="503"/>
    </row>
    <row r="255" spans="1:29" s="10" customFormat="1" ht="18" customHeight="1">
      <c r="A255" s="11"/>
      <c r="B255" s="11"/>
      <c r="C255" s="11" t="s">
        <v>195</v>
      </c>
      <c r="D255" s="11"/>
      <c r="E255" s="11"/>
      <c r="F255" s="11"/>
      <c r="G255" s="11"/>
      <c r="L255" s="45"/>
    </row>
    <row r="256" spans="1:29" s="10" customFormat="1" ht="18" customHeight="1">
      <c r="A256" s="11"/>
      <c r="B256" s="11"/>
      <c r="C256" s="11"/>
      <c r="D256" s="11"/>
      <c r="E256" s="11"/>
      <c r="F256" s="11"/>
      <c r="G256" s="11"/>
      <c r="I256" s="10" t="s">
        <v>196</v>
      </c>
      <c r="J256" s="22" t="str">
        <f>IF(owner_name3="","",SUBSTITUTE(SUBSTITUTE(owner_name3,"　"," "),"   ",CHAR(10)))</f>
        <v/>
      </c>
      <c r="L256" s="45"/>
    </row>
    <row r="257" spans="1:29" s="10" customFormat="1" ht="18" customHeight="1">
      <c r="A257" s="11"/>
      <c r="B257" s="11"/>
      <c r="C257" s="11"/>
      <c r="D257" s="11"/>
      <c r="E257" s="11"/>
      <c r="F257" s="11"/>
      <c r="G257" s="11"/>
      <c r="I257" s="10" t="s">
        <v>197</v>
      </c>
      <c r="J257" s="22" t="str">
        <f>IF(owner_name3="","",owner_name3&amp;" 様")</f>
        <v/>
      </c>
      <c r="L257" s="45" t="s">
        <v>185</v>
      </c>
    </row>
    <row r="258" spans="1:29" s="18" customFormat="1" ht="18" customHeight="1">
      <c r="A258" s="14"/>
      <c r="B258" s="5"/>
      <c r="C258" s="5"/>
      <c r="D258" s="14"/>
      <c r="E258" s="5"/>
      <c r="F258" s="5"/>
      <c r="G258" s="14"/>
      <c r="I258" s="16" t="s">
        <v>198</v>
      </c>
      <c r="J258" s="22" t="str">
        <f>IF(owner_name3="","",owner_name3&amp;" 様")</f>
        <v/>
      </c>
      <c r="L258" s="45" t="s">
        <v>187</v>
      </c>
      <c r="O258" s="503"/>
      <c r="P258" s="503"/>
      <c r="Q258" s="503"/>
      <c r="R258" s="503"/>
      <c r="S258" s="503"/>
      <c r="T258" s="503"/>
      <c r="U258" s="503"/>
      <c r="V258" s="503"/>
      <c r="W258" s="503"/>
      <c r="X258" s="503"/>
      <c r="Y258" s="503"/>
      <c r="Z258" s="503"/>
      <c r="AA258" s="503"/>
      <c r="AB258" s="503"/>
      <c r="AC258" s="503"/>
    </row>
    <row r="259" spans="1:29" s="18" customFormat="1" ht="18" customHeight="1">
      <c r="A259" s="14"/>
      <c r="B259" s="5"/>
      <c r="C259" s="5"/>
      <c r="D259" s="14"/>
      <c r="E259" s="5"/>
      <c r="F259" s="5"/>
      <c r="G259" s="14"/>
      <c r="I259" s="10" t="s">
        <v>199</v>
      </c>
      <c r="J259" s="22" t="str">
        <f>IF(owner_name3="","",SUBSTITUTE(SUBSTITUTE(owner_name3,"　"," "),"   ",CHAR(10))&amp;" 様")</f>
        <v/>
      </c>
      <c r="L259" s="45" t="s">
        <v>189</v>
      </c>
      <c r="O259" s="503"/>
      <c r="P259" s="503"/>
      <c r="Q259" s="503"/>
      <c r="R259" s="503"/>
      <c r="S259" s="503"/>
      <c r="T259" s="503"/>
      <c r="U259" s="503"/>
      <c r="V259" s="503"/>
      <c r="W259" s="503"/>
      <c r="X259" s="503"/>
      <c r="Y259" s="503"/>
      <c r="Z259" s="503"/>
      <c r="AA259" s="503"/>
      <c r="AB259" s="503"/>
      <c r="AC259" s="503"/>
    </row>
    <row r="260" spans="1:29" s="10" customFormat="1" ht="18" customHeight="1">
      <c r="A260" s="11"/>
      <c r="B260" s="11"/>
      <c r="C260" s="11" t="s">
        <v>200</v>
      </c>
      <c r="D260" s="11"/>
      <c r="E260" s="11"/>
      <c r="F260" s="11"/>
      <c r="G260" s="11"/>
      <c r="L260" s="45"/>
    </row>
    <row r="261" spans="1:29" s="10" customFormat="1" ht="18" customHeight="1">
      <c r="A261" s="11"/>
      <c r="B261" s="11"/>
      <c r="C261" s="11"/>
      <c r="D261" s="11"/>
      <c r="E261" s="11"/>
      <c r="F261" s="11"/>
      <c r="G261" s="11"/>
      <c r="I261" s="10" t="s">
        <v>201</v>
      </c>
      <c r="J261" s="22" t="str">
        <f>IF(owner_name4="","",owner_name4&amp;" 様")</f>
        <v/>
      </c>
      <c r="L261" s="45" t="s">
        <v>185</v>
      </c>
    </row>
    <row r="262" spans="1:29" s="18" customFormat="1" ht="18" customHeight="1">
      <c r="A262" s="14"/>
      <c r="B262" s="5"/>
      <c r="C262" s="5"/>
      <c r="D262" s="14"/>
      <c r="E262" s="5"/>
      <c r="F262" s="5"/>
      <c r="G262" s="14"/>
      <c r="I262" s="10" t="s">
        <v>202</v>
      </c>
      <c r="J262" s="22" t="str">
        <f>IF(owner_name4="","",SUBSTITUTE(SUBSTITUTE(owner_name4,"　"," "),"   ",CHAR(10)))</f>
        <v/>
      </c>
      <c r="L262" s="45" t="s">
        <v>203</v>
      </c>
      <c r="O262" s="503"/>
      <c r="P262" s="503"/>
      <c r="Q262" s="503"/>
      <c r="R262" s="503"/>
      <c r="S262" s="503"/>
      <c r="T262" s="503"/>
      <c r="U262" s="503"/>
      <c r="V262" s="503"/>
      <c r="W262" s="503"/>
      <c r="X262" s="503"/>
      <c r="Y262" s="503"/>
      <c r="Z262" s="503"/>
      <c r="AA262" s="503"/>
      <c r="AB262" s="503"/>
      <c r="AC262" s="503"/>
    </row>
    <row r="263" spans="1:29" s="18" customFormat="1" ht="18" customHeight="1">
      <c r="A263" s="14"/>
      <c r="B263" s="5"/>
      <c r="C263" s="5"/>
      <c r="D263" s="14"/>
      <c r="E263" s="5"/>
      <c r="F263" s="5"/>
      <c r="G263" s="14"/>
      <c r="I263" s="16" t="s">
        <v>204</v>
      </c>
      <c r="J263" s="22" t="str">
        <f>IF(owner_name4="","",owner_name4&amp;" 様")</f>
        <v/>
      </c>
      <c r="L263" s="45" t="s">
        <v>187</v>
      </c>
      <c r="O263" s="503"/>
      <c r="P263" s="503"/>
      <c r="Q263" s="503"/>
      <c r="R263" s="503"/>
      <c r="S263" s="503"/>
      <c r="T263" s="503"/>
      <c r="U263" s="503"/>
      <c r="V263" s="503"/>
      <c r="W263" s="503"/>
      <c r="X263" s="503"/>
      <c r="Y263" s="503"/>
      <c r="Z263" s="503"/>
      <c r="AA263" s="503"/>
      <c r="AB263" s="503"/>
      <c r="AC263" s="503"/>
    </row>
    <row r="264" spans="1:29" s="18" customFormat="1" ht="18" customHeight="1">
      <c r="A264" s="14"/>
      <c r="B264" s="5"/>
      <c r="C264" s="5"/>
      <c r="D264" s="14"/>
      <c r="E264" s="5"/>
      <c r="F264" s="5"/>
      <c r="G264" s="14"/>
      <c r="I264" s="10" t="s">
        <v>205</v>
      </c>
      <c r="J264" s="22" t="str">
        <f>IF(owner_name4="","",SUBSTITUTE(SUBSTITUTE(owner_name4,"　"," "),"   ",CHAR(10))&amp;" 様")</f>
        <v/>
      </c>
      <c r="L264" s="45" t="s">
        <v>189</v>
      </c>
      <c r="O264" s="503"/>
      <c r="P264" s="503"/>
      <c r="Q264" s="503"/>
      <c r="R264" s="503"/>
      <c r="S264" s="503"/>
      <c r="T264" s="503"/>
      <c r="U264" s="503"/>
      <c r="V264" s="503"/>
      <c r="W264" s="503"/>
      <c r="X264" s="503"/>
      <c r="Y264" s="503"/>
      <c r="Z264" s="503"/>
      <c r="AA264" s="503"/>
      <c r="AB264" s="503"/>
      <c r="AC264" s="503"/>
    </row>
    <row r="265" spans="1:29" s="10" customFormat="1" ht="18" customHeight="1">
      <c r="A265" s="11"/>
      <c r="B265" s="11"/>
      <c r="C265" s="11" t="s">
        <v>206</v>
      </c>
      <c r="D265" s="11"/>
      <c r="E265" s="11"/>
      <c r="F265" s="11"/>
      <c r="G265" s="11"/>
      <c r="L265" s="45"/>
    </row>
    <row r="266" spans="1:29" s="10" customFormat="1" ht="18" customHeight="1">
      <c r="A266" s="11"/>
      <c r="B266" s="11"/>
      <c r="C266" s="11"/>
      <c r="D266" s="11"/>
      <c r="E266" s="11"/>
      <c r="F266" s="11"/>
      <c r="G266" s="11"/>
      <c r="I266" s="10" t="s">
        <v>207</v>
      </c>
      <c r="J266" s="22" t="str">
        <f>IF(owner_name5="","",owner_name5&amp;" 様")</f>
        <v/>
      </c>
      <c r="K266" s="10" t="s">
        <v>185</v>
      </c>
      <c r="L266" s="45"/>
    </row>
    <row r="267" spans="1:29" s="18" customFormat="1" ht="18" customHeight="1">
      <c r="A267" s="14"/>
      <c r="B267" s="5"/>
      <c r="C267" s="5"/>
      <c r="D267" s="14"/>
      <c r="E267" s="5"/>
      <c r="F267" s="5"/>
      <c r="G267" s="14"/>
      <c r="I267" s="10" t="s">
        <v>208</v>
      </c>
      <c r="J267" s="22" t="str">
        <f>IF(owner_name5="","",SUBSTITUTE(SUBSTITUTE(owner_name5,"　"," "),"   ",CHAR(10)))</f>
        <v/>
      </c>
      <c r="L267" s="45" t="s">
        <v>203</v>
      </c>
      <c r="O267" s="503"/>
      <c r="P267" s="503"/>
      <c r="Q267" s="503"/>
      <c r="R267" s="503"/>
      <c r="S267" s="503"/>
      <c r="T267" s="503"/>
      <c r="U267" s="503"/>
      <c r="V267" s="503"/>
      <c r="W267" s="503"/>
      <c r="X267" s="503"/>
      <c r="Y267" s="503"/>
      <c r="Z267" s="503"/>
      <c r="AA267" s="503"/>
      <c r="AB267" s="503"/>
      <c r="AC267" s="503"/>
    </row>
    <row r="268" spans="1:29" s="18" customFormat="1" ht="18" customHeight="1">
      <c r="A268" s="14"/>
      <c r="B268" s="5"/>
      <c r="C268" s="5"/>
      <c r="D268" s="14"/>
      <c r="E268" s="5"/>
      <c r="F268" s="5"/>
      <c r="G268" s="14"/>
      <c r="I268" s="16" t="s">
        <v>209</v>
      </c>
      <c r="J268" s="22" t="str">
        <f>IF(owner_name5="","",owner_name5&amp;" 様")</f>
        <v/>
      </c>
      <c r="L268" s="45" t="s">
        <v>187</v>
      </c>
      <c r="O268" s="503"/>
      <c r="P268" s="503"/>
      <c r="Q268" s="503"/>
      <c r="R268" s="503"/>
      <c r="S268" s="503"/>
      <c r="T268" s="503"/>
      <c r="U268" s="503"/>
      <c r="V268" s="503"/>
      <c r="W268" s="503"/>
      <c r="X268" s="503"/>
      <c r="Y268" s="503"/>
      <c r="Z268" s="503"/>
      <c r="AA268" s="503"/>
      <c r="AB268" s="503"/>
      <c r="AC268" s="503"/>
    </row>
    <row r="269" spans="1:29" s="18" customFormat="1" ht="18" customHeight="1">
      <c r="A269" s="14"/>
      <c r="B269" s="5"/>
      <c r="C269" s="5"/>
      <c r="D269" s="14"/>
      <c r="E269" s="5"/>
      <c r="F269" s="5"/>
      <c r="G269" s="14"/>
      <c r="I269" s="10" t="s">
        <v>210</v>
      </c>
      <c r="J269" s="22" t="str">
        <f>IF(owner_name5="","",SUBSTITUTE(SUBSTITUTE(owner_name5,"　"," "),"   ",CHAR(10))&amp;" 様")</f>
        <v/>
      </c>
      <c r="L269" s="45" t="s">
        <v>189</v>
      </c>
      <c r="O269" s="503"/>
      <c r="P269" s="503"/>
      <c r="Q269" s="503"/>
      <c r="R269" s="503"/>
      <c r="S269" s="503"/>
      <c r="T269" s="503"/>
      <c r="U269" s="503"/>
      <c r="V269" s="503"/>
      <c r="W269" s="503"/>
      <c r="X269" s="503"/>
      <c r="Y269" s="503"/>
      <c r="Z269" s="503"/>
      <c r="AA269" s="503"/>
      <c r="AB269" s="503"/>
      <c r="AC269" s="503"/>
    </row>
    <row r="270" spans="1:29" s="10" customFormat="1" ht="18" customHeight="1">
      <c r="A270" s="11"/>
      <c r="B270" s="11"/>
      <c r="C270" s="11" t="s">
        <v>211</v>
      </c>
      <c r="D270" s="11"/>
      <c r="E270" s="11"/>
      <c r="F270" s="11"/>
      <c r="G270" s="11"/>
      <c r="L270" s="45"/>
    </row>
    <row r="271" spans="1:29" s="10" customFormat="1" ht="18" customHeight="1">
      <c r="A271" s="11"/>
      <c r="B271" s="11"/>
      <c r="C271" s="11"/>
      <c r="D271" s="11"/>
      <c r="E271" s="11"/>
      <c r="F271" s="11"/>
      <c r="G271" s="11"/>
      <c r="I271" s="10" t="s">
        <v>212</v>
      </c>
      <c r="J271" s="22" t="str">
        <f>IF(owner_name6="","",owner_name6&amp;" 様")</f>
        <v/>
      </c>
      <c r="K271" s="10" t="s">
        <v>185</v>
      </c>
      <c r="L271" s="45"/>
    </row>
    <row r="272" spans="1:29" s="18" customFormat="1" ht="18" customHeight="1">
      <c r="A272" s="14"/>
      <c r="B272" s="5"/>
      <c r="C272" s="5"/>
      <c r="D272" s="14"/>
      <c r="E272" s="5"/>
      <c r="F272" s="5"/>
      <c r="G272" s="14"/>
      <c r="I272" s="10" t="s">
        <v>213</v>
      </c>
      <c r="J272" s="22" t="str">
        <f>IF(owner_name6="","",SUBSTITUTE(SUBSTITUTE(owner_name6,"　"," "),"   ",CHAR(10)))</f>
        <v/>
      </c>
      <c r="L272" s="45" t="s">
        <v>203</v>
      </c>
      <c r="O272" s="503"/>
      <c r="P272" s="503"/>
      <c r="Q272" s="503"/>
      <c r="R272" s="503"/>
      <c r="S272" s="503"/>
      <c r="T272" s="503"/>
      <c r="U272" s="503"/>
      <c r="V272" s="503"/>
      <c r="W272" s="503"/>
      <c r="X272" s="503"/>
      <c r="Y272" s="503"/>
      <c r="Z272" s="503"/>
      <c r="AA272" s="503"/>
      <c r="AB272" s="503"/>
      <c r="AC272" s="503"/>
    </row>
    <row r="273" spans="1:29" s="18" customFormat="1" ht="18" customHeight="1">
      <c r="A273" s="14"/>
      <c r="B273" s="5"/>
      <c r="C273" s="5"/>
      <c r="D273" s="14"/>
      <c r="E273" s="5"/>
      <c r="F273" s="5"/>
      <c r="G273" s="14"/>
      <c r="I273" s="16" t="s">
        <v>214</v>
      </c>
      <c r="J273" s="22" t="str">
        <f>IF(owner_name6="","",owner_name6&amp;" 様")</f>
        <v/>
      </c>
      <c r="L273" s="45" t="s">
        <v>187</v>
      </c>
      <c r="O273" s="503"/>
      <c r="P273" s="503"/>
      <c r="Q273" s="503"/>
      <c r="R273" s="503"/>
      <c r="S273" s="503"/>
      <c r="T273" s="503"/>
      <c r="U273" s="503"/>
      <c r="V273" s="503"/>
      <c r="W273" s="503"/>
      <c r="X273" s="503"/>
      <c r="Y273" s="503"/>
      <c r="Z273" s="503"/>
      <c r="AA273" s="503"/>
      <c r="AB273" s="503"/>
      <c r="AC273" s="503"/>
    </row>
    <row r="274" spans="1:29" s="18" customFormat="1" ht="18" customHeight="1">
      <c r="A274" s="5"/>
      <c r="B274" s="5"/>
      <c r="C274" s="5"/>
      <c r="D274" s="14"/>
      <c r="E274" s="5"/>
      <c r="F274" s="5"/>
      <c r="G274" s="14"/>
      <c r="I274" s="10" t="s">
        <v>215</v>
      </c>
      <c r="J274" s="22" t="str">
        <f>IF(owner_name6="","",SUBSTITUTE(SUBSTITUTE(owner_name6,"　"," "),"   ",CHAR(10))&amp;" 様")</f>
        <v/>
      </c>
      <c r="L274" s="45" t="s">
        <v>189</v>
      </c>
      <c r="O274" s="503"/>
      <c r="P274" s="503"/>
      <c r="Q274" s="503"/>
      <c r="R274" s="503"/>
      <c r="S274" s="503"/>
      <c r="T274" s="503"/>
      <c r="U274" s="503"/>
      <c r="V274" s="503"/>
      <c r="W274" s="503"/>
      <c r="X274" s="503"/>
      <c r="Y274" s="503"/>
      <c r="Z274" s="503"/>
      <c r="AA274" s="503"/>
      <c r="AB274" s="503"/>
      <c r="AC274" s="503"/>
    </row>
    <row r="275" spans="1:29" s="10" customFormat="1" ht="18" customHeight="1">
      <c r="A275" s="11"/>
      <c r="B275" s="11"/>
      <c r="C275" s="11"/>
      <c r="D275" s="11"/>
      <c r="E275" s="11"/>
      <c r="F275" s="11"/>
      <c r="G275" s="11"/>
      <c r="M275" s="45"/>
      <c r="N275" s="45"/>
    </row>
    <row r="276" spans="1:29" ht="18" customHeight="1">
      <c r="B276" s="5" t="s">
        <v>216</v>
      </c>
      <c r="G276" s="5"/>
      <c r="I276" s="7" t="s">
        <v>217</v>
      </c>
      <c r="J276" s="28" t="str">
        <f>cst_owner_name1__add_sp3code_sama&amp;CHAR(10)&amp;cst_owner_name2__add_sp3code_sama&amp;CHAR(10)&amp;cst_owner_name3__add_sp3code_sama&amp;CHAR(10)&amp;cst_owner_name4__add_sp3code_sama&amp;CHAR(10)&amp;cst_owner_name5__add_sp3code_sama&amp;CHAR(10)&amp;cst_owner_name6__add_sp3code_sama</f>
        <v xml:space="preserve">宮脇 宣綱 様
</v>
      </c>
      <c r="K276" s="7" t="s">
        <v>218</v>
      </c>
    </row>
    <row r="277" spans="1:29" ht="18" customHeight="1">
      <c r="B277" s="5" t="s">
        <v>219</v>
      </c>
      <c r="G277" s="5"/>
      <c r="I277" s="7" t="s">
        <v>220</v>
      </c>
      <c r="J277" s="28" t="str">
        <f>cst_owner_name1__add_sp3code&amp;CHAR(10)&amp;cst_owner_name2__add_sp3code&amp;CHAR(10)&amp;cst_owner_name3__add_sp3code&amp;CHAR(10)&amp;cst_owner_name4__add_sp3code&amp;CHAR(10)&amp;cst_owner_name5__add_sp3code&amp;CHAR(10)&amp;cst_owner_name6__add_sp3code</f>
        <v xml:space="preserve">宮脇 宣綱
</v>
      </c>
      <c r="K277" s="7" t="s">
        <v>218</v>
      </c>
    </row>
    <row r="278" spans="1:29" ht="18" customHeight="1">
      <c r="I278" s="49"/>
    </row>
    <row r="279" spans="1:29" ht="18" customHeight="1">
      <c r="I279" s="49"/>
    </row>
    <row r="280" spans="1:29" ht="18" customHeight="1">
      <c r="I280" s="49"/>
    </row>
    <row r="281" spans="1:29" ht="18" customHeight="1">
      <c r="A281" s="5" t="s">
        <v>221</v>
      </c>
      <c r="I281" s="49"/>
    </row>
    <row r="282" spans="1:29" ht="18" customHeight="1">
      <c r="E282" s="5" t="s">
        <v>2766</v>
      </c>
      <c r="G282" s="6" t="s">
        <v>1760</v>
      </c>
      <c r="H282" s="40" t="s">
        <v>11803</v>
      </c>
      <c r="I282" s="7" t="s">
        <v>534</v>
      </c>
      <c r="J282" s="28" t="str">
        <f>IF(shinsei_APPLICANT_CORP="","",shinsei_APPLICANT_CORP)</f>
        <v>フジ住宅株式会社</v>
      </c>
    </row>
    <row r="283" spans="1:29" ht="18" customHeight="1">
      <c r="E283" s="5" t="s">
        <v>222</v>
      </c>
      <c r="G283" s="6" t="s">
        <v>1761</v>
      </c>
      <c r="H283" s="40" t="s">
        <v>11805</v>
      </c>
      <c r="I283" s="7" t="s">
        <v>535</v>
      </c>
      <c r="J283" s="28" t="str">
        <f>IF(shinsei_APPLICANT_NAME_KANA="","",shinsei_APPLICANT_NAME_KANA)</f>
        <v>ﾐﾔﾜｷ ﾉﾌﾞﾂﾅ</v>
      </c>
    </row>
    <row r="284" spans="1:29" ht="18" customHeight="1">
      <c r="E284" s="5" t="s">
        <v>223</v>
      </c>
      <c r="G284" s="6" t="s">
        <v>1762</v>
      </c>
      <c r="H284" s="40" t="s">
        <v>11806</v>
      </c>
      <c r="I284" s="7" t="s">
        <v>536</v>
      </c>
      <c r="J284" s="28" t="str">
        <f>IF(shinsei_APPLICANT_POST="","",shinsei_APPLICANT_POST)</f>
        <v>代表取締役</v>
      </c>
    </row>
    <row r="285" spans="1:29" ht="18" customHeight="1">
      <c r="E285" s="5" t="s">
        <v>224</v>
      </c>
      <c r="G285" s="6" t="s">
        <v>1763</v>
      </c>
      <c r="H285" s="40" t="s">
        <v>11804</v>
      </c>
      <c r="I285" s="7" t="s">
        <v>537</v>
      </c>
      <c r="J285" s="28" t="str">
        <f>IF(shinsei_APPLICANT_NAME="","",shinsei_APPLICANT_NAME)</f>
        <v>宮脇　宣綱</v>
      </c>
    </row>
    <row r="286" spans="1:29" ht="18" customHeight="1">
      <c r="E286" s="5" t="s">
        <v>225</v>
      </c>
      <c r="G286" s="6" t="s">
        <v>1764</v>
      </c>
      <c r="H286" s="40" t="s">
        <v>11808</v>
      </c>
      <c r="I286" s="7" t="s">
        <v>538</v>
      </c>
      <c r="J286" s="28" t="str">
        <f>IF(shinsei_APPLICANT_ZIP="","",shinsei_APPLICANT_ZIP)</f>
        <v>596-8588</v>
      </c>
    </row>
    <row r="287" spans="1:29" ht="18" customHeight="1">
      <c r="E287" s="5" t="s">
        <v>2768</v>
      </c>
      <c r="G287" s="6" t="s">
        <v>1765</v>
      </c>
      <c r="H287" s="40" t="s">
        <v>11801</v>
      </c>
      <c r="I287" s="7" t="s">
        <v>539</v>
      </c>
      <c r="J287" s="28" t="str">
        <f>IF(shinsei_APPLICANT__address="","",shinsei_APPLICANT__address)</f>
        <v>大阪府岸和田市土生町1丁目4番23号</v>
      </c>
    </row>
    <row r="288" spans="1:29" ht="18" customHeight="1">
      <c r="E288" s="5" t="s">
        <v>2771</v>
      </c>
      <c r="G288" s="6" t="s">
        <v>1766</v>
      </c>
      <c r="H288" s="40" t="s">
        <v>11807</v>
      </c>
      <c r="I288" s="7" t="s">
        <v>540</v>
      </c>
      <c r="J288" s="28" t="str">
        <f>IF(shinsei_APPLICANT_TEL="","",shinsei_APPLICANT_TEL)</f>
        <v>072-437-8700</v>
      </c>
    </row>
    <row r="289" spans="1:11" ht="18" customHeight="1">
      <c r="I289" s="49"/>
    </row>
    <row r="290" spans="1:11" s="10" customFormat="1" ht="18" customHeight="1">
      <c r="A290" s="11" t="s">
        <v>411</v>
      </c>
      <c r="B290" s="11"/>
      <c r="C290" s="11"/>
      <c r="D290" s="11"/>
      <c r="E290" s="11"/>
      <c r="F290" s="11"/>
    </row>
    <row r="291" spans="1:11" s="10" customFormat="1" ht="18" customHeight="1">
      <c r="A291" s="12"/>
      <c r="B291" s="12" t="s">
        <v>2781</v>
      </c>
      <c r="C291" s="12"/>
      <c r="D291" s="12"/>
      <c r="E291" s="12"/>
      <c r="F291" s="12"/>
      <c r="G291" s="9" t="s">
        <v>412</v>
      </c>
      <c r="H291" s="20"/>
      <c r="I291" s="10" t="s">
        <v>541</v>
      </c>
      <c r="J291" s="24" t="str">
        <f>IF(shinsei_applicant02_JIMU_NAME="","",shinsei_applicant02_JIMU_NAME)</f>
        <v/>
      </c>
      <c r="K291" s="10" t="s">
        <v>5099</v>
      </c>
    </row>
    <row r="292" spans="1:11" s="10" customFormat="1" ht="18" customHeight="1">
      <c r="A292" s="12"/>
      <c r="B292" s="12" t="s">
        <v>223</v>
      </c>
      <c r="C292" s="12"/>
      <c r="D292" s="12"/>
      <c r="E292" s="12"/>
      <c r="F292" s="12"/>
      <c r="G292" s="9" t="s">
        <v>413</v>
      </c>
      <c r="H292" s="20"/>
      <c r="I292" s="10" t="s">
        <v>542</v>
      </c>
      <c r="J292" s="24" t="str">
        <f>IF(shinsei_applicant02_POST="","",shinsei_applicant02_POST)</f>
        <v/>
      </c>
    </row>
    <row r="293" spans="1:11" s="10" customFormat="1" ht="18" customHeight="1">
      <c r="A293" s="12"/>
      <c r="B293" s="12" t="s">
        <v>414</v>
      </c>
      <c r="C293" s="12"/>
      <c r="D293" s="12"/>
      <c r="E293" s="12"/>
      <c r="F293" s="12"/>
      <c r="G293" s="9" t="s">
        <v>415</v>
      </c>
      <c r="H293" s="20"/>
      <c r="I293" s="10" t="s">
        <v>543</v>
      </c>
      <c r="J293" s="24" t="str">
        <f>IF(shinsei_applicant02_NAME="","",shinsei_applicant02_NAME)</f>
        <v/>
      </c>
      <c r="K293" s="10" t="s">
        <v>416</v>
      </c>
    </row>
    <row r="294" spans="1:11" s="10" customFormat="1" ht="18" customHeight="1">
      <c r="A294" s="12"/>
      <c r="B294" s="12" t="s">
        <v>417</v>
      </c>
      <c r="C294" s="12"/>
      <c r="D294" s="12"/>
      <c r="E294" s="12"/>
      <c r="F294" s="12"/>
      <c r="G294" s="9" t="s">
        <v>418</v>
      </c>
      <c r="H294" s="20"/>
      <c r="I294" s="10" t="s">
        <v>544</v>
      </c>
      <c r="J294" s="24" t="str">
        <f>IF(shinsei_applicant02_ZIP="","",shinsei_applicant02_ZIP)</f>
        <v/>
      </c>
      <c r="K294" s="10" t="s">
        <v>419</v>
      </c>
    </row>
    <row r="295" spans="1:11" s="10" customFormat="1" ht="18" customHeight="1">
      <c r="A295" s="12"/>
      <c r="B295" s="12" t="s">
        <v>420</v>
      </c>
      <c r="C295" s="12"/>
      <c r="D295" s="12"/>
      <c r="E295" s="12"/>
      <c r="F295" s="12"/>
      <c r="G295" s="9" t="s">
        <v>421</v>
      </c>
      <c r="H295" s="20"/>
      <c r="I295" s="10" t="s">
        <v>545</v>
      </c>
      <c r="J295" s="24" t="str">
        <f>IF(shinsei_applicant02__address="","",shinsei_applicant02__address)</f>
        <v/>
      </c>
      <c r="K295" s="10" t="s">
        <v>416</v>
      </c>
    </row>
    <row r="296" spans="1:11" s="10" customFormat="1" ht="18" customHeight="1">
      <c r="A296" s="12"/>
      <c r="B296" s="12" t="s">
        <v>422</v>
      </c>
      <c r="C296" s="12"/>
      <c r="D296" s="12"/>
      <c r="E296" s="12"/>
      <c r="F296" s="12"/>
      <c r="G296" s="9" t="s">
        <v>423</v>
      </c>
      <c r="H296" s="20"/>
      <c r="I296" s="10" t="s">
        <v>546</v>
      </c>
      <c r="J296" s="24" t="str">
        <f>IF(shinsei_applicant02_TEL="","",shinsei_applicant02_TEL)</f>
        <v/>
      </c>
      <c r="K296" s="10" t="s">
        <v>424</v>
      </c>
    </row>
    <row r="297" spans="1:11" s="47" customFormat="1" ht="18" customHeight="1">
      <c r="G297" s="116"/>
      <c r="K297" s="116"/>
    </row>
    <row r="298" spans="1:11" s="47" customFormat="1" ht="18" customHeight="1">
      <c r="A298" s="11" t="s">
        <v>425</v>
      </c>
      <c r="B298" s="11"/>
      <c r="C298" s="11"/>
      <c r="D298" s="11"/>
      <c r="E298" s="11"/>
      <c r="F298" s="11"/>
      <c r="G298" s="10"/>
      <c r="H298" s="10"/>
      <c r="I298" s="10"/>
      <c r="J298" s="10"/>
      <c r="K298" s="116"/>
    </row>
    <row r="299" spans="1:11" s="47" customFormat="1" ht="18" customHeight="1">
      <c r="A299" s="12"/>
      <c r="B299" s="12" t="s">
        <v>2781</v>
      </c>
      <c r="C299" s="12"/>
      <c r="D299" s="12"/>
      <c r="E299" s="12"/>
      <c r="F299" s="12"/>
      <c r="G299" s="9" t="s">
        <v>426</v>
      </c>
      <c r="H299" s="20"/>
      <c r="I299" s="10" t="s">
        <v>547</v>
      </c>
      <c r="J299" s="24" t="str">
        <f>IF(shinsei_applicant03_JIMU_NAME="","",shinsei_applicant03_JIMU_NAME)</f>
        <v/>
      </c>
      <c r="K299" s="116"/>
    </row>
    <row r="300" spans="1:11" s="10" customFormat="1" ht="18" customHeight="1">
      <c r="A300" s="12"/>
      <c r="B300" s="12" t="s">
        <v>223</v>
      </c>
      <c r="C300" s="12"/>
      <c r="D300" s="12"/>
      <c r="E300" s="12"/>
      <c r="F300" s="12"/>
      <c r="G300" s="9" t="s">
        <v>427</v>
      </c>
      <c r="H300" s="20"/>
      <c r="I300" s="10" t="s">
        <v>548</v>
      </c>
      <c r="J300" s="24" t="str">
        <f>IF(shinsei_applicant03_POST="","",shinsei_applicant03_POST)</f>
        <v/>
      </c>
    </row>
    <row r="301" spans="1:11" s="47" customFormat="1" ht="18" customHeight="1">
      <c r="A301" s="12"/>
      <c r="B301" s="12" t="s">
        <v>5015</v>
      </c>
      <c r="C301" s="12"/>
      <c r="D301" s="12"/>
      <c r="E301" s="12"/>
      <c r="F301" s="12"/>
      <c r="G301" s="9" t="s">
        <v>428</v>
      </c>
      <c r="H301" s="20"/>
      <c r="I301" s="10" t="s">
        <v>549</v>
      </c>
      <c r="J301" s="24" t="str">
        <f>IF(shinsei_applicant03_NAME="","",shinsei_applicant03_NAME)</f>
        <v/>
      </c>
      <c r="K301" s="116"/>
    </row>
    <row r="302" spans="1:11" s="47" customFormat="1" ht="18" customHeight="1">
      <c r="A302" s="12"/>
      <c r="B302" s="12" t="s">
        <v>2782</v>
      </c>
      <c r="C302" s="12"/>
      <c r="D302" s="12"/>
      <c r="E302" s="12"/>
      <c r="F302" s="12"/>
      <c r="G302" s="9" t="s">
        <v>429</v>
      </c>
      <c r="H302" s="20"/>
      <c r="I302" s="10" t="s">
        <v>550</v>
      </c>
      <c r="J302" s="24" t="str">
        <f>IF(shinsei_applicant03_ZIP="","",shinsei_applicant03_ZIP)</f>
        <v/>
      </c>
      <c r="K302" s="116"/>
    </row>
    <row r="303" spans="1:11" s="47" customFormat="1" ht="18" customHeight="1">
      <c r="A303" s="12"/>
      <c r="B303" s="12" t="s">
        <v>816</v>
      </c>
      <c r="C303" s="12"/>
      <c r="D303" s="12"/>
      <c r="E303" s="12"/>
      <c r="F303" s="12"/>
      <c r="G303" s="9" t="s">
        <v>430</v>
      </c>
      <c r="H303" s="20"/>
      <c r="I303" s="10" t="s">
        <v>551</v>
      </c>
      <c r="J303" s="24" t="str">
        <f>IF(shinsei_applicant03__address="","",shinsei_applicant03__address)</f>
        <v/>
      </c>
      <c r="K303" s="116"/>
    </row>
    <row r="304" spans="1:11" s="47" customFormat="1" ht="18" customHeight="1">
      <c r="A304" s="12"/>
      <c r="B304" s="12" t="s">
        <v>431</v>
      </c>
      <c r="C304" s="12"/>
      <c r="D304" s="12"/>
      <c r="E304" s="12"/>
      <c r="F304" s="12"/>
      <c r="G304" s="9" t="s">
        <v>432</v>
      </c>
      <c r="H304" s="20"/>
      <c r="I304" s="10" t="s">
        <v>552</v>
      </c>
      <c r="J304" s="24" t="str">
        <f>IF(shinsei_applicant03_TEL="","",shinsei_applicant03_TEL)</f>
        <v/>
      </c>
      <c r="K304" s="116"/>
    </row>
    <row r="305" spans="1:11" s="47" customFormat="1" ht="18" customHeight="1">
      <c r="G305" s="116"/>
      <c r="K305" s="116"/>
    </row>
    <row r="306" spans="1:11" s="47" customFormat="1" ht="18" customHeight="1">
      <c r="A306" s="11" t="s">
        <v>433</v>
      </c>
      <c r="B306" s="11"/>
      <c r="C306" s="11"/>
      <c r="D306" s="11"/>
      <c r="E306" s="11"/>
      <c r="F306" s="11"/>
      <c r="G306" s="10"/>
      <c r="H306" s="10"/>
      <c r="I306" s="10"/>
      <c r="J306" s="10"/>
      <c r="K306" s="116"/>
    </row>
    <row r="307" spans="1:11" s="47" customFormat="1" ht="18" customHeight="1">
      <c r="A307" s="12"/>
      <c r="B307" s="12" t="s">
        <v>2781</v>
      </c>
      <c r="C307" s="12"/>
      <c r="D307" s="12"/>
      <c r="E307" s="12"/>
      <c r="F307" s="12"/>
      <c r="G307" s="9" t="s">
        <v>434</v>
      </c>
      <c r="H307" s="20"/>
      <c r="I307" s="10" t="s">
        <v>553</v>
      </c>
      <c r="J307" s="24" t="str">
        <f>IF(shinsei_applicant04_JIMU_NAME="","",shinsei_applicant04_JIMU_NAME)</f>
        <v/>
      </c>
      <c r="K307" s="116"/>
    </row>
    <row r="308" spans="1:11" s="10" customFormat="1" ht="18" customHeight="1">
      <c r="A308" s="12"/>
      <c r="B308" s="12" t="s">
        <v>223</v>
      </c>
      <c r="C308" s="12"/>
      <c r="D308" s="12"/>
      <c r="E308" s="12"/>
      <c r="F308" s="12"/>
      <c r="G308" s="9" t="s">
        <v>435</v>
      </c>
      <c r="H308" s="20"/>
      <c r="I308" s="10" t="s">
        <v>554</v>
      </c>
      <c r="J308" s="24" t="str">
        <f>IF(shinsei_applicant04_POST="","",shinsei_applicant04_POST)</f>
        <v/>
      </c>
    </row>
    <row r="309" spans="1:11" s="47" customFormat="1" ht="18" customHeight="1">
      <c r="A309" s="12"/>
      <c r="B309" s="12" t="s">
        <v>5015</v>
      </c>
      <c r="C309" s="12"/>
      <c r="D309" s="12"/>
      <c r="E309" s="12"/>
      <c r="F309" s="12"/>
      <c r="G309" s="9" t="s">
        <v>436</v>
      </c>
      <c r="H309" s="20"/>
      <c r="I309" s="10" t="s">
        <v>555</v>
      </c>
      <c r="J309" s="24" t="str">
        <f>IF(shinsei_applicant04_NAME="","",shinsei_applicant04_NAME)</f>
        <v/>
      </c>
      <c r="K309" s="116"/>
    </row>
    <row r="310" spans="1:11" s="47" customFormat="1" ht="18" customHeight="1">
      <c r="A310" s="12"/>
      <c r="B310" s="12" t="s">
        <v>2782</v>
      </c>
      <c r="C310" s="12"/>
      <c r="D310" s="12"/>
      <c r="E310" s="12"/>
      <c r="F310" s="12"/>
      <c r="G310" s="9" t="s">
        <v>437</v>
      </c>
      <c r="H310" s="20"/>
      <c r="I310" s="10" t="s">
        <v>556</v>
      </c>
      <c r="J310" s="24" t="str">
        <f>IF(shinsei_applicant04_ZIP="","",shinsei_applicant04_ZIP)</f>
        <v/>
      </c>
      <c r="K310" s="116"/>
    </row>
    <row r="311" spans="1:11" s="47" customFormat="1" ht="18" customHeight="1">
      <c r="A311" s="12"/>
      <c r="B311" s="12" t="s">
        <v>438</v>
      </c>
      <c r="C311" s="12"/>
      <c r="D311" s="12"/>
      <c r="E311" s="12"/>
      <c r="F311" s="12"/>
      <c r="G311" s="9" t="s">
        <v>439</v>
      </c>
      <c r="H311" s="20"/>
      <c r="I311" s="10" t="s">
        <v>557</v>
      </c>
      <c r="J311" s="24" t="str">
        <f>IF(shinsei_applicant04__address="","",shinsei_applicant04__address)</f>
        <v/>
      </c>
      <c r="K311" s="116"/>
    </row>
    <row r="312" spans="1:11" s="47" customFormat="1" ht="18" customHeight="1">
      <c r="A312" s="12"/>
      <c r="B312" s="12" t="s">
        <v>4139</v>
      </c>
      <c r="C312" s="12"/>
      <c r="D312" s="12"/>
      <c r="E312" s="12"/>
      <c r="F312" s="12"/>
      <c r="G312" s="9" t="s">
        <v>440</v>
      </c>
      <c r="H312" s="20"/>
      <c r="I312" s="10" t="s">
        <v>558</v>
      </c>
      <c r="J312" s="24" t="str">
        <f>IF(shinsei_applicant04_TEL="","",shinsei_applicant04_TEL)</f>
        <v/>
      </c>
      <c r="K312" s="116"/>
    </row>
    <row r="313" spans="1:11" s="47" customFormat="1" ht="18" customHeight="1">
      <c r="G313" s="116"/>
      <c r="K313" s="116"/>
    </row>
    <row r="314" spans="1:11" s="47" customFormat="1" ht="18" customHeight="1">
      <c r="A314" s="11" t="s">
        <v>441</v>
      </c>
      <c r="B314" s="11"/>
      <c r="C314" s="11"/>
      <c r="D314" s="11"/>
      <c r="E314" s="11"/>
      <c r="F314" s="11"/>
      <c r="G314" s="10"/>
      <c r="H314" s="10"/>
      <c r="I314" s="10"/>
      <c r="J314" s="10"/>
      <c r="K314" s="116"/>
    </row>
    <row r="315" spans="1:11" s="47" customFormat="1" ht="18" customHeight="1">
      <c r="A315" s="12"/>
      <c r="B315" s="12" t="s">
        <v>2781</v>
      </c>
      <c r="C315" s="12"/>
      <c r="D315" s="12"/>
      <c r="E315" s="12"/>
      <c r="F315" s="12"/>
      <c r="G315" s="9" t="s">
        <v>442</v>
      </c>
      <c r="H315" s="20"/>
      <c r="I315" s="10" t="s">
        <v>559</v>
      </c>
      <c r="J315" s="24" t="str">
        <f>IF(shinsei_applicant05_JIMU_NAME="","",shinsei_applicant05_JIMU_NAME)</f>
        <v/>
      </c>
      <c r="K315" s="116"/>
    </row>
    <row r="316" spans="1:11" s="10" customFormat="1" ht="18" customHeight="1">
      <c r="A316" s="12"/>
      <c r="B316" s="12" t="s">
        <v>223</v>
      </c>
      <c r="C316" s="12"/>
      <c r="D316" s="12"/>
      <c r="E316" s="12"/>
      <c r="F316" s="12"/>
      <c r="G316" s="9" t="s">
        <v>443</v>
      </c>
      <c r="H316" s="20"/>
      <c r="I316" s="10" t="s">
        <v>560</v>
      </c>
      <c r="J316" s="24" t="str">
        <f>IF(shinsei_applicant05_POST="","",shinsei_applicant05_POST)</f>
        <v/>
      </c>
    </row>
    <row r="317" spans="1:11" s="47" customFormat="1" ht="18" customHeight="1">
      <c r="A317" s="12"/>
      <c r="B317" s="12" t="s">
        <v>5015</v>
      </c>
      <c r="C317" s="12"/>
      <c r="D317" s="12"/>
      <c r="E317" s="12"/>
      <c r="F317" s="12"/>
      <c r="G317" s="9" t="s">
        <v>444</v>
      </c>
      <c r="H317" s="20"/>
      <c r="I317" s="10" t="s">
        <v>561</v>
      </c>
      <c r="J317" s="24" t="str">
        <f>IF(shinsei_applicant05_NAME="","",shinsei_applicant05_NAME)</f>
        <v/>
      </c>
      <c r="K317" s="116"/>
    </row>
    <row r="318" spans="1:11" s="47" customFormat="1" ht="18" customHeight="1">
      <c r="A318" s="12"/>
      <c r="B318" s="12" t="s">
        <v>2782</v>
      </c>
      <c r="C318" s="12"/>
      <c r="D318" s="12"/>
      <c r="E318" s="12"/>
      <c r="F318" s="12"/>
      <c r="G318" s="9" t="s">
        <v>445</v>
      </c>
      <c r="H318" s="20"/>
      <c r="I318" s="10" t="s">
        <v>562</v>
      </c>
      <c r="J318" s="24" t="str">
        <f>IF(shinsei_applicant05_ZIP="","",shinsei_applicant05_ZIP)</f>
        <v/>
      </c>
      <c r="K318" s="116"/>
    </row>
    <row r="319" spans="1:11" s="47" customFormat="1" ht="18" customHeight="1">
      <c r="A319" s="12"/>
      <c r="B319" s="12" t="s">
        <v>816</v>
      </c>
      <c r="C319" s="12"/>
      <c r="D319" s="12"/>
      <c r="E319" s="12"/>
      <c r="F319" s="12"/>
      <c r="G319" s="9" t="s">
        <v>446</v>
      </c>
      <c r="H319" s="20"/>
      <c r="I319" s="10" t="s">
        <v>563</v>
      </c>
      <c r="J319" s="24" t="str">
        <f>IF(shinsei_applicant05__address="","",shinsei_applicant05__address)</f>
        <v/>
      </c>
      <c r="K319" s="116"/>
    </row>
    <row r="320" spans="1:11" s="47" customFormat="1" ht="18" customHeight="1">
      <c r="A320" s="12"/>
      <c r="B320" s="12" t="s">
        <v>4139</v>
      </c>
      <c r="C320" s="12"/>
      <c r="D320" s="12"/>
      <c r="E320" s="12"/>
      <c r="F320" s="12"/>
      <c r="G320" s="9" t="s">
        <v>447</v>
      </c>
      <c r="H320" s="20"/>
      <c r="I320" s="10" t="s">
        <v>564</v>
      </c>
      <c r="J320" s="24" t="str">
        <f>IF(shinsei_applicant05_TEL="","",shinsei_applicant05_TEL)</f>
        <v/>
      </c>
      <c r="K320" s="116"/>
    </row>
    <row r="321" spans="1:11" s="47" customFormat="1" ht="18" customHeight="1">
      <c r="G321" s="116"/>
      <c r="K321" s="116"/>
    </row>
    <row r="322" spans="1:11" s="47" customFormat="1" ht="18" customHeight="1">
      <c r="A322" s="11" t="s">
        <v>448</v>
      </c>
      <c r="B322" s="11"/>
      <c r="C322" s="11"/>
      <c r="D322" s="11"/>
      <c r="E322" s="11"/>
      <c r="F322" s="11"/>
      <c r="G322" s="10"/>
      <c r="H322" s="10"/>
      <c r="I322" s="10"/>
      <c r="J322" s="10"/>
      <c r="K322" s="116"/>
    </row>
    <row r="323" spans="1:11" s="47" customFormat="1" ht="18" customHeight="1">
      <c r="A323" s="12"/>
      <c r="B323" s="12" t="s">
        <v>2781</v>
      </c>
      <c r="C323" s="12"/>
      <c r="D323" s="12"/>
      <c r="E323" s="12"/>
      <c r="F323" s="12"/>
      <c r="G323" s="9" t="s">
        <v>449</v>
      </c>
      <c r="H323" s="20"/>
      <c r="I323" s="10" t="s">
        <v>565</v>
      </c>
      <c r="J323" s="24" t="str">
        <f>IF(shinsei_applicant06_JIMU_NAME="","",shinsei_applicant06_JIMU_NAME)</f>
        <v/>
      </c>
      <c r="K323" s="116"/>
    </row>
    <row r="324" spans="1:11" s="10" customFormat="1" ht="18" customHeight="1">
      <c r="A324" s="12"/>
      <c r="B324" s="12" t="s">
        <v>223</v>
      </c>
      <c r="C324" s="12"/>
      <c r="D324" s="12"/>
      <c r="E324" s="12"/>
      <c r="F324" s="12"/>
      <c r="G324" s="9" t="s">
        <v>450</v>
      </c>
      <c r="H324" s="20"/>
      <c r="I324" s="10" t="s">
        <v>566</v>
      </c>
      <c r="J324" s="24" t="str">
        <f>IF(shinsei_applicant06_POST="","",shinsei_applicant06_POST)</f>
        <v/>
      </c>
    </row>
    <row r="325" spans="1:11" s="47" customFormat="1" ht="18" customHeight="1">
      <c r="A325" s="12"/>
      <c r="B325" s="12" t="s">
        <v>5015</v>
      </c>
      <c r="C325" s="12"/>
      <c r="D325" s="12"/>
      <c r="E325" s="12"/>
      <c r="F325" s="12"/>
      <c r="G325" s="9" t="s">
        <v>451</v>
      </c>
      <c r="H325" s="20"/>
      <c r="I325" s="10" t="s">
        <v>567</v>
      </c>
      <c r="J325" s="24" t="str">
        <f>IF(shinsei_applicant06_NAME="","",shinsei_applicant06_NAME)</f>
        <v/>
      </c>
      <c r="K325" s="116"/>
    </row>
    <row r="326" spans="1:11" s="47" customFormat="1" ht="18" customHeight="1">
      <c r="A326" s="12"/>
      <c r="B326" s="12" t="s">
        <v>2782</v>
      </c>
      <c r="C326" s="12"/>
      <c r="D326" s="12"/>
      <c r="E326" s="12"/>
      <c r="F326" s="12"/>
      <c r="G326" s="9" t="s">
        <v>452</v>
      </c>
      <c r="H326" s="20"/>
      <c r="I326" s="10" t="s">
        <v>568</v>
      </c>
      <c r="J326" s="24" t="str">
        <f>IF(shinsei_applicant06_ZIP="","",shinsei_applicant06_ZIP)</f>
        <v/>
      </c>
      <c r="K326" s="116"/>
    </row>
    <row r="327" spans="1:11" s="47" customFormat="1" ht="18" customHeight="1">
      <c r="A327" s="12"/>
      <c r="B327" s="12" t="s">
        <v>816</v>
      </c>
      <c r="C327" s="12"/>
      <c r="D327" s="12"/>
      <c r="E327" s="12"/>
      <c r="F327" s="12"/>
      <c r="G327" s="9" t="s">
        <v>453</v>
      </c>
      <c r="H327" s="20"/>
      <c r="I327" s="10" t="s">
        <v>569</v>
      </c>
      <c r="J327" s="24" t="str">
        <f>IF(shinsei_applicant06__address="","",shinsei_applicant06__address)</f>
        <v/>
      </c>
      <c r="K327" s="116"/>
    </row>
    <row r="328" spans="1:11" s="47" customFormat="1" ht="18" customHeight="1">
      <c r="A328" s="12"/>
      <c r="B328" s="12" t="s">
        <v>4139</v>
      </c>
      <c r="C328" s="12"/>
      <c r="D328" s="12"/>
      <c r="E328" s="12"/>
      <c r="F328" s="12"/>
      <c r="G328" s="9" t="s">
        <v>454</v>
      </c>
      <c r="H328" s="20"/>
      <c r="I328" s="10" t="s">
        <v>570</v>
      </c>
      <c r="J328" s="24" t="str">
        <f>IF(shinsei_applicant06_TEL="","",shinsei_applicant06_TEL)</f>
        <v/>
      </c>
      <c r="K328" s="116"/>
    </row>
    <row r="329" spans="1:11" s="47" customFormat="1" ht="18" customHeight="1">
      <c r="G329" s="116"/>
      <c r="K329" s="116"/>
    </row>
    <row r="330" spans="1:11" s="47" customFormat="1" ht="18" customHeight="1">
      <c r="A330" s="11" t="s">
        <v>455</v>
      </c>
      <c r="B330" s="11"/>
      <c r="C330" s="11"/>
      <c r="D330" s="11"/>
      <c r="E330" s="11"/>
      <c r="F330" s="11"/>
      <c r="G330" s="10"/>
      <c r="H330" s="10"/>
      <c r="I330" s="10"/>
      <c r="J330" s="10"/>
      <c r="K330" s="116"/>
    </row>
    <row r="331" spans="1:11" s="47" customFormat="1" ht="18" customHeight="1">
      <c r="A331" s="12"/>
      <c r="B331" s="12" t="s">
        <v>2781</v>
      </c>
      <c r="C331" s="12"/>
      <c r="D331" s="12"/>
      <c r="E331" s="12"/>
      <c r="F331" s="12"/>
      <c r="G331" s="9" t="s">
        <v>456</v>
      </c>
      <c r="H331" s="20"/>
      <c r="I331" s="10" t="s">
        <v>571</v>
      </c>
      <c r="J331" s="24" t="str">
        <f>IF(shinsei_applicant07_JIMU_NAME="","",shinsei_applicant07_JIMU_NAME)</f>
        <v/>
      </c>
      <c r="K331" s="116"/>
    </row>
    <row r="332" spans="1:11" s="10" customFormat="1" ht="18" customHeight="1">
      <c r="A332" s="12"/>
      <c r="B332" s="12" t="s">
        <v>223</v>
      </c>
      <c r="C332" s="12"/>
      <c r="D332" s="12"/>
      <c r="E332" s="12"/>
      <c r="F332" s="12"/>
      <c r="G332" s="9" t="s">
        <v>457</v>
      </c>
      <c r="H332" s="20"/>
      <c r="I332" s="10" t="s">
        <v>572</v>
      </c>
      <c r="J332" s="24" t="str">
        <f>IF(shinsei_applicant07_POST="","",shinsei_applicant07_POST)</f>
        <v/>
      </c>
    </row>
    <row r="333" spans="1:11" s="47" customFormat="1" ht="18" customHeight="1">
      <c r="A333" s="12"/>
      <c r="B333" s="12" t="s">
        <v>458</v>
      </c>
      <c r="C333" s="12"/>
      <c r="D333" s="12"/>
      <c r="E333" s="12"/>
      <c r="F333" s="12"/>
      <c r="G333" s="9" t="s">
        <v>459</v>
      </c>
      <c r="H333" s="20"/>
      <c r="I333" s="10" t="s">
        <v>573</v>
      </c>
      <c r="J333" s="24" t="str">
        <f>IF(shinsei_applicant07_NAME="","",shinsei_applicant07_NAME)</f>
        <v/>
      </c>
      <c r="K333" s="116"/>
    </row>
    <row r="334" spans="1:11" s="47" customFormat="1" ht="18" customHeight="1">
      <c r="A334" s="12"/>
      <c r="B334" s="12" t="s">
        <v>2782</v>
      </c>
      <c r="C334" s="12"/>
      <c r="D334" s="12"/>
      <c r="E334" s="12"/>
      <c r="F334" s="12"/>
      <c r="G334" s="9" t="s">
        <v>460</v>
      </c>
      <c r="H334" s="20"/>
      <c r="I334" s="10" t="s">
        <v>574</v>
      </c>
      <c r="J334" s="24" t="str">
        <f>IF(shinsei_applicant07_ZIP="","",shinsei_applicant07_ZIP)</f>
        <v/>
      </c>
      <c r="K334" s="116"/>
    </row>
    <row r="335" spans="1:11" s="47" customFormat="1" ht="18" customHeight="1">
      <c r="A335" s="12"/>
      <c r="B335" s="12" t="s">
        <v>461</v>
      </c>
      <c r="C335" s="12"/>
      <c r="D335" s="12"/>
      <c r="E335" s="12"/>
      <c r="F335" s="12"/>
      <c r="G335" s="9" t="s">
        <v>462</v>
      </c>
      <c r="H335" s="20"/>
      <c r="I335" s="10" t="s">
        <v>575</v>
      </c>
      <c r="J335" s="24" t="str">
        <f>IF(shinsei_applicant07__address="","",shinsei_applicant07__address)</f>
        <v/>
      </c>
      <c r="K335" s="116"/>
    </row>
    <row r="336" spans="1:11" s="47" customFormat="1" ht="18" customHeight="1">
      <c r="A336" s="12"/>
      <c r="B336" s="12" t="s">
        <v>463</v>
      </c>
      <c r="C336" s="12"/>
      <c r="D336" s="12"/>
      <c r="E336" s="12"/>
      <c r="F336" s="12"/>
      <c r="G336" s="9" t="s">
        <v>464</v>
      </c>
      <c r="H336" s="20"/>
      <c r="I336" s="10" t="s">
        <v>576</v>
      </c>
      <c r="J336" s="24" t="str">
        <f>IF(shinsei_applicant07_TEL="","",shinsei_applicant07_TEL)</f>
        <v/>
      </c>
      <c r="K336" s="116"/>
    </row>
    <row r="337" spans="2:11" s="47" customFormat="1" ht="18" customHeight="1">
      <c r="G337" s="116"/>
      <c r="K337" s="116"/>
    </row>
    <row r="338" spans="2:11" s="47" customFormat="1" ht="18" customHeight="1">
      <c r="G338" s="116"/>
      <c r="K338" s="116"/>
    </row>
    <row r="339" spans="2:11" ht="18" customHeight="1">
      <c r="B339" s="5" t="s">
        <v>10827</v>
      </c>
    </row>
    <row r="340" spans="2:11" ht="18" customHeight="1">
      <c r="I340" s="49"/>
    </row>
    <row r="341" spans="2:11" ht="18" customHeight="1">
      <c r="B341" s="5" t="s">
        <v>465</v>
      </c>
      <c r="I341" s="49"/>
    </row>
    <row r="342" spans="2:11" ht="18" customHeight="1">
      <c r="I342" s="7" t="s">
        <v>226</v>
      </c>
    </row>
    <row r="343" spans="2:11" ht="18" customHeight="1">
      <c r="E343" s="5" t="s">
        <v>468</v>
      </c>
      <c r="I343" s="7" t="s">
        <v>480</v>
      </c>
      <c r="J343" s="28" t="str">
        <f>IF(shinsei_APPLICANT_CORP="","",shinsei_APPLICANT_CORP)&amp;IF(AND(shinsei_APPLICANT_CORP&lt;&gt;"",OR(shinsei_APPLICANT_POST&lt;&gt;"",shinsei_APPLICANT_NAME&lt;&gt;"")),"  ","")&amp;IF(shinsei_APPLICANT_POST="","",shinsei_APPLICANT_POST)&amp;IF(AND(shinsei_APPLICANT_POST&lt;&gt;"",shinsei_APPLICANT_NAME&lt;&gt;""),"  ","")&amp;IF(shinsei_APPLICANT_NAME="","",shinsei_APPLICANT_NAME)</f>
        <v>フジ住宅株式会社  代表取締役  宮脇　宣綱</v>
      </c>
    </row>
    <row r="344" spans="2:11" ht="18" customHeight="1">
      <c r="E344" s="5" t="s">
        <v>469</v>
      </c>
      <c r="I344" s="7" t="s">
        <v>467</v>
      </c>
      <c r="J344" s="28" t="str">
        <f>IF(shinsei_applicant02_JIMU_NAME="","",shinsei_applicant02_JIMU_NAME)&amp;IF(AND(shinsei_applicant02_JIMU_NAME&lt;&gt;"",OR(shinsei_applicant02_POST&lt;&gt;"",shinsei_applicant02_NAME&lt;&gt;"")),"  ","")&amp;IF(shinsei_applicant02_POST="","",shinsei_applicant02_POST)&amp;IF(AND(shinsei_applicant02_POST&lt;&gt;"",shinsei_applicant02_NAME&lt;&gt;""),"  ","")&amp;IF(shinsei_applicant02_NAME="","",shinsei_applicant02_NAME)</f>
        <v/>
      </c>
    </row>
    <row r="345" spans="2:11" ht="18" customHeight="1">
      <c r="E345" s="5" t="s">
        <v>470</v>
      </c>
      <c r="I345" s="7" t="s">
        <v>475</v>
      </c>
      <c r="J345" s="28" t="str">
        <f>IF(shinsei_applicant03_JIMU_NAME="","",shinsei_applicant03_JIMU_NAME)&amp;IF(AND(shinsei_applicant03_JIMU_NAME&lt;&gt;"",OR(shinsei_applicant03_POST&lt;&gt;"",shinsei_applicant03_NAME&lt;&gt;"")),"  ","")&amp;IF(shinsei_applicant03_POST="","",shinsei_applicant03_POST)&amp;IF(AND(shinsei_applicant03_POST&lt;&gt;"",shinsei_applicant03_NAME&lt;&gt;""),"  ","")&amp;IF(shinsei_applicant03_NAME="","",shinsei_applicant03_NAME)</f>
        <v/>
      </c>
    </row>
    <row r="346" spans="2:11" ht="18" customHeight="1">
      <c r="E346" s="5" t="s">
        <v>471</v>
      </c>
      <c r="I346" s="7" t="s">
        <v>476</v>
      </c>
      <c r="J346" s="28" t="str">
        <f>IF(shinsei_applicant04_JIMU_NAME="","",shinsei_applicant04_JIMU_NAME)&amp;IF(AND(shinsei_applicant04_JIMU_NAME&lt;&gt;"",OR(shinsei_applicant04_POST&lt;&gt;"",shinsei_applicant04_NAME&lt;&gt;"")),"  ","")&amp;IF(shinsei_applicant04_POST="","",shinsei_applicant04_POST)&amp;IF(AND(shinsei_applicant04_POST&lt;&gt;"",shinsei_applicant04_NAME&lt;&gt;""),"  ","")&amp;IF(shinsei_applicant04_NAME="","",shinsei_applicant04_NAME)</f>
        <v/>
      </c>
    </row>
    <row r="347" spans="2:11" ht="18" customHeight="1">
      <c r="E347" s="5" t="s">
        <v>472</v>
      </c>
      <c r="I347" s="7" t="s">
        <v>477</v>
      </c>
      <c r="J347" s="28" t="str">
        <f>IF(shinsei_applicant05_JIMU_NAME="","",shinsei_applicant05_JIMU_NAME)&amp;IF(AND(shinsei_applicant05_JIMU_NAME&lt;&gt;"",OR(shinsei_applicant05_POST&lt;&gt;"",shinsei_applicant05_NAME&lt;&gt;"")),"  ","")&amp;IF(shinsei_applicant05_POST="","",shinsei_applicant05_POST)&amp;IF(AND(shinsei_applicant05_POST&lt;&gt;"",shinsei_applicant05_NAME&lt;&gt;""),"  ","")&amp;IF(shinsei_applicant05_NAME="","",shinsei_applicant05_NAME)</f>
        <v/>
      </c>
    </row>
    <row r="348" spans="2:11" ht="18" customHeight="1">
      <c r="E348" s="5" t="s">
        <v>473</v>
      </c>
      <c r="I348" s="7" t="s">
        <v>478</v>
      </c>
      <c r="J348" s="28" t="str">
        <f>IF(shinsei_applicant06_JIMU_NAME="","",shinsei_applicant06_JIMU_NAME)&amp;IF(AND(shinsei_applicant06_JIMU_NAME&lt;&gt;"",OR(shinsei_applicant06_POST&lt;&gt;"",shinsei_applicant06_NAME&lt;&gt;"")),"  ","")&amp;IF(shinsei_applicant06_POST="","",shinsei_applicant06_POST)&amp;IF(AND(shinsei_applicant06_POST&lt;&gt;"",shinsei_applicant06_NAME&lt;&gt;""),"  ","")&amp;IF(shinsei_applicant06_NAME="","",shinsei_applicant06_NAME)</f>
        <v/>
      </c>
    </row>
    <row r="349" spans="2:11" ht="18" customHeight="1">
      <c r="E349" s="5" t="s">
        <v>474</v>
      </c>
      <c r="I349" s="7" t="s">
        <v>479</v>
      </c>
      <c r="J349" s="28" t="str">
        <f>IF(shinsei_applicant07_JIMU_NAME="","",shinsei_applicant07_JIMU_NAME)&amp;IF(AND(shinsei_applicant07_JIMU_NAME&lt;&gt;"",OR(shinsei_applicant07_POST&lt;&gt;"",shinsei_applicant07_NAME&lt;&gt;"")),"  ","")&amp;IF(shinsei_applicant07_POST="","",shinsei_applicant07_POST)&amp;IF(AND(shinsei_applicant07_POST&lt;&gt;"",shinsei_applicant07_NAME&lt;&gt;""),"  ","")&amp;IF(shinsei_applicant07_NAME="","",shinsei_applicant07_NAME)</f>
        <v/>
      </c>
    </row>
    <row r="350" spans="2:11" ht="18" customHeight="1">
      <c r="I350" s="49"/>
    </row>
    <row r="351" spans="2:11" ht="18" customHeight="1">
      <c r="B351" s="5" t="s">
        <v>466</v>
      </c>
      <c r="I351" s="49"/>
    </row>
    <row r="352" spans="2:11" ht="18" customHeight="1">
      <c r="I352" s="49"/>
    </row>
    <row r="353" spans="2:10" ht="18" customHeight="1">
      <c r="E353" s="5" t="s">
        <v>468</v>
      </c>
      <c r="I353" s="7" t="s">
        <v>482</v>
      </c>
      <c r="J353" s="28" t="str">
        <f>IF(shinsei_APPLICANT_CORP="","",shinsei_APPLICANT_CORP)&amp;IF(AND(shinsei_APPLICANT_CORP&lt;&gt;"",OR(shinsei_APPLICANT_POST&lt;&gt;"",shinsei_APPLICANT_NAME&lt;&gt;"")),"  ","")&amp;IF(shinsei_APPLICANT_POST="","",shinsei_APPLICANT_POST)&amp;IF(AND(shinsei_APPLICANT_CORP&lt;&gt;"",shinsei_APPLICANT_NAME&lt;&gt;""),"  ","")&amp;IF(shinsei_APPLICANT_NAME="","",shinsei_APPLICANT_NAME&amp;"　様")</f>
        <v>フジ住宅株式会社  代表取締役  宮脇　宣綱　様</v>
      </c>
    </row>
    <row r="354" spans="2:10" ht="18" customHeight="1">
      <c r="E354" s="5" t="s">
        <v>469</v>
      </c>
      <c r="I354" s="7" t="s">
        <v>483</v>
      </c>
      <c r="J354" s="28" t="str">
        <f>IF(shinsei_applicant02_JIMU_NAME="","",shinsei_applicant02_JIMU_NAME)&amp;IF(AND(shinsei_applicant02_JIMU_NAME&lt;&gt;"",OR(shinsei_applicant02_POST&lt;&gt;"",shinsei_applicant02_NAME&lt;&gt;"")),"  ","")&amp;IF(shinsei_applicant02_POST="","",shinsei_applicant02_POST)&amp;IF(AND(shinsei_applicant02_POST&lt;&gt;"",shinsei_applicant02_NAME&lt;&gt;""),"  ","")&amp;IF(shinsei_applicant02_NAME="","",shinsei_applicant02_NAME&amp;"　様")</f>
        <v/>
      </c>
    </row>
    <row r="355" spans="2:10" ht="18" customHeight="1">
      <c r="E355" s="5" t="s">
        <v>470</v>
      </c>
      <c r="I355" s="7" t="s">
        <v>484</v>
      </c>
      <c r="J355" s="28" t="str">
        <f>IF(shinsei_applicant03_JIMU_NAME="","",shinsei_applicant03_JIMU_NAME)&amp;IF(AND(shinsei_applicant03_JIMU_NAME&lt;&gt;"",OR(shinsei_applicant03_POST&lt;&gt;"",shinsei_applicant03_NAME&lt;&gt;"")),"  ","")&amp;IF(shinsei_applicant03_POST="","",shinsei_applicant03_POST)&amp;IF(AND(shinsei_applicant03_POST&lt;&gt;"",shinsei_applicant03_NAME&lt;&gt;""),"  ","")&amp;IF(shinsei_applicant03_NAME="","",shinsei_applicant03_NAME&amp;"　様")</f>
        <v/>
      </c>
    </row>
    <row r="356" spans="2:10" ht="18" customHeight="1">
      <c r="E356" s="5" t="s">
        <v>471</v>
      </c>
      <c r="I356" s="7" t="s">
        <v>485</v>
      </c>
      <c r="J356" s="28" t="str">
        <f>IF(shinsei_applicant04_JIMU_NAME="","",shinsei_applicant04_JIMU_NAME)&amp;IF(AND(shinsei_applicant04_JIMU_NAME&lt;&gt;"",OR(shinsei_applicant04_POST&lt;&gt;"",shinsei_applicant04_NAME&lt;&gt;"")),"  ","")&amp;IF(shinsei_applicant04_POST="","",shinsei_applicant04_POST)&amp;IF(AND(shinsei_applicant04_POST&lt;&gt;"",shinsei_applicant04_NAME&lt;&gt;""),"  ","")&amp;IF(shinsei_applicant04_NAME="","",shinsei_applicant04_NAME&amp;"　様")</f>
        <v/>
      </c>
    </row>
    <row r="357" spans="2:10" ht="18" customHeight="1">
      <c r="E357" s="5" t="s">
        <v>472</v>
      </c>
      <c r="I357" s="7" t="s">
        <v>486</v>
      </c>
      <c r="J357" s="28" t="str">
        <f>IF(shinsei_applicant05_JIMU_NAME="","",shinsei_applicant05_JIMU_NAME)&amp;IF(AND(shinsei_applicant05_JIMU_NAME&lt;&gt;"",OR(shinsei_applicant05_POST&lt;&gt;"",shinsei_applicant05_NAME&lt;&gt;"")),"  ","")&amp;IF(shinsei_applicant05_POST="","",shinsei_applicant05_POST)&amp;IF(AND(shinsei_applicant05_POST&lt;&gt;"",shinsei_applicant05_NAME&lt;&gt;""),"  ","")&amp;IF(shinsei_applicant05_NAME="","",shinsei_applicant05_NAME&amp;"　様")</f>
        <v/>
      </c>
    </row>
    <row r="358" spans="2:10" ht="18" customHeight="1">
      <c r="E358" s="5" t="s">
        <v>473</v>
      </c>
      <c r="I358" s="7" t="s">
        <v>487</v>
      </c>
      <c r="J358" s="28" t="str">
        <f>IF(shinsei_applicant06_JIMU_NAME="","",shinsei_applicant06_JIMU_NAME)&amp;IF(AND(shinsei_applicant06_JIMU_NAME&lt;&gt;"",OR(shinsei_applicant06_POST&lt;&gt;"",shinsei_applicant06_NAME&lt;&gt;"")),"  ","")&amp;IF(shinsei_applicant06_POST="","",shinsei_applicant06_POST)&amp;IF(AND(shinsei_applicant06_POST&lt;&gt;"",shinsei_applicant06_NAME&lt;&gt;""),"  ","")&amp;IF(shinsei_applicant06_NAME="","",shinsei_applicant06_NAME&amp;"　様")</f>
        <v/>
      </c>
    </row>
    <row r="359" spans="2:10" ht="18" customHeight="1">
      <c r="E359" s="5" t="s">
        <v>474</v>
      </c>
      <c r="I359" s="7" t="s">
        <v>488</v>
      </c>
      <c r="J359" s="28" t="str">
        <f>IF(shinsei_applicant07_JIMU_NAME="","",shinsei_applicant07_JIMU_NAME)&amp;IF(AND(shinsei_applicant07_JIMU_NAME&lt;&gt;"",OR(shinsei_applicant07_POST&lt;&gt;"",shinsei_applicant07_NAME&lt;&gt;"")),"  ","")&amp;IF(shinsei_applicant07_POST="","",shinsei_applicant07_POST)&amp;IF(AND(shinsei_applicant07_POST&lt;&gt;"",shinsei_applicant07_NAME&lt;&gt;""),"  ","")&amp;IF(shinsei_applicant07_NAME="","",shinsei_applicant07_NAME&amp;"　様")</f>
        <v/>
      </c>
    </row>
    <row r="360" spans="2:10" ht="18" customHeight="1">
      <c r="I360" s="49"/>
    </row>
    <row r="361" spans="2:10" ht="18" customHeight="1">
      <c r="B361" s="5" t="s">
        <v>504</v>
      </c>
      <c r="I361" s="49"/>
    </row>
    <row r="362" spans="2:10" ht="18" customHeight="1">
      <c r="I362" s="49"/>
    </row>
    <row r="363" spans="2:10" ht="18" customHeight="1">
      <c r="E363" s="5" t="s">
        <v>468</v>
      </c>
      <c r="I363" s="7" t="s">
        <v>489</v>
      </c>
      <c r="J363" s="28" t="str">
        <f>IF(shinsei_APPLICANT_CORP="","",shinsei_APPLICANT_CORP)&amp;IF(AND(shinsei_APPLICANT_CORP&lt;&gt;"",OR(shinsei_APPLICANT_POST&lt;&gt;"",shinsei_APPLICANT_NAME&lt;&gt;"")),CHAR(10),"")&amp;IF(shinsei_APPLICANT_POST="","",shinsei_APPLICANT_POST)&amp;IF(AND(shinsei_APPLICANT_POST&lt;&gt;"",shinsei_APPLICANT_NAME&lt;&gt;""),"  ","")&amp;IF(shinsei_APPLICANT_NAME="","",shinsei_APPLICANT_NAME)</f>
        <v>フジ住宅株式会社
代表取締役  宮脇　宣綱</v>
      </c>
    </row>
    <row r="364" spans="2:10" ht="18" customHeight="1">
      <c r="E364" s="5" t="s">
        <v>469</v>
      </c>
      <c r="I364" s="7" t="s">
        <v>490</v>
      </c>
      <c r="J364" s="28" t="str">
        <f>IF(shinsei_applicant02_JIMU_NAME="","",shinsei_applicant02_JIMU_NAME)&amp;IF(AND(shinsei_applicant02_JIMU_NAME&lt;&gt;"",OR(shinsei_applicant02_POST&lt;&gt;"",shinsei_applicant02_NAME&lt;&gt;"")),CHAR(10),"")&amp;IF(shinsei_applicant02_POST="","",shinsei_applicant02_POST)&amp;IF(AND(shinsei_applicant02_POST&lt;&gt;"",shinsei_applicant02_NAME&lt;&gt;""),"  ","")&amp;IF(shinsei_applicant02_NAME="","",shinsei_applicant02_NAME)</f>
        <v/>
      </c>
    </row>
    <row r="365" spans="2:10" ht="18" customHeight="1">
      <c r="E365" s="5" t="s">
        <v>470</v>
      </c>
      <c r="I365" s="7" t="s">
        <v>491</v>
      </c>
      <c r="J365" s="28" t="str">
        <f>IF(shinsei_applicant03_JIMU_NAME="","",shinsei_applicant03_JIMU_NAME)&amp;IF(AND(shinsei_applicant03_JIMU_NAME&lt;&gt;"",OR(shinsei_applicant03_POST&lt;&gt;"",shinsei_applicant03_NAME&lt;&gt;"")),CHAR(10),"")&amp;IF(shinsei_applicant03_POST="","",shinsei_applicant03_POST)&amp;IF(AND(shinsei_applicant03_POST&lt;&gt;"",shinsei_applicant03_NAME&lt;&gt;""),"  ","")&amp;IF(shinsei_applicant03_NAME="","",shinsei_applicant03_NAME)</f>
        <v/>
      </c>
    </row>
    <row r="366" spans="2:10" ht="18" customHeight="1">
      <c r="E366" s="5" t="s">
        <v>471</v>
      </c>
      <c r="I366" s="7" t="s">
        <v>492</v>
      </c>
      <c r="J366" s="28" t="str">
        <f>IF(shinsei_applicant04_JIMU_NAME="","",shinsei_applicant04_JIMU_NAME)&amp;IF(AND(shinsei_applicant04_JIMU_NAME&lt;&gt;"",OR(shinsei_applicant04_POST&lt;&gt;"",shinsei_applicant04_NAME&lt;&gt;"")),CHAR(10),"")&amp;IF(shinsei_applicant04_POST="","",shinsei_applicant04_POST)&amp;IF(AND(shinsei_applicant04_POST&lt;&gt;"",shinsei_applicant04_NAME&lt;&gt;""),"  ","")&amp;IF(shinsei_applicant04_NAME="","",shinsei_applicant04_NAME)</f>
        <v/>
      </c>
    </row>
    <row r="367" spans="2:10" ht="18" customHeight="1">
      <c r="E367" s="5" t="s">
        <v>472</v>
      </c>
      <c r="I367" s="7" t="s">
        <v>493</v>
      </c>
      <c r="J367" s="28" t="str">
        <f>IF(shinsei_applicant05_JIMU_NAME="","",shinsei_applicant05_JIMU_NAME)&amp;IF(AND(shinsei_applicant05_JIMU_NAME&lt;&gt;"",OR(shinsei_applicant05_POST&lt;&gt;"",shinsei_applicant05_NAME&lt;&gt;"")),CHAR(10),"")&amp;IF(shinsei_applicant05_POST="","",shinsei_applicant05_POST)&amp;IF(AND(shinsei_applicant05_POST&lt;&gt;"",shinsei_applicant05_NAME&lt;&gt;""),"  ","")&amp;IF(shinsei_applicant05_NAME="","",shinsei_applicant05_NAME)</f>
        <v/>
      </c>
    </row>
    <row r="368" spans="2:10" ht="18" customHeight="1">
      <c r="E368" s="5" t="s">
        <v>473</v>
      </c>
      <c r="I368" s="7" t="s">
        <v>494</v>
      </c>
      <c r="J368" s="28" t="str">
        <f>IF(shinsei_applicant06_JIMU_NAME="","",shinsei_applicant06_JIMU_NAME)&amp;IF(AND(shinsei_applicant06_JIMU_NAME&lt;&gt;"",OR(shinsei_applicant06_POST&lt;&gt;"",shinsei_applicant06_NAME&lt;&gt;"")),CHAR(10),"")&amp;IF(shinsei_applicant06_POST="","",shinsei_applicant06_POST)&amp;IF(AND(shinsei_applicant06_POST&lt;&gt;"",shinsei_applicant06_NAME&lt;&gt;""),"  ","")&amp;IF(shinsei_applicant06_NAME="","",shinsei_applicant06_NAME)</f>
        <v/>
      </c>
    </row>
    <row r="369" spans="1:25" ht="18" customHeight="1">
      <c r="E369" s="5" t="s">
        <v>474</v>
      </c>
      <c r="I369" s="7" t="s">
        <v>495</v>
      </c>
      <c r="J369" s="28" t="str">
        <f>IF(shinsei_applicant07_JIMU_NAME="","",shinsei_applicant07_JIMU_NAME)&amp;IF(AND(shinsei_applicant07_JIMU_NAME&lt;&gt;"",OR(shinsei_applicant07_POST&lt;&gt;"",shinsei_applicant07_NAME&lt;&gt;"")),CHAR(10),"")&amp;IF(shinsei_applicant07_POST="","",shinsei_applicant07_POST)&amp;IF(AND(shinsei_applicant07_POST&lt;&gt;"",shinsei_applicant07_NAME&lt;&gt;""),"  ","")&amp;IF(shinsei_applicant07_NAME="","",shinsei_applicant07_NAME)</f>
        <v/>
      </c>
    </row>
    <row r="370" spans="1:25" ht="18" customHeight="1">
      <c r="I370" s="49"/>
      <c r="O370" s="504"/>
      <c r="P370" s="504"/>
      <c r="Q370" s="504"/>
      <c r="R370" s="504"/>
      <c r="S370" s="504"/>
      <c r="T370" s="504"/>
      <c r="U370" s="504"/>
      <c r="V370" s="504"/>
      <c r="W370" s="504"/>
      <c r="X370" s="504"/>
      <c r="Y370" s="504"/>
    </row>
    <row r="371" spans="1:25" ht="18" customHeight="1">
      <c r="B371" s="5" t="s">
        <v>505</v>
      </c>
      <c r="I371" s="49"/>
      <c r="O371" s="504"/>
      <c r="P371" s="504"/>
      <c r="Q371" s="504"/>
      <c r="R371" s="504"/>
      <c r="S371" s="504"/>
      <c r="T371" s="504"/>
      <c r="U371" s="504"/>
      <c r="V371" s="504"/>
      <c r="W371" s="504"/>
      <c r="X371" s="504"/>
      <c r="Y371" s="504"/>
    </row>
    <row r="372" spans="1:25" ht="18" customHeight="1">
      <c r="I372" s="49"/>
      <c r="O372" s="504"/>
      <c r="P372" s="504"/>
      <c r="Q372" s="504"/>
      <c r="R372" s="504"/>
      <c r="S372" s="504"/>
      <c r="T372" s="504"/>
      <c r="U372" s="504"/>
      <c r="V372" s="504"/>
      <c r="W372" s="504"/>
      <c r="X372" s="504"/>
      <c r="Y372" s="504"/>
    </row>
    <row r="373" spans="1:25" ht="18" customHeight="1">
      <c r="E373" s="5" t="s">
        <v>468</v>
      </c>
      <c r="I373" s="7" t="s">
        <v>497</v>
      </c>
      <c r="J373" s="28" t="str">
        <f>IF(shinsei_APPLICANT_CORP="","",shinsei_APPLICANT_CORP)&amp;IF(AND(shinsei_APPLICANT_CORP&lt;&gt;"",OR(shinsei_APPLICANT_POST&lt;&gt;"",shinsei_APPLICANT_NAME&lt;&gt;"")),CHAR(10),"")&amp;IF(shinsei_APPLICANT_POST="","",shinsei_APPLICANT_POST)&amp;IF(AND(shinsei_APPLICANT_POST&lt;&gt;"",shinsei_APPLICANT_NAME&lt;&gt;""),"  ","")&amp;IF(shinsei_APPLICANT_NAME="","",shinsei_APPLICANT_NAME&amp;"　様")</f>
        <v>フジ住宅株式会社
代表取締役  宮脇　宣綱　様</v>
      </c>
      <c r="O373" s="504"/>
      <c r="P373" s="504"/>
      <c r="Q373" s="504"/>
      <c r="R373" s="504"/>
      <c r="S373" s="504"/>
      <c r="T373" s="504"/>
      <c r="U373" s="504"/>
      <c r="V373" s="504"/>
      <c r="W373" s="504"/>
      <c r="X373" s="504"/>
      <c r="Y373" s="504"/>
    </row>
    <row r="374" spans="1:25" ht="18" customHeight="1">
      <c r="E374" s="5" t="s">
        <v>469</v>
      </c>
      <c r="I374" s="7" t="s">
        <v>498</v>
      </c>
      <c r="J374" s="28" t="str">
        <f>IF(shinsei_applicant02_JIMU_NAME="","",shinsei_applicant02_JIMU_NAME)&amp;IF(AND(shinsei_applicant02_JIMU_NAME&lt;&gt;"",OR(shinsei_applicant02_POST&lt;&gt;"",shinsei_applicant02_NAME&lt;&gt;"")),CHAR(10),"")&amp;IF(shinsei_applicant02_POST="","",shinsei_applicant02_POST)&amp;IF(AND(shinsei_applicant02_POST&lt;&gt;"",shinsei_applicant02_NAME&lt;&gt;""),"  ","")&amp;IF(shinsei_applicant02_NAME="","",shinsei_applicant02_NAME&amp;"　様")</f>
        <v/>
      </c>
      <c r="O374" s="504"/>
      <c r="P374" s="504"/>
      <c r="Q374" s="504"/>
      <c r="R374" s="504"/>
      <c r="S374" s="504"/>
      <c r="T374" s="504"/>
      <c r="U374" s="504"/>
      <c r="V374" s="504"/>
      <c r="W374" s="504"/>
      <c r="X374" s="504"/>
      <c r="Y374" s="504"/>
    </row>
    <row r="375" spans="1:25" ht="18" customHeight="1">
      <c r="E375" s="5" t="s">
        <v>470</v>
      </c>
      <c r="I375" s="7" t="s">
        <v>499</v>
      </c>
      <c r="J375" s="28" t="str">
        <f>IF(shinsei_applicant03_JIMU_NAME="","",shinsei_applicant03_JIMU_NAME)&amp;IF(AND(shinsei_applicant03_JIMU_NAME&lt;&gt;"",OR(shinsei_applicant03_POST&lt;&gt;"",shinsei_applicant03_NAME&lt;&gt;"")),CHAR(10),"")&amp;IF(shinsei_applicant03_POST="","",shinsei_applicant03_POST)&amp;IF(AND(shinsei_applicant03_POST&lt;&gt;"",shinsei_applicant03_NAME&lt;&gt;""),"  ","")&amp;IF(shinsei_applicant03_NAME="","",shinsei_applicant03_NAME&amp;"　様")</f>
        <v/>
      </c>
      <c r="O375" s="504"/>
      <c r="P375" s="504"/>
      <c r="Q375" s="504"/>
      <c r="R375" s="504"/>
      <c r="S375" s="504"/>
      <c r="T375" s="504"/>
      <c r="U375" s="504"/>
      <c r="V375" s="504"/>
      <c r="W375" s="504"/>
      <c r="X375" s="504"/>
      <c r="Y375" s="504"/>
    </row>
    <row r="376" spans="1:25" ht="18" customHeight="1">
      <c r="E376" s="5" t="s">
        <v>471</v>
      </c>
      <c r="I376" s="7" t="s">
        <v>500</v>
      </c>
      <c r="J376" s="28" t="str">
        <f>IF(shinsei_applicant04_JIMU_NAME="","",shinsei_applicant04_JIMU_NAME)&amp;IF(AND(shinsei_applicant04_JIMU_NAME&lt;&gt;"",OR(shinsei_applicant04_POST&lt;&gt;"",shinsei_applicant04_NAME&lt;&gt;"")),CHAR(10),"")&amp;IF(shinsei_applicant04_POST="","",shinsei_applicant04_POST)&amp;IF(AND(shinsei_applicant04_POST&lt;&gt;"",shinsei_applicant04_NAME&lt;&gt;""),"  ","")&amp;IF(shinsei_applicant04_NAME="","",shinsei_applicant04_NAME&amp;"　様")</f>
        <v/>
      </c>
      <c r="O376" s="504"/>
      <c r="P376" s="504"/>
      <c r="Q376" s="504"/>
      <c r="R376" s="504"/>
      <c r="S376" s="504"/>
      <c r="T376" s="504"/>
      <c r="U376" s="504"/>
      <c r="V376" s="504"/>
      <c r="W376" s="504"/>
      <c r="X376" s="504"/>
      <c r="Y376" s="504"/>
    </row>
    <row r="377" spans="1:25" ht="18" customHeight="1">
      <c r="E377" s="5" t="s">
        <v>472</v>
      </c>
      <c r="I377" s="7" t="s">
        <v>501</v>
      </c>
      <c r="J377" s="28" t="str">
        <f>IF(shinsei_applicant05_JIMU_NAME="","",shinsei_applicant05_JIMU_NAME)&amp;IF(AND(shinsei_applicant05_JIMU_NAME&lt;&gt;"",OR(shinsei_applicant05_POST&lt;&gt;"",shinsei_applicant05_NAME&lt;&gt;"")),CHAR(10),"")&amp;IF(shinsei_applicant05_POST="","",shinsei_applicant05_POST)&amp;IF(AND(shinsei_applicant05_POST&lt;&gt;"",shinsei_applicant05_NAME&lt;&gt;""),"  ","")&amp;IF(shinsei_applicant05_NAME="","",shinsei_applicant05_NAME&amp;"　様")</f>
        <v/>
      </c>
      <c r="O377" s="504"/>
      <c r="P377" s="504"/>
      <c r="Q377" s="504"/>
      <c r="R377" s="504"/>
      <c r="S377" s="504"/>
      <c r="T377" s="504"/>
      <c r="U377" s="504"/>
      <c r="V377" s="504"/>
      <c r="W377" s="504"/>
      <c r="X377" s="504"/>
      <c r="Y377" s="504"/>
    </row>
    <row r="378" spans="1:25" ht="18" customHeight="1">
      <c r="E378" s="5" t="s">
        <v>473</v>
      </c>
      <c r="I378" s="7" t="s">
        <v>502</v>
      </c>
      <c r="J378" s="28" t="str">
        <f>IF(shinsei_applicant06_JIMU_NAME="","",shinsei_applicant06_JIMU_NAME)&amp;IF(AND(shinsei_applicant06_JIMU_NAME&lt;&gt;"",OR(shinsei_applicant06_POST&lt;&gt;"",shinsei_applicant06_NAME&lt;&gt;"")),CHAR(10),"")&amp;IF(shinsei_applicant06_POST="","",shinsei_applicant06_POST)&amp;IF(AND(shinsei_applicant06_POST&lt;&gt;"",shinsei_applicant06_NAME&lt;&gt;""),"  ","")&amp;IF(shinsei_applicant06_NAME="","",shinsei_applicant06_NAME&amp;"　様")</f>
        <v/>
      </c>
      <c r="O378" s="504"/>
      <c r="P378" s="504"/>
      <c r="Q378" s="504"/>
      <c r="R378" s="504"/>
      <c r="S378" s="504"/>
      <c r="T378" s="504"/>
      <c r="U378" s="504"/>
      <c r="V378" s="504"/>
      <c r="W378" s="504"/>
      <c r="X378" s="504"/>
      <c r="Y378" s="504"/>
    </row>
    <row r="379" spans="1:25" ht="18" customHeight="1">
      <c r="E379" s="5" t="s">
        <v>474</v>
      </c>
      <c r="I379" s="7" t="s">
        <v>503</v>
      </c>
      <c r="J379" s="28" t="str">
        <f>IF(shinsei_applicant07_JIMU_NAME="","",shinsei_applicant07_JIMU_NAME)&amp;IF(AND(shinsei_applicant07_JIMU_NAME&lt;&gt;"",OR(shinsei_applicant07_POST&lt;&gt;"",shinsei_applicant07_NAME&lt;&gt;"")),CHAR(10),"")&amp;IF(shinsei_applicant07_POST="","",shinsei_applicant07_POST)&amp;IF(AND(shinsei_applicant07_POST&lt;&gt;"",shinsei_applicant07_NAME&lt;&gt;""),"  ","")&amp;IF(shinsei_applicant07_NAME="","",shinsei_applicant07_NAME&amp;"　様")</f>
        <v/>
      </c>
      <c r="O379" s="504"/>
      <c r="P379" s="504"/>
      <c r="Q379" s="504"/>
      <c r="R379" s="504"/>
      <c r="S379" s="504"/>
      <c r="T379" s="504"/>
      <c r="U379" s="504"/>
      <c r="V379" s="504"/>
      <c r="W379" s="504"/>
      <c r="X379" s="504"/>
      <c r="Y379" s="504"/>
    </row>
    <row r="380" spans="1:25" s="27" customFormat="1" ht="18" customHeight="1">
      <c r="A380" s="14"/>
      <c r="B380" s="14"/>
      <c r="C380" s="14"/>
      <c r="D380" s="14"/>
      <c r="E380" s="14"/>
      <c r="F380" s="14"/>
      <c r="G380" s="51"/>
      <c r="O380" s="121"/>
      <c r="P380" s="121"/>
      <c r="Q380" s="121"/>
      <c r="R380" s="121"/>
      <c r="S380" s="121"/>
      <c r="T380" s="121"/>
      <c r="U380" s="121"/>
      <c r="V380" s="121"/>
      <c r="W380" s="121"/>
      <c r="X380" s="121"/>
      <c r="Y380" s="121"/>
    </row>
    <row r="381" spans="1:25" s="27" customFormat="1" ht="18" customHeight="1">
      <c r="A381" s="14"/>
      <c r="B381" s="14"/>
      <c r="C381" s="14"/>
      <c r="D381" s="14"/>
      <c r="E381" s="14"/>
      <c r="F381" s="14"/>
      <c r="G381" s="51"/>
      <c r="O381" s="121"/>
      <c r="P381" s="121"/>
      <c r="Q381" s="121"/>
      <c r="R381" s="121"/>
      <c r="S381" s="121"/>
      <c r="T381" s="121"/>
      <c r="U381" s="121"/>
      <c r="V381" s="121"/>
      <c r="W381" s="121"/>
      <c r="X381" s="121"/>
      <c r="Y381" s="121"/>
    </row>
    <row r="382" spans="1:25" ht="18" customHeight="1">
      <c r="C382" s="5" t="s">
        <v>10713</v>
      </c>
      <c r="I382" s="49"/>
      <c r="P382" s="504"/>
      <c r="Q382" s="504"/>
      <c r="R382" s="504"/>
    </row>
    <row r="383" spans="1:25" ht="18" customHeight="1">
      <c r="C383" s="7"/>
      <c r="D383" s="5" t="s">
        <v>506</v>
      </c>
      <c r="I383" s="7" t="s">
        <v>512</v>
      </c>
      <c r="J383" s="479">
        <f>IF(AND(OR(cst_applicant1__char&lt;&gt;""),cst_applicant2__char&lt;&gt;""),1,0)</f>
        <v>0</v>
      </c>
      <c r="O383" s="504"/>
      <c r="P383" s="504"/>
      <c r="Q383" s="504"/>
      <c r="R383" s="504"/>
      <c r="S383" s="504"/>
      <c r="T383" s="504"/>
      <c r="U383" s="504"/>
      <c r="V383" s="504"/>
      <c r="W383" s="504"/>
      <c r="X383" s="504"/>
      <c r="Y383" s="504"/>
    </row>
    <row r="384" spans="1:25" ht="18" customHeight="1">
      <c r="D384" s="5" t="s">
        <v>507</v>
      </c>
      <c r="I384" s="7" t="s">
        <v>513</v>
      </c>
      <c r="J384" s="479">
        <f>IF(AND(OR(cst_applicant1__char&lt;&gt;"",cst_applicant2__char&lt;&gt;""),cst_applicant3__char&lt;&gt;""),1,0)</f>
        <v>0</v>
      </c>
      <c r="O384" s="504"/>
      <c r="P384" s="504"/>
      <c r="Q384" s="504"/>
      <c r="R384" s="504"/>
      <c r="S384" s="504"/>
      <c r="T384" s="504"/>
      <c r="U384" s="504"/>
      <c r="V384" s="504"/>
      <c r="W384" s="504"/>
      <c r="X384" s="504"/>
      <c r="Y384" s="504"/>
    </row>
    <row r="385" spans="3:25" ht="18" customHeight="1">
      <c r="D385" s="5" t="s">
        <v>508</v>
      </c>
      <c r="I385" s="7" t="s">
        <v>514</v>
      </c>
      <c r="J385" s="479">
        <f>IF(AND(OR(cst_applicant1__char&lt;&gt;"",cst_applicant2__char&lt;&gt;"",cst_applicant3__char&lt;&gt;""),cst_applicant4__char&lt;&gt;""),1,0)</f>
        <v>0</v>
      </c>
      <c r="O385" s="504"/>
      <c r="P385" s="504"/>
      <c r="Q385" s="504"/>
      <c r="R385" s="504"/>
      <c r="S385" s="504"/>
      <c r="T385" s="504"/>
      <c r="U385" s="504"/>
      <c r="V385" s="504"/>
      <c r="W385" s="504"/>
      <c r="X385" s="504"/>
      <c r="Y385" s="504"/>
    </row>
    <row r="386" spans="3:25" ht="18" customHeight="1">
      <c r="D386" s="5" t="s">
        <v>509</v>
      </c>
      <c r="I386" s="7" t="s">
        <v>515</v>
      </c>
      <c r="J386" s="479">
        <f>IF(AND(OR(cst_applicant1__char&lt;&gt;"",cst_applicant2__char&lt;&gt;"",cst_applicant3__char&lt;&gt;"",cst_applicant4__char&lt;&gt;""),cst_applicant5__char&lt;&gt;""),1,0)</f>
        <v>0</v>
      </c>
      <c r="O386" s="504"/>
      <c r="P386" s="504"/>
      <c r="Q386" s="504"/>
      <c r="R386" s="504"/>
      <c r="S386" s="504"/>
      <c r="T386" s="504"/>
      <c r="U386" s="504"/>
      <c r="V386" s="504"/>
      <c r="W386" s="504"/>
      <c r="X386" s="504"/>
      <c r="Y386" s="504"/>
    </row>
    <row r="387" spans="3:25" ht="18" customHeight="1">
      <c r="D387" s="5" t="s">
        <v>510</v>
      </c>
      <c r="I387" s="7" t="s">
        <v>516</v>
      </c>
      <c r="J387" s="479">
        <f>IF(AND(OR(cst_applicant1__char&lt;&gt;"",cst_applicant2__char&lt;&gt;"",cst_applicant3__char&lt;&gt;"",cst_applicant4__char&lt;&gt;"",cst_applicant5__char&lt;&gt;""),cst_applicant6__char&lt;&gt;""),1,0)</f>
        <v>0</v>
      </c>
      <c r="O387" s="504"/>
      <c r="P387" s="504"/>
      <c r="Q387" s="504"/>
      <c r="R387" s="504"/>
      <c r="S387" s="504"/>
      <c r="T387" s="504"/>
      <c r="U387" s="504"/>
      <c r="V387" s="504"/>
      <c r="W387" s="504"/>
      <c r="X387" s="504"/>
      <c r="Y387" s="504"/>
    </row>
    <row r="388" spans="3:25" ht="18" customHeight="1">
      <c r="D388" s="5" t="s">
        <v>511</v>
      </c>
      <c r="I388" s="7" t="s">
        <v>517</v>
      </c>
      <c r="J388" s="479">
        <f>IF(AND(OR(cst_applicant1__char&lt;&gt;"",cst_applicant2__char&lt;&gt;"",cst_applicant3__char&lt;&gt;"",cst_applicant4__char&lt;&gt;"",cst_applicant5__char&lt;&gt;"",cst_applicant6__char&lt;&gt;""),cst_applicant7__char&lt;&gt;""),1,0)</f>
        <v>0</v>
      </c>
      <c r="P388" s="504"/>
      <c r="Q388" s="504"/>
      <c r="R388" s="504"/>
    </row>
    <row r="389" spans="3:25" ht="18" customHeight="1">
      <c r="I389" s="49"/>
    </row>
    <row r="390" spans="3:25" ht="18" customHeight="1">
      <c r="I390" s="49"/>
    </row>
    <row r="391" spans="3:25" ht="18" customHeight="1">
      <c r="C391" s="5" t="s">
        <v>619</v>
      </c>
      <c r="I391" s="49"/>
      <c r="P391" s="504"/>
      <c r="Q391" s="504"/>
      <c r="R391" s="504"/>
    </row>
    <row r="392" spans="3:25" ht="18" customHeight="1">
      <c r="I392" s="7" t="s">
        <v>518</v>
      </c>
      <c r="J392" s="99" t="str">
        <f>cst_shinsei_applicant1__address</f>
        <v>大阪府岸和田市土生町1丁目4番23号</v>
      </c>
      <c r="P392" s="504"/>
      <c r="Q392" s="504"/>
      <c r="R392" s="504"/>
    </row>
    <row r="393" spans="3:25" ht="18" customHeight="1">
      <c r="I393" s="40" t="s">
        <v>577</v>
      </c>
      <c r="J393" s="479" t="str">
        <f>IF(cst_applicant1__check=1,CHAR(10)&amp;cst_shinsei_applicant2__address,cst_shinsei_applicant2__address)</f>
        <v/>
      </c>
      <c r="P393" s="504"/>
      <c r="Q393" s="504"/>
      <c r="R393" s="504"/>
    </row>
    <row r="394" spans="3:25" ht="18" customHeight="1">
      <c r="I394" s="40" t="s">
        <v>578</v>
      </c>
      <c r="J394" s="479" t="str">
        <f>IF(cst_applicant2__check=1,CHAR(10)&amp;cst_shinsei_applicant3__address,cst_shinsei_applicant3__address)</f>
        <v/>
      </c>
      <c r="P394" s="504"/>
      <c r="Q394" s="504"/>
      <c r="R394" s="504"/>
    </row>
    <row r="395" spans="3:25" ht="18" customHeight="1">
      <c r="I395" s="40" t="s">
        <v>579</v>
      </c>
      <c r="J395" s="479" t="str">
        <f>IF(cst_applicant3__check=1,CHAR(10)&amp;cst_shinsei_applicant4__address,cst_shinsei_applicant4__address)</f>
        <v/>
      </c>
      <c r="P395" s="504"/>
      <c r="Q395" s="504"/>
      <c r="R395" s="504"/>
    </row>
    <row r="396" spans="3:25" ht="18" customHeight="1">
      <c r="I396" s="40" t="s">
        <v>580</v>
      </c>
      <c r="J396" s="479" t="str">
        <f>IF(cst_applicant4__check=1,CHAR(10)&amp;cst_shinsei_applicant5__address,cst_shinsei_applicant5__address)</f>
        <v/>
      </c>
      <c r="P396" s="504"/>
      <c r="Q396" s="504"/>
      <c r="R396" s="504"/>
    </row>
    <row r="397" spans="3:25" ht="18" customHeight="1">
      <c r="I397" s="40" t="s">
        <v>581</v>
      </c>
      <c r="J397" s="479" t="str">
        <f>IF(cst_applicant5__check=1,CHAR(10)&amp;cst_shinsei_applicant6__address,cst_shinsei_applicant6__address)</f>
        <v/>
      </c>
      <c r="P397" s="504"/>
      <c r="Q397" s="504"/>
      <c r="R397" s="504"/>
    </row>
    <row r="398" spans="3:25" ht="18" customHeight="1">
      <c r="I398" s="40" t="s">
        <v>582</v>
      </c>
      <c r="J398" s="479" t="str">
        <f>IF(cst_applicant6__check=1,CHAR(10)&amp;cst_shinsei_applicant7__address,cst_shinsei_applicant7__address)</f>
        <v/>
      </c>
      <c r="P398" s="504"/>
      <c r="Q398" s="504"/>
      <c r="R398" s="504"/>
    </row>
    <row r="399" spans="3:25" ht="18" customHeight="1">
      <c r="I399" s="49"/>
      <c r="P399" s="504"/>
      <c r="Q399" s="504"/>
      <c r="R399" s="504"/>
    </row>
    <row r="400" spans="3:25" ht="18" customHeight="1">
      <c r="C400" s="5" t="s">
        <v>620</v>
      </c>
      <c r="I400" s="49"/>
      <c r="P400" s="504"/>
      <c r="Q400" s="504"/>
      <c r="R400" s="504"/>
    </row>
    <row r="401" spans="3:18" ht="18" customHeight="1">
      <c r="I401" s="49" t="s">
        <v>480</v>
      </c>
      <c r="J401" s="99" t="str">
        <f>cst_applicant1__space</f>
        <v>フジ住宅株式会社  代表取締役  宮脇　宣綱</v>
      </c>
      <c r="P401" s="504"/>
      <c r="Q401" s="504"/>
      <c r="R401" s="504"/>
    </row>
    <row r="402" spans="3:18" ht="18" customHeight="1">
      <c r="C402" s="7"/>
      <c r="I402" s="448" t="s">
        <v>583</v>
      </c>
      <c r="J402" s="479" t="str">
        <f>IF(cst_applicant1__check=1,CHAR(10)&amp;cst_applicant2__space,cst_applicant2__space)</f>
        <v/>
      </c>
      <c r="P402" s="504"/>
      <c r="Q402" s="504"/>
      <c r="R402" s="504"/>
    </row>
    <row r="403" spans="3:18" ht="18" customHeight="1">
      <c r="I403" s="448" t="s">
        <v>584</v>
      </c>
      <c r="J403" s="479" t="str">
        <f>IF(cst_applicant2__check=1,CHAR(10)&amp;cst_applicant3__space,cst_applicant3__space)</f>
        <v/>
      </c>
      <c r="P403" s="504"/>
      <c r="Q403" s="504"/>
      <c r="R403" s="504"/>
    </row>
    <row r="404" spans="3:18" ht="18" customHeight="1">
      <c r="I404" s="448" t="s">
        <v>585</v>
      </c>
      <c r="J404" s="479" t="str">
        <f>IF(cst_applicant3__check=1,CHAR(10)&amp;cst_applicant4__space,cst_applicant4__space)</f>
        <v/>
      </c>
      <c r="P404" s="504"/>
      <c r="Q404" s="504"/>
      <c r="R404" s="504"/>
    </row>
    <row r="405" spans="3:18" ht="18" customHeight="1">
      <c r="I405" s="448" t="s">
        <v>586</v>
      </c>
      <c r="J405" s="479" t="str">
        <f>IF(cst_applicant4__check=1,CHAR(10)&amp;cst_applicant5__space,cst_applicant5__space)</f>
        <v/>
      </c>
      <c r="P405" s="504"/>
      <c r="Q405" s="504"/>
      <c r="R405" s="504"/>
    </row>
    <row r="406" spans="3:18" ht="18" customHeight="1">
      <c r="I406" s="448" t="s">
        <v>587</v>
      </c>
      <c r="J406" s="479" t="str">
        <f>IF(cst_applicant5__check=1,CHAR(10)&amp;cst_applicant6__space,cst_applicant6__space)</f>
        <v/>
      </c>
      <c r="P406" s="504"/>
      <c r="Q406" s="504"/>
      <c r="R406" s="504"/>
    </row>
    <row r="407" spans="3:18" ht="18" customHeight="1">
      <c r="I407" s="448" t="s">
        <v>588</v>
      </c>
      <c r="J407" s="479" t="str">
        <f>IF(cst_applicant6__check=1,CHAR(10)&amp;cst_applicant7__space,cst_applicant7__space)</f>
        <v/>
      </c>
      <c r="P407" s="504"/>
      <c r="Q407" s="504"/>
      <c r="R407" s="504"/>
    </row>
    <row r="408" spans="3:18" ht="18" customHeight="1">
      <c r="I408" s="49"/>
      <c r="P408" s="504"/>
      <c r="Q408" s="504"/>
      <c r="R408" s="504"/>
    </row>
    <row r="409" spans="3:18" ht="18" customHeight="1">
      <c r="C409" s="5" t="s">
        <v>621</v>
      </c>
      <c r="I409" s="49"/>
      <c r="P409" s="504"/>
      <c r="Q409" s="504"/>
      <c r="R409" s="504"/>
    </row>
    <row r="410" spans="3:18" ht="18" customHeight="1">
      <c r="I410" s="49" t="s">
        <v>481</v>
      </c>
      <c r="J410" s="99" t="str">
        <f>cst_applicant1__space_sama</f>
        <v>フジ住宅株式会社  代表取締役  宮脇　宣綱　様</v>
      </c>
      <c r="P410" s="504"/>
      <c r="Q410" s="504"/>
      <c r="R410" s="504"/>
    </row>
    <row r="411" spans="3:18" ht="18" customHeight="1">
      <c r="C411" s="7"/>
      <c r="I411" s="192" t="s">
        <v>589</v>
      </c>
      <c r="J411" s="479" t="str">
        <f>IF(cst_applicant1__check=1,CHAR(10)&amp;cst_applicant2__space_sama,cst_applicant2__space_sama)</f>
        <v/>
      </c>
      <c r="P411" s="504"/>
      <c r="Q411" s="504"/>
      <c r="R411" s="504"/>
    </row>
    <row r="412" spans="3:18" ht="18" customHeight="1">
      <c r="I412" s="192" t="s">
        <v>590</v>
      </c>
      <c r="J412" s="479" t="str">
        <f>IF(cst_applicant2__check=1,CHAR(10)&amp;cst_applicant3__space_sama,cst_applicant3__space_sama)</f>
        <v/>
      </c>
      <c r="P412" s="504"/>
      <c r="Q412" s="504"/>
      <c r="R412" s="504"/>
    </row>
    <row r="413" spans="3:18" ht="18" customHeight="1">
      <c r="I413" s="192" t="s">
        <v>591</v>
      </c>
      <c r="J413" s="479" t="str">
        <f>IF(cst_applicant3__check=1,CHAR(10)&amp;cst_applicant4__space_sama,cst_applicant4__space_sama)</f>
        <v/>
      </c>
      <c r="P413" s="504"/>
      <c r="Q413" s="504"/>
      <c r="R413" s="504"/>
    </row>
    <row r="414" spans="3:18" ht="18" customHeight="1">
      <c r="I414" s="192" t="s">
        <v>592</v>
      </c>
      <c r="J414" s="479" t="str">
        <f>IF(cst_applicant4__check=1,CHAR(10)&amp;cst_applicant5__space_sama,cst_applicant5__space_sama)</f>
        <v/>
      </c>
      <c r="P414" s="504"/>
      <c r="Q414" s="504"/>
      <c r="R414" s="504"/>
    </row>
    <row r="415" spans="3:18" ht="18" customHeight="1">
      <c r="I415" s="192" t="s">
        <v>593</v>
      </c>
      <c r="J415" s="479" t="str">
        <f>IF(cst_applicant5__check=1,CHAR(10)&amp;cst_applicant6__space_sama,cst_applicant6__space_sama)</f>
        <v/>
      </c>
      <c r="P415" s="504"/>
      <c r="Q415" s="504"/>
      <c r="R415" s="504"/>
    </row>
    <row r="416" spans="3:18" ht="18" customHeight="1">
      <c r="I416" s="192" t="s">
        <v>594</v>
      </c>
      <c r="J416" s="479" t="str">
        <f>IF(cst_applicant6__check=1,CHAR(10)&amp;cst_applicant7__space_sama,cst_applicant7__space_sama)</f>
        <v/>
      </c>
      <c r="P416" s="504"/>
      <c r="Q416" s="504"/>
      <c r="R416" s="504"/>
    </row>
    <row r="417" spans="3:18" ht="18" customHeight="1">
      <c r="I417" s="49"/>
      <c r="P417" s="504"/>
      <c r="Q417" s="504"/>
      <c r="R417" s="504"/>
    </row>
    <row r="418" spans="3:18" ht="18" customHeight="1">
      <c r="C418" s="5" t="s">
        <v>622</v>
      </c>
      <c r="I418" s="49"/>
      <c r="P418" s="504"/>
      <c r="Q418" s="504"/>
      <c r="R418" s="504"/>
    </row>
    <row r="419" spans="3:18" ht="18" customHeight="1">
      <c r="I419" s="49" t="s">
        <v>489</v>
      </c>
      <c r="J419" s="99" t="str">
        <f>cst_applicant1__char</f>
        <v>フジ住宅株式会社
代表取締役  宮脇　宣綱</v>
      </c>
      <c r="P419" s="504"/>
      <c r="Q419" s="504"/>
      <c r="R419" s="504"/>
    </row>
    <row r="420" spans="3:18" ht="18" customHeight="1">
      <c r="C420" s="7"/>
      <c r="I420" s="118" t="s">
        <v>595</v>
      </c>
      <c r="J420" s="479" t="str">
        <f>IF(cst_applicant1__check=1,CHAR(10)&amp;cst_applicant2__char,cst_applicant2__char)</f>
        <v/>
      </c>
      <c r="P420" s="504"/>
      <c r="Q420" s="504"/>
      <c r="R420" s="504"/>
    </row>
    <row r="421" spans="3:18" ht="18" customHeight="1">
      <c r="I421" s="118" t="s">
        <v>596</v>
      </c>
      <c r="J421" s="479" t="str">
        <f>IF(cst_applicant2__check=1,CHAR(10)&amp;cst_applicant3__char,cst_applicant3__char)</f>
        <v/>
      </c>
      <c r="P421" s="504"/>
      <c r="Q421" s="504"/>
      <c r="R421" s="504"/>
    </row>
    <row r="422" spans="3:18" ht="18" customHeight="1">
      <c r="I422" s="118" t="s">
        <v>597</v>
      </c>
      <c r="J422" s="479" t="str">
        <f>IF(cst_applicant3__check=1,CHAR(10)&amp;cst_applicant4__char,cst_applicant4__char)</f>
        <v/>
      </c>
      <c r="P422" s="504"/>
      <c r="Q422" s="504"/>
      <c r="R422" s="504"/>
    </row>
    <row r="423" spans="3:18" ht="18" customHeight="1">
      <c r="I423" s="118" t="s">
        <v>598</v>
      </c>
      <c r="J423" s="479" t="str">
        <f>IF(cst_applicant4__check=1,CHAR(10)&amp;cst_applicant5__char,cst_applicant5__char)</f>
        <v/>
      </c>
      <c r="P423" s="504"/>
      <c r="Q423" s="504"/>
      <c r="R423" s="504"/>
    </row>
    <row r="424" spans="3:18" ht="18" customHeight="1">
      <c r="I424" s="118" t="s">
        <v>599</v>
      </c>
      <c r="J424" s="479" t="str">
        <f>IF(cst_applicant5__check=1,CHAR(10)&amp;cst_applicant6__char,cst_applicant6__char)</f>
        <v/>
      </c>
      <c r="P424" s="504"/>
      <c r="Q424" s="504"/>
      <c r="R424" s="504"/>
    </row>
    <row r="425" spans="3:18" ht="18" customHeight="1">
      <c r="I425" s="118" t="s">
        <v>600</v>
      </c>
      <c r="J425" s="479" t="str">
        <f>IF(cst_applicant6__check=1,CHAR(10)&amp;cst_applicant7__char,cst_applicant7__char)</f>
        <v/>
      </c>
      <c r="P425" s="504"/>
      <c r="Q425" s="504"/>
      <c r="R425" s="504"/>
    </row>
    <row r="426" spans="3:18" ht="18" customHeight="1">
      <c r="I426" s="49"/>
      <c r="P426" s="504"/>
      <c r="Q426" s="504"/>
      <c r="R426" s="504"/>
    </row>
    <row r="427" spans="3:18" ht="18" customHeight="1">
      <c r="C427" s="5" t="s">
        <v>623</v>
      </c>
      <c r="I427" s="49"/>
      <c r="P427" s="504"/>
      <c r="Q427" s="504"/>
      <c r="R427" s="504"/>
    </row>
    <row r="428" spans="3:18" ht="18" customHeight="1">
      <c r="C428" s="7"/>
      <c r="I428" s="49" t="s">
        <v>496</v>
      </c>
      <c r="J428" s="99" t="str">
        <f>cst_applicant1__char_sama</f>
        <v>フジ住宅株式会社
代表取締役  宮脇　宣綱　様</v>
      </c>
      <c r="P428" s="504"/>
      <c r="Q428" s="504"/>
      <c r="R428" s="504"/>
    </row>
    <row r="429" spans="3:18" ht="18" customHeight="1">
      <c r="C429" s="7"/>
      <c r="I429" s="509" t="s">
        <v>601</v>
      </c>
      <c r="J429" s="479" t="str">
        <f>IF(cst_applicant1__check=1,CHAR(10)&amp;cst_applicant2__char_sama,cst_applicant2__char_sama)</f>
        <v/>
      </c>
      <c r="P429" s="504"/>
      <c r="Q429" s="504"/>
      <c r="R429" s="504"/>
    </row>
    <row r="430" spans="3:18" ht="18" customHeight="1">
      <c r="I430" s="509" t="s">
        <v>602</v>
      </c>
      <c r="J430" s="479" t="str">
        <f>IF(cst_applicant2__check=1,CHAR(10)&amp;cst_applicant3__char_sama,cst_applicant3__char_sama)</f>
        <v/>
      </c>
      <c r="P430" s="504"/>
      <c r="Q430" s="504"/>
      <c r="R430" s="504"/>
    </row>
    <row r="431" spans="3:18" ht="18" customHeight="1">
      <c r="I431" s="509" t="s">
        <v>603</v>
      </c>
      <c r="J431" s="479" t="str">
        <f>IF(cst_applicant3__check=1,CHAR(10)&amp;cst_applicant4__char_sama,cst_applicant4__char_sama)</f>
        <v/>
      </c>
      <c r="P431" s="504"/>
      <c r="Q431" s="504"/>
      <c r="R431" s="504"/>
    </row>
    <row r="432" spans="3:18" ht="18" customHeight="1">
      <c r="I432" s="509" t="s">
        <v>604</v>
      </c>
      <c r="J432" s="479" t="str">
        <f>IF(cst_applicant4__check=1,CHAR(10)&amp;cst_applicant5__char_sama,cst_applicant5__char_sama)</f>
        <v/>
      </c>
      <c r="P432" s="504"/>
      <c r="Q432" s="504"/>
      <c r="R432" s="504"/>
    </row>
    <row r="433" spans="1:25" ht="18" customHeight="1">
      <c r="I433" s="509" t="s">
        <v>605</v>
      </c>
      <c r="J433" s="479" t="str">
        <f>IF(cst_applicant5__check=1,CHAR(10)&amp;cst_applicant6__char_sama,cst_applicant6__char_sama)</f>
        <v/>
      </c>
      <c r="P433" s="504"/>
      <c r="Q433" s="504"/>
      <c r="R433" s="504"/>
    </row>
    <row r="434" spans="1:25" ht="18" customHeight="1">
      <c r="I434" s="509" t="s">
        <v>606</v>
      </c>
      <c r="J434" s="479" t="str">
        <f>IF(cst_applicant6__check=1,CHAR(10)&amp;cst_applicant7__char_sama,cst_applicant7__char_sama)</f>
        <v/>
      </c>
      <c r="P434" s="504"/>
      <c r="Q434" s="504"/>
      <c r="R434" s="504"/>
    </row>
    <row r="435" spans="1:25" ht="18" customHeight="1">
      <c r="I435" s="49"/>
      <c r="P435" s="504"/>
      <c r="Q435" s="504"/>
      <c r="R435" s="504"/>
    </row>
    <row r="436" spans="1:25" ht="18" customHeight="1">
      <c r="C436" s="5" t="s">
        <v>624</v>
      </c>
      <c r="I436" s="49"/>
      <c r="P436" s="504"/>
      <c r="Q436" s="504"/>
      <c r="R436" s="504"/>
    </row>
    <row r="437" spans="1:25" ht="18" customHeight="1">
      <c r="C437" s="7"/>
      <c r="I437" s="49" t="s">
        <v>496</v>
      </c>
      <c r="J437" s="99" t="str">
        <f>cst_applicant1__char_sama</f>
        <v>フジ住宅株式会社
代表取締役  宮脇　宣綱　様</v>
      </c>
      <c r="P437" s="504"/>
      <c r="Q437" s="504"/>
      <c r="R437" s="504"/>
    </row>
    <row r="438" spans="1:25" ht="18" customHeight="1">
      <c r="C438" s="7"/>
      <c r="I438" s="509" t="s">
        <v>607</v>
      </c>
      <c r="J438" s="479" t="str">
        <f>IF(cst_applicant1__check=1,CHAR(10)&amp;CHAR(10)&amp;cst_applicant2__char_sama,cst_applicant2__char_sama)</f>
        <v/>
      </c>
      <c r="P438" s="504"/>
      <c r="Q438" s="504"/>
      <c r="R438" s="504"/>
    </row>
    <row r="439" spans="1:25" ht="18" customHeight="1">
      <c r="I439" s="509" t="s">
        <v>608</v>
      </c>
      <c r="J439" s="479" t="str">
        <f>IF(cst_applicant2__check=1,CHAR(10)&amp;CHAR(10)&amp;cst_applicant3__char_sama,cst_applicant3__char_sama)</f>
        <v/>
      </c>
      <c r="P439" s="504"/>
      <c r="Q439" s="504"/>
      <c r="R439" s="504"/>
    </row>
    <row r="440" spans="1:25" ht="18" customHeight="1">
      <c r="I440" s="509" t="s">
        <v>609</v>
      </c>
      <c r="J440" s="479" t="str">
        <f>IF(cst_applicant3__check=1,CHAR(10)&amp;CHAR(10)&amp;cst_applicant4__char_sama,cst_applicant4__char_sama)</f>
        <v/>
      </c>
      <c r="P440" s="504"/>
      <c r="Q440" s="504"/>
      <c r="R440" s="504"/>
    </row>
    <row r="441" spans="1:25" ht="18" customHeight="1">
      <c r="I441" s="509" t="s">
        <v>610</v>
      </c>
      <c r="J441" s="479" t="str">
        <f>IF(cst_applicant4__check=1,CHAR(10)&amp;CHAR(10)&amp;cst_applicant5__char_sama,cst_applicant5__char_sama)</f>
        <v/>
      </c>
      <c r="P441" s="504"/>
      <c r="Q441" s="504"/>
      <c r="R441" s="504"/>
    </row>
    <row r="442" spans="1:25" ht="18" customHeight="1">
      <c r="I442" s="509" t="s">
        <v>611</v>
      </c>
      <c r="J442" s="479" t="str">
        <f>IF(cst_applicant5__check=1,CHAR(10)&amp;CHAR(10)&amp;cst_applicant6__char_sama,cst_applicant6__char_sama)</f>
        <v/>
      </c>
      <c r="P442" s="504"/>
      <c r="Q442" s="504"/>
      <c r="R442" s="504"/>
    </row>
    <row r="443" spans="1:25" ht="18" customHeight="1">
      <c r="I443" s="509" t="s">
        <v>612</v>
      </c>
      <c r="J443" s="479" t="str">
        <f>IF(cst_applicant6__check=1,CHAR(10)&amp;CHAR(10)&amp;cst_applicant7__char_sama,cst_applicant7__char_sama)</f>
        <v/>
      </c>
      <c r="P443" s="504"/>
      <c r="Q443" s="504"/>
      <c r="R443" s="504"/>
    </row>
    <row r="444" spans="1:25" ht="18" customHeight="1">
      <c r="I444" s="49"/>
      <c r="P444" s="504"/>
      <c r="Q444" s="504"/>
      <c r="R444" s="504"/>
    </row>
    <row r="445" spans="1:25" ht="18" customHeight="1">
      <c r="I445" s="49"/>
      <c r="P445" s="504"/>
      <c r="Q445" s="504"/>
      <c r="R445" s="504"/>
    </row>
    <row r="446" spans="1:25" s="27" customFormat="1" ht="18" customHeight="1">
      <c r="A446" s="14"/>
      <c r="B446" s="14" t="s">
        <v>625</v>
      </c>
      <c r="C446" s="14"/>
      <c r="D446" s="14"/>
      <c r="E446" s="14"/>
      <c r="F446" s="14"/>
      <c r="G446" s="51"/>
      <c r="O446" s="121"/>
      <c r="P446" s="121"/>
      <c r="Q446" s="121"/>
      <c r="R446" s="121"/>
      <c r="S446" s="121"/>
      <c r="T446" s="121"/>
      <c r="U446" s="121"/>
      <c r="V446" s="121"/>
      <c r="W446" s="121"/>
      <c r="X446" s="121"/>
      <c r="Y446" s="121"/>
    </row>
    <row r="447" spans="1:25" s="27" customFormat="1" ht="18" customHeight="1">
      <c r="A447" s="14"/>
      <c r="B447" s="14"/>
      <c r="C447" s="14"/>
      <c r="D447" s="14"/>
      <c r="E447" s="5" t="s">
        <v>626</v>
      </c>
      <c r="F447" s="14"/>
      <c r="G447" s="51"/>
      <c r="I447" s="27" t="s">
        <v>613</v>
      </c>
      <c r="J447" s="28" t="str">
        <f>CONCATENATE(cst_applicant1_address,cst_applicant2_address__add_char,cst_applicant3_address__add_char,cst_applicant4_address__add_char,cst_applicant5_address__add_char,cst_applicant6_address__add_char,cst_applicant7_address__add_char)</f>
        <v>大阪府岸和田市土生町1丁目4番23号</v>
      </c>
      <c r="O447" s="121"/>
      <c r="P447" s="121"/>
      <c r="Q447" s="121"/>
      <c r="R447" s="121"/>
      <c r="S447" s="121"/>
      <c r="T447" s="121"/>
      <c r="U447" s="121"/>
      <c r="V447" s="121"/>
      <c r="W447" s="121"/>
      <c r="X447" s="121"/>
      <c r="Y447" s="121"/>
    </row>
    <row r="448" spans="1:25" s="27" customFormat="1" ht="18" customHeight="1">
      <c r="A448" s="14"/>
      <c r="B448" s="14"/>
      <c r="C448" s="14"/>
      <c r="D448" s="14"/>
      <c r="E448" s="14"/>
      <c r="F448" s="14"/>
      <c r="G448" s="51"/>
      <c r="O448" s="121"/>
      <c r="P448" s="121"/>
      <c r="Q448" s="121"/>
      <c r="R448" s="121"/>
      <c r="S448" s="121"/>
      <c r="T448" s="121"/>
      <c r="U448" s="121"/>
      <c r="V448" s="121"/>
      <c r="W448" s="121"/>
      <c r="X448" s="121"/>
      <c r="Y448" s="121"/>
    </row>
    <row r="449" spans="1:25" ht="18" customHeight="1">
      <c r="B449" s="5" t="s">
        <v>627</v>
      </c>
      <c r="I449" s="49"/>
      <c r="P449" s="504"/>
      <c r="Q449" s="504"/>
      <c r="R449" s="504"/>
    </row>
    <row r="450" spans="1:25" ht="18" customHeight="1">
      <c r="E450" s="5" t="s">
        <v>626</v>
      </c>
      <c r="I450" s="7" t="s">
        <v>614</v>
      </c>
      <c r="J450" s="28" t="str">
        <f>CONCATENATE(cst_applicant1__space,cst_applicant2__space__add_char,cst_applicant3__space__add_char,cst_applicant4__space__add_char,cst_applicant5__space__add_char,cst_applicant6__space__add_char,cst_applicant7__space__add_char)</f>
        <v>フジ住宅株式会社  代表取締役  宮脇　宣綱</v>
      </c>
      <c r="O450" s="504"/>
      <c r="P450" s="504"/>
      <c r="Q450" s="504"/>
      <c r="R450" s="504"/>
      <c r="S450" s="504"/>
      <c r="T450" s="504"/>
      <c r="U450" s="504"/>
      <c r="V450" s="504"/>
      <c r="W450" s="504"/>
      <c r="X450" s="504"/>
      <c r="Y450" s="504"/>
    </row>
    <row r="451" spans="1:25" ht="18" customHeight="1">
      <c r="E451" s="5" t="s">
        <v>628</v>
      </c>
      <c r="I451" s="7" t="s">
        <v>615</v>
      </c>
      <c r="J451" s="28" t="str">
        <f>CONCATENATE(cst_applicant1__space_sama,cst_applicant2__space_sama__add_char,cst_applicant3__space_sama__add_char,cst_applicant4__space_sama__add_char,cst_applicant5__space_sama__add_char,cst_applicant6__space_sama__add_char,cst_applicant7__space_sama__add_char)</f>
        <v>フジ住宅株式会社  代表取締役  宮脇　宣綱　様</v>
      </c>
      <c r="O451" s="504"/>
      <c r="P451" s="504"/>
      <c r="Q451" s="504"/>
      <c r="R451" s="504"/>
      <c r="S451" s="504"/>
      <c r="T451" s="504"/>
      <c r="U451" s="504"/>
      <c r="V451" s="504"/>
      <c r="W451" s="504"/>
      <c r="X451" s="504"/>
      <c r="Y451" s="504"/>
    </row>
    <row r="452" spans="1:25" s="27" customFormat="1" ht="18" customHeight="1">
      <c r="A452" s="14"/>
      <c r="B452" s="14"/>
      <c r="C452" s="14"/>
      <c r="D452" s="14"/>
      <c r="E452" s="14"/>
      <c r="F452" s="14"/>
      <c r="G452" s="51"/>
      <c r="O452" s="121"/>
      <c r="P452" s="121"/>
      <c r="Q452" s="121"/>
      <c r="R452" s="121"/>
      <c r="S452" s="121"/>
      <c r="T452" s="121"/>
      <c r="U452" s="121"/>
      <c r="V452" s="121"/>
      <c r="W452" s="121"/>
      <c r="X452" s="121"/>
      <c r="Y452" s="121"/>
    </row>
    <row r="453" spans="1:25" ht="18" customHeight="1">
      <c r="B453" s="5" t="s">
        <v>629</v>
      </c>
      <c r="I453" s="49"/>
      <c r="P453" s="504"/>
      <c r="Q453" s="504"/>
      <c r="R453" s="504"/>
    </row>
    <row r="454" spans="1:25" ht="18" customHeight="1">
      <c r="E454" s="5" t="s">
        <v>626</v>
      </c>
      <c r="H454" s="7" t="s">
        <v>10802</v>
      </c>
      <c r="I454" s="7" t="s">
        <v>616</v>
      </c>
      <c r="J454" s="28" t="str">
        <f>CONCATENATE(cst_applicant1__char,cst_applicant2__char__add_char,cst_applicant3__char__add_char,cst_applicant4__char__add_char,cst_applicant5__char__add_char,cst_applicant6__char__add_char,cst_applicant7__char__add_char)</f>
        <v>フジ住宅株式会社
代表取締役  宮脇　宣綱</v>
      </c>
      <c r="O454" s="504"/>
      <c r="P454" s="504"/>
      <c r="Q454" s="504"/>
      <c r="R454" s="504"/>
      <c r="S454" s="504"/>
      <c r="T454" s="504"/>
      <c r="U454" s="504"/>
      <c r="V454" s="504"/>
      <c r="W454" s="504"/>
      <c r="X454" s="504"/>
      <c r="Y454" s="504"/>
    </row>
    <row r="455" spans="1:25" ht="18" customHeight="1">
      <c r="E455" s="5" t="s">
        <v>628</v>
      </c>
      <c r="I455" s="7" t="s">
        <v>617</v>
      </c>
      <c r="J455" s="28" t="str">
        <f>CONCATENATE(cst_applicant1__char_sama,cst_applicant2__char_sama__add_char,cst_applicant3__char_sama__add_char,cst_applicant4__char_sama__add_char,cst_applicant5__char_sama__add_char,cst_applicant6__char_sama__add_char,cst_applicant7__char_sama__add_char)</f>
        <v>フジ住宅株式会社
代表取締役  宮脇　宣綱　様</v>
      </c>
      <c r="O455" s="504"/>
      <c r="P455" s="504"/>
      <c r="Q455" s="504"/>
      <c r="R455" s="504"/>
      <c r="S455" s="504"/>
      <c r="T455" s="504"/>
      <c r="U455" s="504"/>
      <c r="V455" s="504"/>
      <c r="W455" s="504"/>
      <c r="X455" s="504"/>
      <c r="Y455" s="504"/>
    </row>
    <row r="456" spans="1:25" ht="18" customHeight="1">
      <c r="E456" s="5" t="s">
        <v>630</v>
      </c>
      <c r="I456" s="7" t="s">
        <v>618</v>
      </c>
      <c r="J456" s="28" t="str">
        <f>CONCATENATE(cst_applicant1__char_sama,cst_applicant2__char_sama__add_char_row,cst_applicant3__char_sama__add_char_row,cst_applicant4__char_sama__add_char_row,cst_applicant5__char_sama__add_char_row,cst_applicant6__char_sama__add_char_row,cst_applicant7__char_sama__add_char_row)</f>
        <v>フジ住宅株式会社
代表取締役  宮脇　宣綱　様</v>
      </c>
      <c r="O456" s="504"/>
      <c r="P456" s="504"/>
      <c r="Q456" s="504"/>
      <c r="R456" s="504"/>
      <c r="S456" s="504"/>
      <c r="T456" s="504"/>
      <c r="U456" s="504"/>
      <c r="V456" s="504"/>
      <c r="W456" s="504"/>
      <c r="X456" s="504"/>
      <c r="Y456" s="504"/>
    </row>
    <row r="457" spans="1:25" ht="18" customHeight="1">
      <c r="I457" s="49"/>
      <c r="O457" s="504"/>
      <c r="P457" s="504"/>
      <c r="Q457" s="504"/>
      <c r="R457" s="504"/>
      <c r="S457" s="504"/>
      <c r="T457" s="504"/>
      <c r="U457" s="504"/>
      <c r="V457" s="504"/>
      <c r="W457" s="504"/>
      <c r="X457" s="504"/>
      <c r="Y457" s="504"/>
    </row>
    <row r="458" spans="1:25" ht="18" customHeight="1">
      <c r="I458" s="49"/>
      <c r="O458" s="504"/>
      <c r="P458" s="504"/>
      <c r="Q458" s="504"/>
      <c r="R458" s="504"/>
      <c r="S458" s="504"/>
      <c r="T458" s="504"/>
      <c r="U458" s="504"/>
      <c r="V458" s="504"/>
      <c r="W458" s="504"/>
      <c r="X458" s="504"/>
      <c r="Y458" s="504"/>
    </row>
    <row r="459" spans="1:25" ht="18" customHeight="1">
      <c r="I459" s="49"/>
    </row>
    <row r="460" spans="1:25" ht="18" customHeight="1">
      <c r="B460" s="5" t="s">
        <v>227</v>
      </c>
      <c r="I460" s="49"/>
    </row>
    <row r="461" spans="1:25" ht="18" customHeight="1">
      <c r="E461" s="5" t="s">
        <v>2766</v>
      </c>
      <c r="G461" s="6" t="s">
        <v>1767</v>
      </c>
      <c r="H461" s="40" t="s">
        <v>11802</v>
      </c>
      <c r="I461" s="7" t="s">
        <v>519</v>
      </c>
      <c r="J461" s="28" t="str">
        <f>IF(shinsei_NUSHI_CORP="","",shinsei_NUSHI_CORP)</f>
        <v>フジ住宅株式会社</v>
      </c>
    </row>
    <row r="462" spans="1:25" ht="18" customHeight="1">
      <c r="E462" s="5" t="s">
        <v>222</v>
      </c>
      <c r="G462" s="6" t="s">
        <v>1768</v>
      </c>
      <c r="H462" s="40" t="s">
        <v>11805</v>
      </c>
      <c r="I462" s="7" t="s">
        <v>520</v>
      </c>
      <c r="J462" s="28" t="str">
        <f>IF(shinsei_NUSHI_NAME_KANA="","",shinsei_NUSHI_NAME_KANA)</f>
        <v>ﾐﾔﾜｷ ﾉﾌﾞﾂﾅ</v>
      </c>
    </row>
    <row r="463" spans="1:25" ht="18" customHeight="1">
      <c r="E463" s="5" t="s">
        <v>223</v>
      </c>
      <c r="G463" s="6" t="s">
        <v>1769</v>
      </c>
      <c r="H463" s="40" t="s">
        <v>11842</v>
      </c>
      <c r="I463" s="7" t="s">
        <v>521</v>
      </c>
      <c r="J463" s="28" t="str">
        <f>IF(shinsei_NUSHI_POST="","",shinsei_NUSHI_POST)</f>
        <v>代表取締役社長</v>
      </c>
    </row>
    <row r="464" spans="1:25" ht="18" customHeight="1">
      <c r="E464" s="5" t="s">
        <v>224</v>
      </c>
      <c r="G464" s="6" t="s">
        <v>1770</v>
      </c>
      <c r="H464" s="40" t="s">
        <v>11800</v>
      </c>
      <c r="I464" s="7" t="s">
        <v>522</v>
      </c>
      <c r="J464" s="28" t="str">
        <f>IF(shinsei_NUSHI_NAME="","",shinsei_NUSHI_NAME)</f>
        <v>宮脇　宣綱</v>
      </c>
    </row>
    <row r="465" spans="2:10" ht="18" customHeight="1">
      <c r="E465" s="5" t="s">
        <v>225</v>
      </c>
      <c r="G465" s="6" t="s">
        <v>1771</v>
      </c>
      <c r="H465" s="40" t="s">
        <v>11808</v>
      </c>
      <c r="I465" s="7" t="s">
        <v>523</v>
      </c>
      <c r="J465" s="28" t="str">
        <f>IF(shinsei_NUSHI_POST_CODE="","",shinsei_NUSHI_POST_CODE)</f>
        <v>596-8588</v>
      </c>
    </row>
    <row r="466" spans="2:10" ht="18" customHeight="1">
      <c r="E466" s="5" t="s">
        <v>2768</v>
      </c>
      <c r="G466" s="6" t="s">
        <v>1772</v>
      </c>
      <c r="H466" s="40" t="s">
        <v>11801</v>
      </c>
      <c r="I466" s="7" t="s">
        <v>524</v>
      </c>
      <c r="J466" s="28" t="str">
        <f>IF(shinsei_NUSHI__address="","",shinsei_NUSHI__address)</f>
        <v>大阪府岸和田市土生町1丁目4番23号</v>
      </c>
    </row>
    <row r="467" spans="2:10" ht="18" customHeight="1">
      <c r="E467" s="5" t="s">
        <v>2771</v>
      </c>
      <c r="G467" s="6" t="s">
        <v>1773</v>
      </c>
      <c r="H467" s="40" t="s">
        <v>11807</v>
      </c>
      <c r="I467" s="7" t="s">
        <v>525</v>
      </c>
      <c r="J467" s="28" t="str">
        <f>IF(shinsei_NUSHI_TEL="","",shinsei_NUSHI_TEL)</f>
        <v>072-437-8700</v>
      </c>
    </row>
    <row r="468" spans="2:10" ht="18" customHeight="1">
      <c r="I468" s="49"/>
    </row>
    <row r="469" spans="2:10" ht="18" customHeight="1">
      <c r="B469" s="5" t="s">
        <v>229</v>
      </c>
      <c r="I469" s="49"/>
    </row>
    <row r="470" spans="2:10" ht="18" customHeight="1">
      <c r="E470" s="5" t="s">
        <v>2766</v>
      </c>
      <c r="G470" s="6" t="s">
        <v>1774</v>
      </c>
      <c r="H470" s="40"/>
      <c r="I470" s="7" t="s">
        <v>230</v>
      </c>
      <c r="J470" s="28" t="str">
        <f>IF(shinsei_owner2_CORP="","",shinsei_owner2_CORP)</f>
        <v/>
      </c>
    </row>
    <row r="471" spans="2:10" ht="18" customHeight="1">
      <c r="E471" s="5" t="s">
        <v>222</v>
      </c>
      <c r="G471" s="6" t="s">
        <v>231</v>
      </c>
      <c r="H471" s="40"/>
      <c r="I471" s="7" t="s">
        <v>232</v>
      </c>
      <c r="J471" s="28" t="str">
        <f>IF(shinsei_owner2_NAME_KANA="","",shinsei_owner2_NAME_KANA)</f>
        <v/>
      </c>
    </row>
    <row r="472" spans="2:10" ht="18" customHeight="1">
      <c r="E472" s="5" t="s">
        <v>223</v>
      </c>
      <c r="G472" s="6" t="s">
        <v>233</v>
      </c>
      <c r="H472" s="40"/>
      <c r="I472" s="7" t="s">
        <v>234</v>
      </c>
      <c r="J472" s="28" t="str">
        <f>IF(shinsei_owner2_POST="","",shinsei_owner2_POST)</f>
        <v/>
      </c>
    </row>
    <row r="473" spans="2:10" ht="18" customHeight="1">
      <c r="E473" s="5" t="s">
        <v>224</v>
      </c>
      <c r="G473" s="6" t="s">
        <v>235</v>
      </c>
      <c r="H473" s="40"/>
      <c r="I473" s="7" t="s">
        <v>236</v>
      </c>
      <c r="J473" s="28" t="str">
        <f>IF(shinsei_owner2_NAME="","",shinsei_owner2_NAME)</f>
        <v/>
      </c>
    </row>
    <row r="474" spans="2:10" ht="18" customHeight="1">
      <c r="E474" s="5" t="s">
        <v>225</v>
      </c>
      <c r="G474" s="6" t="s">
        <v>237</v>
      </c>
      <c r="H474" s="40"/>
      <c r="I474" s="7" t="s">
        <v>526</v>
      </c>
      <c r="J474" s="28" t="str">
        <f>IF(shinsei_owner2_POST_CODE="","",shinsei_owner2_POST_CODE)</f>
        <v/>
      </c>
    </row>
    <row r="475" spans="2:10" ht="18" customHeight="1">
      <c r="E475" s="5" t="s">
        <v>2768</v>
      </c>
      <c r="G475" s="6" t="s">
        <v>238</v>
      </c>
      <c r="H475" s="40"/>
      <c r="I475" s="7" t="s">
        <v>239</v>
      </c>
      <c r="J475" s="28" t="str">
        <f>IF(shinsei_owner2__address="","",shinsei_owner2__address)</f>
        <v/>
      </c>
    </row>
    <row r="476" spans="2:10" ht="18" customHeight="1">
      <c r="E476" s="5" t="s">
        <v>2771</v>
      </c>
      <c r="G476" s="6" t="s">
        <v>240</v>
      </c>
      <c r="H476" s="40"/>
      <c r="I476" s="7" t="s">
        <v>241</v>
      </c>
      <c r="J476" s="28" t="str">
        <f>IF(shinsei_owner2_TEL="","",shinsei_owner2_TEL)</f>
        <v/>
      </c>
    </row>
    <row r="477" spans="2:10" ht="18" customHeight="1">
      <c r="I477" s="49"/>
    </row>
    <row r="478" spans="2:10" ht="18" customHeight="1">
      <c r="B478" s="5" t="s">
        <v>242</v>
      </c>
      <c r="I478" s="49"/>
    </row>
    <row r="479" spans="2:10" ht="18" customHeight="1">
      <c r="E479" s="5" t="s">
        <v>2766</v>
      </c>
      <c r="G479" s="6" t="s">
        <v>243</v>
      </c>
      <c r="H479" s="40"/>
      <c r="I479" s="7" t="s">
        <v>244</v>
      </c>
      <c r="J479" s="28" t="str">
        <f>IF(shinsei_owner3_CORP="","",shinsei_owner3_CORP)</f>
        <v/>
      </c>
    </row>
    <row r="480" spans="2:10" ht="18" customHeight="1">
      <c r="E480" s="5" t="s">
        <v>222</v>
      </c>
      <c r="G480" s="6" t="s">
        <v>245</v>
      </c>
      <c r="H480" s="40"/>
      <c r="I480" s="7" t="s">
        <v>246</v>
      </c>
      <c r="J480" s="28" t="str">
        <f>IF(shinsei_owner3_NAME_KANA="","",shinsei_owner3_NAME_KANA)</f>
        <v/>
      </c>
    </row>
    <row r="481" spans="2:10" ht="18" customHeight="1">
      <c r="E481" s="5" t="s">
        <v>223</v>
      </c>
      <c r="G481" s="6" t="s">
        <v>247</v>
      </c>
      <c r="H481" s="40"/>
      <c r="I481" s="7" t="s">
        <v>248</v>
      </c>
      <c r="J481" s="28" t="str">
        <f>IF(shinsei_owner3_POST="","",shinsei_owner3_POST)</f>
        <v/>
      </c>
    </row>
    <row r="482" spans="2:10" ht="18" customHeight="1">
      <c r="E482" s="5" t="s">
        <v>224</v>
      </c>
      <c r="G482" s="6" t="s">
        <v>249</v>
      </c>
      <c r="H482" s="40"/>
      <c r="I482" s="7" t="s">
        <v>250</v>
      </c>
      <c r="J482" s="28" t="str">
        <f>IF(shinsei_owner3_NAME="","",shinsei_owner3_NAME)</f>
        <v/>
      </c>
    </row>
    <row r="483" spans="2:10" ht="18" customHeight="1">
      <c r="E483" s="5" t="s">
        <v>225</v>
      </c>
      <c r="G483" s="6" t="s">
        <v>251</v>
      </c>
      <c r="H483" s="40"/>
      <c r="I483" s="7" t="s">
        <v>527</v>
      </c>
      <c r="J483" s="28" t="str">
        <f>IF(shinsei_owner3_POST_CODE="","",shinsei_owner3_POST_CODE)</f>
        <v/>
      </c>
    </row>
    <row r="484" spans="2:10" ht="18" customHeight="1">
      <c r="E484" s="5" t="s">
        <v>2768</v>
      </c>
      <c r="G484" s="6" t="s">
        <v>252</v>
      </c>
      <c r="H484" s="40"/>
      <c r="I484" s="7" t="s">
        <v>253</v>
      </c>
      <c r="J484" s="28" t="str">
        <f>IF(shinsei_owner3__address="","",shinsei_owner3__address)</f>
        <v/>
      </c>
    </row>
    <row r="485" spans="2:10" ht="18" customHeight="1">
      <c r="E485" s="5" t="s">
        <v>2771</v>
      </c>
      <c r="G485" s="6" t="s">
        <v>254</v>
      </c>
      <c r="H485" s="40"/>
      <c r="I485" s="7" t="s">
        <v>255</v>
      </c>
      <c r="J485" s="28" t="str">
        <f>IF(shinsei_owner3_TEL="","",shinsei_owner3_TEL)</f>
        <v/>
      </c>
    </row>
    <row r="486" spans="2:10" ht="18" customHeight="1">
      <c r="I486" s="49"/>
    </row>
    <row r="487" spans="2:10" ht="18" customHeight="1">
      <c r="B487" s="5" t="s">
        <v>256</v>
      </c>
      <c r="I487" s="49"/>
    </row>
    <row r="488" spans="2:10" ht="18" customHeight="1">
      <c r="E488" s="5" t="s">
        <v>2766</v>
      </c>
      <c r="G488" s="6" t="s">
        <v>257</v>
      </c>
      <c r="H488" s="40"/>
      <c r="I488" s="7" t="s">
        <v>258</v>
      </c>
      <c r="J488" s="28" t="str">
        <f>IF(shinsei_owner4_CORP="","",shinsei_owner4_CORP)</f>
        <v/>
      </c>
    </row>
    <row r="489" spans="2:10" ht="18" customHeight="1">
      <c r="E489" s="5" t="s">
        <v>222</v>
      </c>
      <c r="G489" s="6" t="s">
        <v>259</v>
      </c>
      <c r="H489" s="40"/>
      <c r="I489" s="7" t="s">
        <v>260</v>
      </c>
      <c r="J489" s="28" t="str">
        <f>IF(shinsei_owner4_NAME_KANA="","",shinsei_owner4_NAME_KANA)</f>
        <v/>
      </c>
    </row>
    <row r="490" spans="2:10" ht="18" customHeight="1">
      <c r="E490" s="5" t="s">
        <v>223</v>
      </c>
      <c r="G490" s="6" t="s">
        <v>261</v>
      </c>
      <c r="H490" s="40"/>
      <c r="I490" s="7" t="s">
        <v>262</v>
      </c>
      <c r="J490" s="28" t="str">
        <f>IF(shinsei_owner4_POST="","",shinsei_owner4_POST)</f>
        <v/>
      </c>
    </row>
    <row r="491" spans="2:10" ht="18" customHeight="1">
      <c r="E491" s="5" t="s">
        <v>224</v>
      </c>
      <c r="G491" s="6" t="s">
        <v>263</v>
      </c>
      <c r="H491" s="40"/>
      <c r="I491" s="7" t="s">
        <v>264</v>
      </c>
      <c r="J491" s="28" t="str">
        <f>IF(shinsei_owner4_NAME="","",shinsei_owner4_NAME)</f>
        <v/>
      </c>
    </row>
    <row r="492" spans="2:10" ht="18" customHeight="1">
      <c r="E492" s="5" t="s">
        <v>225</v>
      </c>
      <c r="G492" s="6" t="s">
        <v>265</v>
      </c>
      <c r="H492" s="40"/>
      <c r="I492" s="7" t="s">
        <v>528</v>
      </c>
      <c r="J492" s="28" t="str">
        <f>IF(shinsei_owner4_POST_CODE="","",shinsei_owner4_POST_CODE)</f>
        <v/>
      </c>
    </row>
    <row r="493" spans="2:10" ht="18" customHeight="1">
      <c r="E493" s="5" t="s">
        <v>2768</v>
      </c>
      <c r="G493" s="6" t="s">
        <v>266</v>
      </c>
      <c r="H493" s="40"/>
      <c r="I493" s="7" t="s">
        <v>267</v>
      </c>
      <c r="J493" s="28" t="str">
        <f>IF(shinsei_owner4__address="","",shinsei_owner4__address)</f>
        <v/>
      </c>
    </row>
    <row r="494" spans="2:10" ht="18" customHeight="1">
      <c r="E494" s="5" t="s">
        <v>2771</v>
      </c>
      <c r="G494" s="6" t="s">
        <v>268</v>
      </c>
      <c r="H494" s="40"/>
      <c r="I494" s="7" t="s">
        <v>269</v>
      </c>
      <c r="J494" s="28" t="str">
        <f>IF(shinsei_owner4_TEL="","",shinsei_owner4_TEL)</f>
        <v/>
      </c>
    </row>
    <row r="495" spans="2:10" ht="18" customHeight="1">
      <c r="I495" s="49"/>
    </row>
    <row r="496" spans="2:10" ht="18" customHeight="1">
      <c r="B496" s="5" t="s">
        <v>270</v>
      </c>
      <c r="I496" s="49"/>
    </row>
    <row r="497" spans="2:10" ht="18" customHeight="1">
      <c r="E497" s="5" t="s">
        <v>2766</v>
      </c>
      <c r="G497" s="6" t="s">
        <v>3223</v>
      </c>
      <c r="H497" s="40"/>
      <c r="I497" s="7" t="s">
        <v>3224</v>
      </c>
      <c r="J497" s="28" t="str">
        <f>IF(shinsei_owner5_CORP="","",shinsei_owner5_CORP)</f>
        <v/>
      </c>
    </row>
    <row r="498" spans="2:10" ht="18" customHeight="1">
      <c r="E498" s="5" t="s">
        <v>222</v>
      </c>
      <c r="G498" s="6" t="s">
        <v>3225</v>
      </c>
      <c r="H498" s="40"/>
      <c r="I498" s="7" t="s">
        <v>3226</v>
      </c>
      <c r="J498" s="28" t="str">
        <f>IF(shinsei_owner5_NAME_KANA="","",shinsei_owner5_NAME_KANA)</f>
        <v/>
      </c>
    </row>
    <row r="499" spans="2:10" ht="18" customHeight="1">
      <c r="E499" s="5" t="s">
        <v>223</v>
      </c>
      <c r="G499" s="6" t="s">
        <v>3227</v>
      </c>
      <c r="H499" s="40"/>
      <c r="I499" s="7" t="s">
        <v>3228</v>
      </c>
      <c r="J499" s="28" t="str">
        <f>IF(shinsei_owner5_POST="","",shinsei_owner5_POST)</f>
        <v/>
      </c>
    </row>
    <row r="500" spans="2:10" ht="18" customHeight="1">
      <c r="E500" s="5" t="s">
        <v>224</v>
      </c>
      <c r="G500" s="6" t="s">
        <v>3229</v>
      </c>
      <c r="H500" s="40"/>
      <c r="I500" s="7" t="s">
        <v>3230</v>
      </c>
      <c r="J500" s="28" t="str">
        <f>IF(shinsei_owner5_NAME="","",shinsei_owner5_NAME)</f>
        <v/>
      </c>
    </row>
    <row r="501" spans="2:10" ht="18" customHeight="1">
      <c r="E501" s="5" t="s">
        <v>225</v>
      </c>
      <c r="G501" s="6" t="s">
        <v>3231</v>
      </c>
      <c r="H501" s="40"/>
      <c r="I501" s="7" t="s">
        <v>529</v>
      </c>
      <c r="J501" s="28" t="str">
        <f>IF(shinsei_owner5_POST_CODE="","",shinsei_owner5_POST_CODE)</f>
        <v/>
      </c>
    </row>
    <row r="502" spans="2:10" ht="18" customHeight="1">
      <c r="E502" s="5" t="s">
        <v>2768</v>
      </c>
      <c r="G502" s="6" t="s">
        <v>3232</v>
      </c>
      <c r="H502" s="40"/>
      <c r="I502" s="7" t="s">
        <v>3233</v>
      </c>
      <c r="J502" s="28" t="str">
        <f>IF(shinsei_owner5__address="","",shinsei_owner5__address)</f>
        <v/>
      </c>
    </row>
    <row r="503" spans="2:10" ht="18" customHeight="1">
      <c r="E503" s="5" t="s">
        <v>2771</v>
      </c>
      <c r="G503" s="6" t="s">
        <v>3234</v>
      </c>
      <c r="H503" s="40"/>
      <c r="I503" s="7" t="s">
        <v>3235</v>
      </c>
      <c r="J503" s="28" t="str">
        <f>IF(shinsei_owner5_TEL="","",shinsei_owner5_TEL)</f>
        <v/>
      </c>
    </row>
    <row r="504" spans="2:10" ht="18" customHeight="1">
      <c r="I504" s="49"/>
    </row>
    <row r="505" spans="2:10" ht="18" customHeight="1">
      <c r="B505" s="5" t="s">
        <v>3236</v>
      </c>
      <c r="I505" s="49"/>
    </row>
    <row r="506" spans="2:10" ht="18" customHeight="1">
      <c r="E506" s="5" t="s">
        <v>2766</v>
      </c>
      <c r="G506" s="6" t="s">
        <v>3237</v>
      </c>
      <c r="H506" s="40"/>
      <c r="I506" s="7" t="s">
        <v>3238</v>
      </c>
      <c r="J506" s="28" t="str">
        <f>IF(shinsei_owner6_CORP="","",shinsei_owner6_CORP)</f>
        <v/>
      </c>
    </row>
    <row r="507" spans="2:10" ht="18" customHeight="1">
      <c r="E507" s="5" t="s">
        <v>222</v>
      </c>
      <c r="G507" s="6" t="s">
        <v>3239</v>
      </c>
      <c r="H507" s="40"/>
      <c r="I507" s="7" t="s">
        <v>3240</v>
      </c>
      <c r="J507" s="28" t="str">
        <f>IF(shinsei_owner6_NAME_KANA="","",shinsei_owner6_NAME_KANA)</f>
        <v/>
      </c>
    </row>
    <row r="508" spans="2:10" ht="18" customHeight="1">
      <c r="E508" s="5" t="s">
        <v>223</v>
      </c>
      <c r="G508" s="6" t="s">
        <v>3241</v>
      </c>
      <c r="H508" s="40"/>
      <c r="I508" s="7" t="s">
        <v>3242</v>
      </c>
      <c r="J508" s="28" t="str">
        <f>IF(shinsei_owner6_POST="","",shinsei_owner6_POST)</f>
        <v/>
      </c>
    </row>
    <row r="509" spans="2:10" ht="18" customHeight="1">
      <c r="E509" s="5" t="s">
        <v>224</v>
      </c>
      <c r="G509" s="6" t="s">
        <v>3243</v>
      </c>
      <c r="H509" s="40"/>
      <c r="I509" s="7" t="s">
        <v>3244</v>
      </c>
      <c r="J509" s="28" t="str">
        <f>IF(shinsei_owner6_NAME="","",shinsei_owner6_NAME)</f>
        <v/>
      </c>
    </row>
    <row r="510" spans="2:10" ht="18" customHeight="1">
      <c r="E510" s="5" t="s">
        <v>225</v>
      </c>
      <c r="G510" s="6" t="s">
        <v>3245</v>
      </c>
      <c r="H510" s="40"/>
      <c r="I510" s="7" t="s">
        <v>530</v>
      </c>
      <c r="J510" s="28" t="str">
        <f>IF(shinsei_owner6_POST_CODE="","",shinsei_owner6_POST_CODE)</f>
        <v/>
      </c>
    </row>
    <row r="511" spans="2:10" ht="18" customHeight="1">
      <c r="E511" s="5" t="s">
        <v>2768</v>
      </c>
      <c r="G511" s="6" t="s">
        <v>3246</v>
      </c>
      <c r="H511" s="40"/>
      <c r="I511" s="7" t="s">
        <v>3247</v>
      </c>
      <c r="J511" s="28" t="str">
        <f>IF(shinsei_owner6__address="","",shinsei_owner6__address)</f>
        <v/>
      </c>
    </row>
    <row r="512" spans="2:10" ht="18" customHeight="1">
      <c r="E512" s="5" t="s">
        <v>2771</v>
      </c>
      <c r="G512" s="6" t="s">
        <v>3248</v>
      </c>
      <c r="H512" s="40"/>
      <c r="I512" s="7" t="s">
        <v>3249</v>
      </c>
      <c r="J512" s="28" t="str">
        <f>IF(shinsei_owner6_TEL="","",shinsei_owner6_TEL)</f>
        <v/>
      </c>
    </row>
    <row r="513" spans="2:10" ht="18" customHeight="1">
      <c r="I513" s="49"/>
    </row>
    <row r="514" spans="2:10" ht="18" customHeight="1">
      <c r="B514" s="5" t="s">
        <v>3250</v>
      </c>
      <c r="I514" s="49"/>
    </row>
    <row r="515" spans="2:10" ht="18" customHeight="1">
      <c r="E515" s="5" t="s">
        <v>2766</v>
      </c>
      <c r="G515" s="6" t="s">
        <v>3251</v>
      </c>
      <c r="H515" s="40"/>
      <c r="I515" s="7" t="s">
        <v>3252</v>
      </c>
      <c r="J515" s="28" t="str">
        <f>IF(shinsei_owner7_CORP="","",shinsei_owner7_CORP)</f>
        <v/>
      </c>
    </row>
    <row r="516" spans="2:10" ht="18" customHeight="1">
      <c r="E516" s="5" t="s">
        <v>222</v>
      </c>
      <c r="G516" s="6" t="s">
        <v>3253</v>
      </c>
      <c r="H516" s="40"/>
      <c r="I516" s="7" t="s">
        <v>3254</v>
      </c>
      <c r="J516" s="28" t="str">
        <f>IF(shinsei_owner7_NAME_KANA="","",shinsei_owner7_NAME_KANA)</f>
        <v/>
      </c>
    </row>
    <row r="517" spans="2:10" ht="18" customHeight="1">
      <c r="E517" s="5" t="s">
        <v>223</v>
      </c>
      <c r="G517" s="6" t="s">
        <v>3255</v>
      </c>
      <c r="H517" s="40"/>
      <c r="I517" s="7" t="s">
        <v>3256</v>
      </c>
      <c r="J517" s="28" t="str">
        <f>IF(shinsei_owner7_POST="","",shinsei_owner7_POST)</f>
        <v/>
      </c>
    </row>
    <row r="518" spans="2:10" ht="18" customHeight="1">
      <c r="E518" s="5" t="s">
        <v>224</v>
      </c>
      <c r="G518" s="6" t="s">
        <v>3257</v>
      </c>
      <c r="H518" s="40"/>
      <c r="I518" s="7" t="s">
        <v>3258</v>
      </c>
      <c r="J518" s="28" t="str">
        <f>IF(shinsei_owner7_NAME="","",shinsei_owner7_NAME)</f>
        <v/>
      </c>
    </row>
    <row r="519" spans="2:10" ht="18" customHeight="1">
      <c r="E519" s="5" t="s">
        <v>225</v>
      </c>
      <c r="G519" s="6" t="s">
        <v>3259</v>
      </c>
      <c r="H519" s="40"/>
      <c r="I519" s="7" t="s">
        <v>531</v>
      </c>
      <c r="J519" s="28" t="str">
        <f>IF(shinsei_owner7_POST_CODE="","",shinsei_owner7_POST_CODE)</f>
        <v/>
      </c>
    </row>
    <row r="520" spans="2:10" ht="18" customHeight="1">
      <c r="E520" s="5" t="s">
        <v>2768</v>
      </c>
      <c r="G520" s="6" t="s">
        <v>3260</v>
      </c>
      <c r="H520" s="40"/>
      <c r="I520" s="7" t="s">
        <v>3261</v>
      </c>
      <c r="J520" s="28" t="str">
        <f>IF(shinsei_owner7__address="","",shinsei_owner7__address)</f>
        <v/>
      </c>
    </row>
    <row r="521" spans="2:10" ht="18" customHeight="1">
      <c r="E521" s="5" t="s">
        <v>2771</v>
      </c>
      <c r="G521" s="6" t="s">
        <v>3262</v>
      </c>
      <c r="H521" s="40"/>
      <c r="I521" s="7" t="s">
        <v>3263</v>
      </c>
      <c r="J521" s="28" t="str">
        <f>IF(shinsei_owner7_TEL="","",shinsei_owner7_TEL)</f>
        <v/>
      </c>
    </row>
    <row r="522" spans="2:10" ht="18" customHeight="1">
      <c r="I522" s="49"/>
    </row>
    <row r="523" spans="2:10" ht="18" customHeight="1">
      <c r="B523" s="5" t="s">
        <v>3264</v>
      </c>
      <c r="I523" s="49"/>
    </row>
    <row r="524" spans="2:10" ht="18" customHeight="1">
      <c r="E524" s="5" t="s">
        <v>2766</v>
      </c>
      <c r="G524" s="6" t="s">
        <v>3265</v>
      </c>
      <c r="H524" s="40"/>
      <c r="I524" s="7" t="s">
        <v>3266</v>
      </c>
      <c r="J524" s="28" t="str">
        <f>IF(shinsei_owner8_CORP="","",shinsei_owner8_CORP)</f>
        <v/>
      </c>
    </row>
    <row r="525" spans="2:10" ht="18" customHeight="1">
      <c r="E525" s="5" t="s">
        <v>222</v>
      </c>
      <c r="G525" s="6" t="s">
        <v>3267</v>
      </c>
      <c r="H525" s="40"/>
      <c r="I525" s="7" t="s">
        <v>3268</v>
      </c>
      <c r="J525" s="28" t="str">
        <f>IF(shinsei_owner8_NAME_KANA="","",shinsei_owner8_NAME_KANA)</f>
        <v/>
      </c>
    </row>
    <row r="526" spans="2:10" ht="18" customHeight="1">
      <c r="E526" s="5" t="s">
        <v>223</v>
      </c>
      <c r="G526" s="6" t="s">
        <v>3269</v>
      </c>
      <c r="H526" s="40"/>
      <c r="I526" s="7" t="s">
        <v>3270</v>
      </c>
      <c r="J526" s="28" t="str">
        <f>IF(shinsei_owner8_POST="","",shinsei_owner8_POST)</f>
        <v/>
      </c>
    </row>
    <row r="527" spans="2:10" ht="18" customHeight="1">
      <c r="E527" s="5" t="s">
        <v>224</v>
      </c>
      <c r="G527" s="6" t="s">
        <v>3271</v>
      </c>
      <c r="H527" s="40"/>
      <c r="I527" s="7" t="s">
        <v>3272</v>
      </c>
      <c r="J527" s="28" t="str">
        <f>IF(shinsei_owner8_NAME="","",shinsei_owner8_NAME)</f>
        <v/>
      </c>
    </row>
    <row r="528" spans="2:10" ht="18" customHeight="1">
      <c r="E528" s="5" t="s">
        <v>225</v>
      </c>
      <c r="G528" s="6" t="s">
        <v>3273</v>
      </c>
      <c r="H528" s="40"/>
      <c r="I528" s="7" t="s">
        <v>532</v>
      </c>
      <c r="J528" s="28" t="str">
        <f>IF(shinsei_owner8_POST_CODE="","",shinsei_owner8_POST_CODE)</f>
        <v/>
      </c>
    </row>
    <row r="529" spans="2:10" ht="18" customHeight="1">
      <c r="E529" s="5" t="s">
        <v>2768</v>
      </c>
      <c r="G529" s="6" t="s">
        <v>3274</v>
      </c>
      <c r="H529" s="40"/>
      <c r="I529" s="7" t="s">
        <v>3275</v>
      </c>
      <c r="J529" s="28" t="str">
        <f>IF(shinsei_owner8__address="","",shinsei_owner8__address)</f>
        <v/>
      </c>
    </row>
    <row r="530" spans="2:10" ht="18" customHeight="1">
      <c r="E530" s="5" t="s">
        <v>2771</v>
      </c>
      <c r="G530" s="6" t="s">
        <v>3276</v>
      </c>
      <c r="H530" s="40"/>
      <c r="I530" s="7" t="s">
        <v>3277</v>
      </c>
      <c r="J530" s="28" t="str">
        <f>IF(shinsei_owner8_TEL="","",shinsei_owner8_TEL)</f>
        <v/>
      </c>
    </row>
    <row r="531" spans="2:10" ht="18" customHeight="1">
      <c r="I531" s="49"/>
    </row>
    <row r="532" spans="2:10" ht="18" customHeight="1">
      <c r="B532" s="5" t="s">
        <v>3278</v>
      </c>
      <c r="I532" s="49"/>
    </row>
    <row r="533" spans="2:10" ht="18" customHeight="1">
      <c r="E533" s="5" t="s">
        <v>2766</v>
      </c>
      <c r="G533" s="6" t="s">
        <v>3279</v>
      </c>
      <c r="H533" s="40"/>
      <c r="I533" s="7" t="s">
        <v>3280</v>
      </c>
      <c r="J533" s="28" t="str">
        <f>IF(shinsei_owner9_CORP="","",shinsei_owner9_CORP)</f>
        <v/>
      </c>
    </row>
    <row r="534" spans="2:10" ht="18" customHeight="1">
      <c r="E534" s="5" t="s">
        <v>222</v>
      </c>
      <c r="G534" s="6" t="s">
        <v>3281</v>
      </c>
      <c r="H534" s="40"/>
      <c r="I534" s="7" t="s">
        <v>3282</v>
      </c>
      <c r="J534" s="28" t="str">
        <f>IF(shinsei_owner9_NAME_KANA="","",shinsei_owner9_NAME_KANA)</f>
        <v/>
      </c>
    </row>
    <row r="535" spans="2:10" ht="18" customHeight="1">
      <c r="E535" s="5" t="s">
        <v>223</v>
      </c>
      <c r="G535" s="6" t="s">
        <v>3283</v>
      </c>
      <c r="H535" s="40"/>
      <c r="I535" s="7" t="s">
        <v>3284</v>
      </c>
      <c r="J535" s="28" t="str">
        <f>IF(shinsei_owner9_POST="","",shinsei_owner9_POST)</f>
        <v/>
      </c>
    </row>
    <row r="536" spans="2:10" ht="18" customHeight="1">
      <c r="E536" s="5" t="s">
        <v>224</v>
      </c>
      <c r="G536" s="6" t="s">
        <v>3285</v>
      </c>
      <c r="H536" s="40"/>
      <c r="I536" s="7" t="s">
        <v>3286</v>
      </c>
      <c r="J536" s="28" t="str">
        <f>IF(shinsei_owner9_NAME="","",shinsei_owner9_NAME)</f>
        <v/>
      </c>
    </row>
    <row r="537" spans="2:10" ht="18" customHeight="1">
      <c r="E537" s="5" t="s">
        <v>225</v>
      </c>
      <c r="G537" s="6" t="s">
        <v>3287</v>
      </c>
      <c r="H537" s="40"/>
      <c r="I537" s="7" t="s">
        <v>533</v>
      </c>
      <c r="J537" s="28" t="str">
        <f>IF(shinsei_owner9_POST_CODE="","",shinsei_owner9_POST_CODE)</f>
        <v/>
      </c>
    </row>
    <row r="538" spans="2:10" ht="18" customHeight="1">
      <c r="E538" s="5" t="s">
        <v>2768</v>
      </c>
      <c r="G538" s="6" t="s">
        <v>3288</v>
      </c>
      <c r="H538" s="40"/>
      <c r="I538" s="7" t="s">
        <v>3289</v>
      </c>
      <c r="J538" s="28" t="str">
        <f>IF(shinsei_owner9__address="","",shinsei_owner9__address)</f>
        <v/>
      </c>
    </row>
    <row r="539" spans="2:10" ht="18" customHeight="1">
      <c r="E539" s="5" t="s">
        <v>2771</v>
      </c>
      <c r="G539" s="6" t="s">
        <v>3290</v>
      </c>
      <c r="H539" s="40"/>
      <c r="I539" s="7" t="s">
        <v>3291</v>
      </c>
      <c r="J539" s="28" t="str">
        <f>IF(shinsei_owner9_TEL="","",shinsei_owner9_TEL)</f>
        <v/>
      </c>
    </row>
    <row r="540" spans="2:10" ht="18" customHeight="1">
      <c r="I540" s="49"/>
    </row>
    <row r="541" spans="2:10" ht="18" customHeight="1">
      <c r="I541" s="49"/>
    </row>
    <row r="542" spans="2:10" ht="18" customHeight="1">
      <c r="B542" s="5" t="s">
        <v>10826</v>
      </c>
      <c r="I542" s="49"/>
    </row>
    <row r="543" spans="2:10" ht="18" customHeight="1">
      <c r="I543" s="49"/>
    </row>
    <row r="544" spans="2:10" ht="18" customHeight="1">
      <c r="E544" s="5" t="s">
        <v>227</v>
      </c>
      <c r="I544" s="7" t="s">
        <v>10717</v>
      </c>
      <c r="J544" s="28" t="str">
        <f>IF(shinsei_NUSHI_CORP="","",shinsei_NUSHI_CORP)&amp;IF(AND(shinsei_NUSHI_CORP&lt;&gt;"",OR(shinsei_NUSHI_POST&lt;&gt;"",shinsei_NUSHI_NAME&lt;&gt;"")),"  ","")&amp;IF(shinsei_NUSHI_POST="","",shinsei_NUSHI_POST)&amp;IF(AND(shinsei_NUSHI_CORP&lt;&gt;"",shinsei_NUSHI_NAME&lt;&gt;""),"  ","")&amp;IF(shinsei_NUSHI_NAME="","",shinsei_NUSHI_NAME)</f>
        <v>フジ住宅株式会社  代表取締役社長  宮脇　宣綱</v>
      </c>
    </row>
    <row r="545" spans="2:10" ht="18" customHeight="1">
      <c r="E545" s="5" t="s">
        <v>229</v>
      </c>
      <c r="I545" s="7" t="s">
        <v>10736</v>
      </c>
      <c r="J545" s="28" t="str">
        <f>IF(shinsei_owner2_CORP="","",shinsei_owner2_CORP)&amp;IF(AND(shinsei_owner2_CORP&lt;&gt;"",OR(shinsei_owner2_POST&lt;&gt;"",shinsei_owner2_NAME&lt;&gt;"")),"  ","")&amp;IF(shinsei_owner2_POST="","",shinsei_owner2_POST)&amp;IF(AND(shinsei_owner2_POST&lt;&gt;"",shinsei_owner2_NAME&lt;&gt;""),"  ","")&amp;IF(shinsei_owner2_NAME="","",shinsei_owner2_NAME)</f>
        <v/>
      </c>
    </row>
    <row r="546" spans="2:10" ht="18" customHeight="1">
      <c r="E546" s="5" t="s">
        <v>242</v>
      </c>
      <c r="I546" s="7" t="s">
        <v>10737</v>
      </c>
      <c r="J546" s="28" t="str">
        <f>IF(shinsei_owner3_CORP="","",shinsei_owner3_CORP)&amp;IF(AND(shinsei_owner3_CORP&lt;&gt;"",OR(shinsei_owner3_POST&lt;&gt;"",shinsei_owner3_NAME&lt;&gt;"")),"  ","")&amp;IF(shinsei_owner3_POST="","",shinsei_owner3_POST)&amp;IF(AND(shinsei_owner3_POST&lt;&gt;"",shinsei_owner3_NAME&lt;&gt;""),"  ","")&amp;IF(shinsei_owner3_NAME="","",shinsei_owner3_NAME)</f>
        <v/>
      </c>
    </row>
    <row r="547" spans="2:10" ht="18" customHeight="1">
      <c r="E547" s="5" t="s">
        <v>256</v>
      </c>
      <c r="I547" s="7" t="s">
        <v>10738</v>
      </c>
      <c r="J547" s="28" t="str">
        <f>IF(shinsei_owner4_CORP="","",shinsei_owner4_CORP)&amp;IF(AND(shinsei_owner4_CORP&lt;&gt;"",OR(shinsei_owner4_POST&lt;&gt;"",shinsei_owner4_NAME&lt;&gt;"")),"  ","")&amp;IF(shinsei_owner4_POST="","",shinsei_owner4_POST)&amp;IF(AND(shinsei_owner4_POST&lt;&gt;"",shinsei_owner4_NAME&lt;&gt;""),"  ","")&amp;IF(shinsei_owner4_NAME="","",shinsei_owner4_NAME)</f>
        <v/>
      </c>
    </row>
    <row r="548" spans="2:10" ht="18" customHeight="1">
      <c r="E548" s="5" t="s">
        <v>270</v>
      </c>
      <c r="I548" s="7" t="s">
        <v>10739</v>
      </c>
      <c r="J548" s="28" t="str">
        <f>IF(shinsei_owner5_CORP="","",shinsei_owner5_CORP)&amp;IF(AND(shinsei_owner5_CORP&lt;&gt;"",OR(shinsei_owner5_POST&lt;&gt;"",shinsei_owner5_NAME&lt;&gt;"")),"  ","")&amp;IF(shinsei_owner5_POST="","",shinsei_owner5_POST)&amp;IF(AND(shinsei_owner5_POST&lt;&gt;"",shinsei_owner5_NAME&lt;&gt;""),"  ","")&amp;IF(shinsei_owner5_NAME="","",shinsei_owner5_NAME)</f>
        <v/>
      </c>
    </row>
    <row r="549" spans="2:10" ht="18" customHeight="1">
      <c r="E549" s="5" t="s">
        <v>3236</v>
      </c>
      <c r="I549" s="7" t="s">
        <v>10740</v>
      </c>
      <c r="J549" s="28" t="str">
        <f>IF(shinsei_owner6_CORP="","",shinsei_owner6_CORP)&amp;IF(AND(shinsei_owner6_CORP&lt;&gt;"",OR(shinsei_owner6_POST&lt;&gt;"",shinsei_owner6_NAME&lt;&gt;"")),"  ","")&amp;IF(shinsei_owner6_POST="","",shinsei_owner6_POST)&amp;IF(AND(shinsei_owner6_POST&lt;&gt;"",shinsei_owner6_NAME&lt;&gt;""),"  ","")&amp;IF(shinsei_owner6_NAME="","",shinsei_owner6_NAME)</f>
        <v/>
      </c>
    </row>
    <row r="550" spans="2:10" ht="18" customHeight="1">
      <c r="E550" s="5" t="s">
        <v>3250</v>
      </c>
      <c r="I550" s="7" t="s">
        <v>10741</v>
      </c>
      <c r="J550" s="28" t="str">
        <f>IF(shinsei_owner7_CORP="","",shinsei_owner7_CORP)&amp;IF(AND(shinsei_owner7_CORP&lt;&gt;"",OR(shinsei_owner7_POST&lt;&gt;"",shinsei_owner7_NAME&lt;&gt;"")),"  ","")&amp;IF(shinsei_owner7_POST="","",shinsei_owner7_POST)&amp;IF(AND(shinsei_owner7_POST&lt;&gt;"",shinsei_owner7_NAME&lt;&gt;""),"  ","")&amp;IF(shinsei_owner7_NAME="","",shinsei_owner7_NAME)</f>
        <v/>
      </c>
    </row>
    <row r="551" spans="2:10" ht="18" customHeight="1">
      <c r="E551" s="5" t="s">
        <v>3264</v>
      </c>
      <c r="I551" s="7" t="s">
        <v>10742</v>
      </c>
      <c r="J551" s="28" t="str">
        <f>IF(shinsei_owner8_CORP="","",shinsei_owner8_CORP)&amp;IF(AND(shinsei_owner8_CORP&lt;&gt;"",OR(shinsei_owner8_POST&lt;&gt;"",shinsei_owner8_NAME&lt;&gt;"")),"  ","")&amp;IF(shinsei_owner8_POST="","",shinsei_owner8_POST)&amp;IF(AND(shinsei_owner8_POST&lt;&gt;"",shinsei_owner8_NAME&lt;&gt;""),"  ","")&amp;IF(shinsei_owner8_NAME="","",shinsei_owner8_NAME)</f>
        <v/>
      </c>
    </row>
    <row r="552" spans="2:10" ht="18" customHeight="1">
      <c r="E552" s="5" t="s">
        <v>3278</v>
      </c>
      <c r="I552" s="7" t="s">
        <v>10743</v>
      </c>
      <c r="J552" s="28" t="str">
        <f>IF(shinsei_owner9_CORP="","",shinsei_owner9_CORP)&amp;IF(AND(shinsei_owner9_CORP&lt;&gt;"",OR(shinsei_owner9_POST&lt;&gt;"",shinsei_owner9_NAME&lt;&gt;"")),"  ","")&amp;IF(shinsei_owner9_POST="","",shinsei_owner9_POST)&amp;IF(AND(shinsei_owner9_POST&lt;&gt;"",shinsei_owner9_NAME&lt;&gt;""),"  ","")&amp;IF(shinsei_owner9_NAME="","",shinsei_owner9_NAME)</f>
        <v/>
      </c>
    </row>
    <row r="553" spans="2:10" ht="18" customHeight="1">
      <c r="I553" s="49"/>
    </row>
    <row r="554" spans="2:10" ht="18" customHeight="1">
      <c r="B554" s="5" t="s">
        <v>10825</v>
      </c>
      <c r="I554" s="49"/>
    </row>
    <row r="555" spans="2:10" ht="18" customHeight="1">
      <c r="I555" s="49"/>
    </row>
    <row r="556" spans="2:10" ht="18" customHeight="1">
      <c r="E556" s="5" t="s">
        <v>227</v>
      </c>
      <c r="I556" s="7" t="s">
        <v>10715</v>
      </c>
      <c r="J556" s="28" t="str">
        <f>IF(shinsei_NUSHI_CORP="","",IF(shinsei_NUSHI_NAME="",shinsei_NUSHI_CORP&amp;"　様",shinsei_NUSHI_CORP))&amp;IF(AND(shinsei_NUSHI_CORP&lt;&gt;"",OR(shinsei_NUSHI_POST&lt;&gt;"",shinsei_NUSHI_NAME&lt;&gt;"")),"  ","")&amp;IF(shinsei_NUSHI_POST="","",shinsei_NUSHI_POST)&amp;IF(AND(shinsei_NUSHI_CORP&lt;&gt;"",shinsei_NUSHI_NAME&lt;&gt;""),"  ","")&amp;IF(shinsei_NUSHI_NAME="","",shinsei_NUSHI_NAME&amp;"　様")</f>
        <v>フジ住宅株式会社  代表取締役社長  宮脇　宣綱　様</v>
      </c>
    </row>
    <row r="557" spans="2:10" ht="18" customHeight="1">
      <c r="E557" s="5" t="s">
        <v>229</v>
      </c>
      <c r="I557" s="7" t="s">
        <v>10728</v>
      </c>
      <c r="J557" s="28" t="str">
        <f>IF(shinsei_owner2_CORP="","",IF(shinsei_owner2_NAME="",shinsei_owner2_CORP&amp;"　様",shinsei_owner2_CORP))&amp;IF(AND(shinsei_owner2_CORP&lt;&gt;"",OR(shinsei_owner2_POST&lt;&gt;"",shinsei_owner2_NAME&lt;&gt;"")),"  ","")&amp;IF(shinsei_owner2_POST="","",shinsei_owner2_POST)&amp;IF(AND(shinsei_owner2_POST&lt;&gt;"",shinsei_owner2_NAME&lt;&gt;""),"  ","")&amp;IF(shinsei_owner2_NAME="","",shinsei_owner2_NAME&amp;"　様")</f>
        <v/>
      </c>
    </row>
    <row r="558" spans="2:10" ht="18" customHeight="1">
      <c r="E558" s="5" t="s">
        <v>242</v>
      </c>
      <c r="I558" s="7" t="s">
        <v>10729</v>
      </c>
      <c r="J558" s="28" t="str">
        <f>IF(shinsei_owner3_CORP="","",IF(shinsei_owner3_NAME="",shinsei_owner3_CORP&amp;"　様",shinsei_owner3_CORP))&amp;IF(AND(shinsei_owner3_CORP&lt;&gt;"",OR(shinsei_owner3_POST&lt;&gt;"",shinsei_owner3_NAME&lt;&gt;"")),"  ","")&amp;IF(shinsei_owner3_POST="","",shinsei_owner3_POST)&amp;IF(AND(shinsei_owner3_POST&lt;&gt;"",shinsei_owner3_NAME&lt;&gt;""),"  ","")&amp;IF(shinsei_owner3_NAME="","",shinsei_owner3_NAME&amp;"　様")</f>
        <v/>
      </c>
    </row>
    <row r="559" spans="2:10" ht="18" customHeight="1">
      <c r="E559" s="5" t="s">
        <v>256</v>
      </c>
      <c r="I559" s="7" t="s">
        <v>10730</v>
      </c>
      <c r="J559" s="28" t="str">
        <f>IF(shinsei_owner4_CORP="","",IF(shinsei_owner4_NAME="",shinsei_owner4_CORP&amp;"　様",shinsei_owner4_CORP))&amp;IF(AND(shinsei_owner4_CORP&lt;&gt;"",OR(shinsei_owner4_POST&lt;&gt;"",shinsei_owner4_NAME&lt;&gt;"")),"  ","")&amp;IF(shinsei_owner4_POST="","",shinsei_owner4_POST)&amp;IF(AND(shinsei_owner4_POST&lt;&gt;"",shinsei_owner4_NAME&lt;&gt;""),"  ","")&amp;IF(shinsei_owner4_NAME="","",shinsei_owner4_NAME&amp;"　様")</f>
        <v/>
      </c>
    </row>
    <row r="560" spans="2:10" ht="18" customHeight="1">
      <c r="E560" s="5" t="s">
        <v>270</v>
      </c>
      <c r="I560" s="7" t="s">
        <v>10731</v>
      </c>
      <c r="J560" s="28" t="str">
        <f>IF(shinsei_owner5_CORP="","",IF(shinsei_owner5_NAME="",shinsei_owner5_CORP&amp;"　様",shinsei_owner5_CORP))&amp;IF(AND(shinsei_owner5_CORP&lt;&gt;"",OR(shinsei_owner5_POST&lt;&gt;"",shinsei_owner5_NAME&lt;&gt;"")),"  ","")&amp;IF(shinsei_owner5_POST="","",shinsei_owner5_POST)&amp;IF(AND(shinsei_owner5_POST&lt;&gt;"",shinsei_owner5_NAME&lt;&gt;""),"  ","")&amp;IF(shinsei_owner5_NAME="","",shinsei_owner5_NAME&amp;"　様")</f>
        <v/>
      </c>
    </row>
    <row r="561" spans="2:10" ht="18" customHeight="1">
      <c r="E561" s="5" t="s">
        <v>3236</v>
      </c>
      <c r="I561" s="7" t="s">
        <v>10732</v>
      </c>
      <c r="J561" s="28" t="str">
        <f>IF(shinsei_owner6_CORP="","",IF(shinsei_owner6_NAME="",shinsei_owner6_CORP&amp;"　様",shinsei_owner6_CORP))&amp;IF(AND(shinsei_owner6_CORP&lt;&gt;"",OR(shinsei_owner6_POST&lt;&gt;"",shinsei_owner6_NAME&lt;&gt;"")),"  ","")&amp;IF(shinsei_owner6_POST="","",shinsei_owner6_POST)&amp;IF(AND(shinsei_owner6_POST&lt;&gt;"",shinsei_owner6_NAME&lt;&gt;""),"  ","")&amp;IF(shinsei_owner6_NAME="","",shinsei_owner6_NAME&amp;"　様")</f>
        <v/>
      </c>
    </row>
    <row r="562" spans="2:10" ht="18" customHeight="1">
      <c r="E562" s="5" t="s">
        <v>3250</v>
      </c>
      <c r="I562" s="7" t="s">
        <v>10733</v>
      </c>
      <c r="J562" s="28" t="str">
        <f>IF(shinsei_owner7_CORP="","",IF(shinsei_owner7_NAME="",shinsei_owner7_CORP&amp;"　様",shinsei_owner7_CORP))&amp;IF(AND(shinsei_owner7_CORP&lt;&gt;"",OR(shinsei_owner7_POST&lt;&gt;"",shinsei_owner7_NAME&lt;&gt;"")),"  ","")&amp;IF(shinsei_owner7_POST="","",shinsei_owner7_POST)&amp;IF(AND(shinsei_owner7_POST&lt;&gt;"",shinsei_owner7_NAME&lt;&gt;""),"  ","")&amp;IF(shinsei_owner7_NAME="","",shinsei_owner7_NAME&amp;"　様")</f>
        <v/>
      </c>
    </row>
    <row r="563" spans="2:10" ht="18" customHeight="1">
      <c r="E563" s="5" t="s">
        <v>3264</v>
      </c>
      <c r="I563" s="7" t="s">
        <v>10734</v>
      </c>
      <c r="J563" s="28" t="str">
        <f>IF(shinsei_owner8_CORP="","",IF(shinsei_owner8_NAME="",shinsei_owner8_CORP&amp;"　様",shinsei_owner8_CORP))&amp;IF(AND(shinsei_owner8_CORP&lt;&gt;"",OR(shinsei_owner8_POST&lt;&gt;"",shinsei_owner8_NAME&lt;&gt;"")),"  ","")&amp;IF(shinsei_owner8_POST="","",shinsei_owner8_POST)&amp;IF(AND(shinsei_owner8_POST&lt;&gt;"",shinsei_owner8_NAME&lt;&gt;""),"  ","")&amp;IF(shinsei_owner8_NAME="","",shinsei_owner8_NAME&amp;"　様")</f>
        <v/>
      </c>
    </row>
    <row r="564" spans="2:10" ht="18" customHeight="1">
      <c r="E564" s="5" t="s">
        <v>3278</v>
      </c>
      <c r="I564" s="7" t="s">
        <v>10735</v>
      </c>
      <c r="J564" s="28" t="str">
        <f>IF(shinsei_owner9_CORP="","",IF(shinsei_owner9_NAME="",shinsei_owner9_CORP&amp;"　様",shinsei_owner9_CORP))&amp;IF(AND(shinsei_owner9_CORP&lt;&gt;"",OR(shinsei_owner9_POST&lt;&gt;"",shinsei_owner9_NAME&lt;&gt;"")),"  ","")&amp;IF(shinsei_owner9_POST="","",shinsei_owner9_POST)&amp;IF(AND(shinsei_owner9_POST&lt;&gt;"",shinsei_owner9_NAME&lt;&gt;""),"  ","")&amp;IF(shinsei_owner9_NAME="","",shinsei_owner9_NAME&amp;"　様")</f>
        <v/>
      </c>
    </row>
    <row r="565" spans="2:10" ht="18" customHeight="1">
      <c r="I565" s="49"/>
    </row>
    <row r="566" spans="2:10" ht="18" customHeight="1">
      <c r="B566" s="5" t="s">
        <v>10824</v>
      </c>
      <c r="I566" s="49"/>
    </row>
    <row r="567" spans="2:10" ht="18" customHeight="1">
      <c r="I567" s="49"/>
    </row>
    <row r="568" spans="2:10" ht="18" customHeight="1">
      <c r="E568" s="5" t="s">
        <v>227</v>
      </c>
      <c r="I568" s="7" t="s">
        <v>10718</v>
      </c>
      <c r="J568" s="28" t="str">
        <f>IF(shinsei_NUSHI_CORP="","",shinsei_NUSHI_CORP)&amp;IF(AND(shinsei_NUSHI_CORP&lt;&gt;"",OR(shinsei_NUSHI_POST&lt;&gt;"",shinsei_NUSHI_NAME&lt;&gt;"")),CHAR(10),"")&amp;IF(shinsei_NUSHI_POST="","",shinsei_NUSHI_POST)&amp;IF(AND(shinsei_NUSHI_POST&lt;&gt;"",shinsei_NUSHI_NAME&lt;&gt;""),"  ","")&amp;IF(shinsei_NUSHI_NAME="","",shinsei_NUSHI_NAME)</f>
        <v>フジ住宅株式会社
代表取締役社長  宮脇　宣綱</v>
      </c>
    </row>
    <row r="569" spans="2:10" ht="18" customHeight="1">
      <c r="E569" s="5" t="s">
        <v>229</v>
      </c>
      <c r="I569" s="7" t="s">
        <v>10720</v>
      </c>
      <c r="J569" s="28" t="str">
        <f>IF(shinsei_owner2_CORP="","",shinsei_owner2_CORP)&amp;IF(AND(shinsei_owner2_CORP&lt;&gt;"",OR(shinsei_owner2_POST&lt;&gt;"",shinsei_owner2_NAME&lt;&gt;"")),CHAR(10),"")&amp;IF(shinsei_owner2_POST="","",shinsei_owner2_POST)&amp;IF(AND(shinsei_owner2_POST&lt;&gt;"",shinsei_owner2_NAME&lt;&gt;""),"  ","")&amp;IF(shinsei_owner2_NAME="","",shinsei_owner2_NAME)</f>
        <v/>
      </c>
    </row>
    <row r="570" spans="2:10" ht="18" customHeight="1">
      <c r="E570" s="5" t="s">
        <v>242</v>
      </c>
      <c r="I570" s="7" t="s">
        <v>10721</v>
      </c>
      <c r="J570" s="28" t="str">
        <f>IF(shinsei_owner3_CORP="","",shinsei_owner3_CORP)&amp;IF(AND(shinsei_owner3_CORP&lt;&gt;"",OR(shinsei_owner3_POST&lt;&gt;"",shinsei_owner3_NAME&lt;&gt;"")),CHAR(10),"")&amp;IF(shinsei_owner3_POST="","",shinsei_owner3_POST)&amp;IF(AND(shinsei_owner3_POST&lt;&gt;"",shinsei_owner3_NAME&lt;&gt;""),"  ","")&amp;IF(shinsei_owner3_NAME="","",shinsei_owner3_NAME)</f>
        <v/>
      </c>
    </row>
    <row r="571" spans="2:10" ht="18" customHeight="1">
      <c r="E571" s="5" t="s">
        <v>256</v>
      </c>
      <c r="I571" s="7" t="s">
        <v>10722</v>
      </c>
      <c r="J571" s="28" t="str">
        <f>IF(shinsei_owner4_CORP="","",shinsei_owner4_CORP)&amp;IF(AND(shinsei_owner4_CORP&lt;&gt;"",OR(shinsei_owner4_POST&lt;&gt;"",shinsei_owner4_NAME&lt;&gt;"")),CHAR(10),"")&amp;IF(shinsei_owner4_POST="","",shinsei_owner4_POST)&amp;IF(AND(shinsei_owner4_POST&lt;&gt;"",shinsei_owner4_NAME&lt;&gt;""),"  ","")&amp;IF(shinsei_owner4_NAME="","",shinsei_owner4_NAME)</f>
        <v/>
      </c>
    </row>
    <row r="572" spans="2:10" ht="18" customHeight="1">
      <c r="E572" s="5" t="s">
        <v>270</v>
      </c>
      <c r="I572" s="7" t="s">
        <v>10723</v>
      </c>
      <c r="J572" s="28" t="str">
        <f>IF(shinsei_owner5_CORP="","",shinsei_owner5_CORP)&amp;IF(AND(shinsei_owner5_CORP&lt;&gt;"",OR(shinsei_owner5_POST&lt;&gt;"",shinsei_owner5_NAME&lt;&gt;"")),CHAR(10),"")&amp;IF(shinsei_owner5_POST="","",shinsei_owner5_POST)&amp;IF(AND(shinsei_owner5_POST&lt;&gt;"",shinsei_owner5_NAME&lt;&gt;""),"  ","")&amp;IF(shinsei_owner5_NAME="","",shinsei_owner5_NAME)</f>
        <v/>
      </c>
    </row>
    <row r="573" spans="2:10" ht="18" customHeight="1">
      <c r="E573" s="5" t="s">
        <v>3236</v>
      </c>
      <c r="I573" s="7" t="s">
        <v>10724</v>
      </c>
      <c r="J573" s="28" t="str">
        <f>IF(shinsei_owner6_CORP="","",shinsei_owner6_CORP)&amp;IF(AND(shinsei_owner6_CORP&lt;&gt;"",OR(shinsei_owner6_POST&lt;&gt;"",shinsei_owner6_NAME&lt;&gt;"")),CHAR(10),"")&amp;IF(shinsei_owner6_POST="","",shinsei_owner6_POST)&amp;IF(AND(shinsei_owner6_POST&lt;&gt;"",shinsei_owner6_NAME&lt;&gt;""),"  ","")&amp;IF(shinsei_owner6_NAME="","",shinsei_owner6_NAME)</f>
        <v/>
      </c>
    </row>
    <row r="574" spans="2:10" ht="18" customHeight="1">
      <c r="E574" s="5" t="s">
        <v>3250</v>
      </c>
      <c r="I574" s="7" t="s">
        <v>10725</v>
      </c>
      <c r="J574" s="28" t="str">
        <f>IF(shinsei_owner7_CORP="","",shinsei_owner7_CORP)&amp;IF(AND(shinsei_owner7_CORP&lt;&gt;"",OR(shinsei_owner7_POST&lt;&gt;"",shinsei_owner7_NAME&lt;&gt;"")),CHAR(10),"")&amp;IF(shinsei_owner7_POST="","",shinsei_owner7_POST)&amp;IF(AND(shinsei_owner7_POST&lt;&gt;"",shinsei_owner7_NAME&lt;&gt;""),"  ","")&amp;IF(shinsei_owner7_NAME="","",shinsei_owner7_NAME)</f>
        <v/>
      </c>
    </row>
    <row r="575" spans="2:10" ht="18" customHeight="1">
      <c r="E575" s="5" t="s">
        <v>3264</v>
      </c>
      <c r="I575" s="7" t="s">
        <v>10726</v>
      </c>
      <c r="J575" s="28" t="str">
        <f>IF(shinsei_owner8_CORP="","",shinsei_owner8_CORP)&amp;IF(AND(shinsei_owner8_CORP&lt;&gt;"",OR(shinsei_owner8_POST&lt;&gt;"",shinsei_owner8_NAME&lt;&gt;"")),CHAR(10),"")&amp;IF(shinsei_owner8_POST="","",shinsei_owner8_POST)&amp;IF(AND(shinsei_owner8_POST&lt;&gt;"",shinsei_owner8_NAME&lt;&gt;""),"  ","")&amp;IF(shinsei_owner8_NAME="","",shinsei_owner8_NAME)</f>
        <v/>
      </c>
    </row>
    <row r="576" spans="2:10" ht="18" customHeight="1">
      <c r="E576" s="5" t="s">
        <v>3278</v>
      </c>
      <c r="I576" s="7" t="s">
        <v>10727</v>
      </c>
      <c r="J576" s="28" t="str">
        <f>IF(shinsei_owner9_CORP="","",shinsei_owner9_CORP)&amp;IF(AND(shinsei_owner9_CORP&lt;&gt;"",OR(shinsei_owner9_POST&lt;&gt;"",shinsei_owner9_NAME&lt;&gt;"")),CHAR(10),"")&amp;IF(shinsei_owner9_POST="","",shinsei_owner9_POST)&amp;IF(AND(shinsei_owner9_POST&lt;&gt;"",shinsei_owner9_NAME&lt;&gt;""),"  ","")&amp;IF(shinsei_owner9_NAME="","",shinsei_owner9_NAME)</f>
        <v/>
      </c>
    </row>
    <row r="577" spans="1:25" ht="18" customHeight="1">
      <c r="I577" s="49"/>
      <c r="O577" s="504"/>
      <c r="P577" s="504"/>
      <c r="Q577" s="504"/>
      <c r="R577" s="504"/>
      <c r="S577" s="504"/>
      <c r="T577" s="504"/>
      <c r="U577" s="504"/>
      <c r="V577" s="504"/>
      <c r="W577" s="504"/>
      <c r="X577" s="504"/>
      <c r="Y577" s="504"/>
    </row>
    <row r="578" spans="1:25" ht="18" customHeight="1">
      <c r="B578" s="5" t="s">
        <v>10823</v>
      </c>
      <c r="I578" s="49"/>
      <c r="O578" s="504"/>
      <c r="P578" s="504"/>
      <c r="Q578" s="504"/>
      <c r="R578" s="504"/>
      <c r="S578" s="504"/>
      <c r="T578" s="504"/>
      <c r="U578" s="504"/>
      <c r="V578" s="504"/>
      <c r="W578" s="504"/>
      <c r="X578" s="504"/>
      <c r="Y578" s="504"/>
    </row>
    <row r="579" spans="1:25" ht="18" customHeight="1">
      <c r="I579" s="49"/>
      <c r="O579" s="504"/>
      <c r="P579" s="504"/>
      <c r="Q579" s="504"/>
      <c r="R579" s="504"/>
      <c r="S579" s="504"/>
      <c r="T579" s="504"/>
      <c r="U579" s="504"/>
      <c r="V579" s="504"/>
      <c r="W579" s="504"/>
      <c r="X579" s="504"/>
      <c r="Y579" s="504"/>
    </row>
    <row r="580" spans="1:25" ht="18" customHeight="1">
      <c r="E580" s="5" t="s">
        <v>227</v>
      </c>
      <c r="I580" s="7" t="s">
        <v>10719</v>
      </c>
      <c r="J580" s="28" t="str">
        <f>IF(shinsei_NUSHI_CORP="","",IF(shinsei_NUSHI_NAME="",shinsei_NUSHI_CORP&amp;"　様",shinsei_NUSHI_CORP))&amp;IF(AND(shinsei_NUSHI_CORP&lt;&gt;"",OR(shinsei_NUSHI_POST&lt;&gt;"",shinsei_NUSHI_NAME&lt;&gt;"")),CHAR(10),"")&amp;IF(shinsei_NUSHI_POST="","",shinsei_NUSHI_POST)&amp;IF(AND(shinsei_NUSHI_POST&lt;&gt;"",shinsei_NUSHI_NAME&lt;&gt;""),"  ","")&amp;IF(shinsei_NUSHI_NAME="","",shinsei_NUSHI_NAME&amp;"　様")</f>
        <v>フジ住宅株式会社
代表取締役社長  宮脇　宣綱　様</v>
      </c>
      <c r="O580" s="504"/>
      <c r="P580" s="504"/>
      <c r="Q580" s="504"/>
      <c r="R580" s="504"/>
      <c r="S580" s="504"/>
      <c r="T580" s="504"/>
      <c r="U580" s="504"/>
      <c r="V580" s="504"/>
      <c r="W580" s="504"/>
      <c r="X580" s="504"/>
      <c r="Y580" s="504"/>
    </row>
    <row r="581" spans="1:25" ht="18" customHeight="1">
      <c r="E581" s="5" t="s">
        <v>229</v>
      </c>
      <c r="I581" s="7" t="s">
        <v>10744</v>
      </c>
      <c r="J581" s="28" t="str">
        <f>IF(shinsei_owner2_CORP="","",IF(shinsei_owner2_NAME="",shinsei_owner2_CORP&amp;"　様",shinsei_owner2_CORP))&amp;IF(AND(shinsei_owner2_CORP&lt;&gt;"",OR(shinsei_owner2_POST&lt;&gt;"",shinsei_owner2_NAME&lt;&gt;"")),CHAR(10),"")&amp;IF(shinsei_owner2_POST="","",shinsei_owner2_POST)&amp;IF(AND(shinsei_owner2_POST&lt;&gt;"",shinsei_owner2_NAME&lt;&gt;""),"  ","")&amp;IF(shinsei_owner2_NAME="","",shinsei_owner2_NAME&amp;"　様")</f>
        <v/>
      </c>
      <c r="O581" s="504"/>
      <c r="P581" s="504"/>
      <c r="Q581" s="504"/>
      <c r="R581" s="504"/>
      <c r="S581" s="504"/>
      <c r="T581" s="504"/>
      <c r="U581" s="504"/>
      <c r="V581" s="504"/>
      <c r="W581" s="504"/>
      <c r="X581" s="504"/>
      <c r="Y581" s="504"/>
    </row>
    <row r="582" spans="1:25" ht="18" customHeight="1">
      <c r="E582" s="5" t="s">
        <v>242</v>
      </c>
      <c r="I582" s="7" t="s">
        <v>10745</v>
      </c>
      <c r="J582" s="28" t="str">
        <f>IF(shinsei_owner3_CORP="","",IF(shinsei_owner3_NAME="",shinsei_owner3_CORP&amp;"　様",shinsei_owner3_CORP))&amp;IF(AND(shinsei_owner3_CORP&lt;&gt;"",OR(shinsei_owner3_POST&lt;&gt;"",shinsei_owner3_NAME&lt;&gt;"")),CHAR(10),"")&amp;IF(shinsei_owner3_POST="","",shinsei_owner3_POST)&amp;IF(AND(shinsei_owner3_POST&lt;&gt;"",shinsei_owner3_NAME&lt;&gt;""),"  ","")&amp;IF(shinsei_owner3_NAME="","",shinsei_owner3_NAME&amp;"　様")</f>
        <v/>
      </c>
      <c r="O582" s="504"/>
      <c r="P582" s="504"/>
      <c r="Q582" s="504"/>
      <c r="R582" s="504"/>
      <c r="S582" s="504"/>
      <c r="T582" s="504"/>
      <c r="U582" s="504"/>
      <c r="V582" s="504"/>
      <c r="W582" s="504"/>
      <c r="X582" s="504"/>
      <c r="Y582" s="504"/>
    </row>
    <row r="583" spans="1:25" ht="18" customHeight="1">
      <c r="E583" s="5" t="s">
        <v>256</v>
      </c>
      <c r="I583" s="7" t="s">
        <v>10746</v>
      </c>
      <c r="J583" s="28" t="str">
        <f>IF(shinsei_owner4_CORP="","",IF(shinsei_owner4_NAME="",shinsei_owner4_CORP&amp;"　様",shinsei_owner4_CORP))&amp;IF(AND(shinsei_owner4_CORP&lt;&gt;"",OR(shinsei_owner4_POST&lt;&gt;"",shinsei_owner4_NAME&lt;&gt;"")),CHAR(10),"")&amp;IF(shinsei_owner4_POST="","",shinsei_owner4_POST)&amp;IF(AND(shinsei_owner4_POST&lt;&gt;"",shinsei_owner4_NAME&lt;&gt;""),"  ","")&amp;IF(shinsei_owner4_NAME="","",shinsei_owner4_NAME&amp;"　様")</f>
        <v/>
      </c>
      <c r="O583" s="504"/>
      <c r="P583" s="504"/>
      <c r="Q583" s="504"/>
      <c r="R583" s="504"/>
      <c r="S583" s="504"/>
      <c r="T583" s="504"/>
      <c r="U583" s="504"/>
      <c r="V583" s="504"/>
      <c r="W583" s="504"/>
      <c r="X583" s="504"/>
      <c r="Y583" s="504"/>
    </row>
    <row r="584" spans="1:25" ht="18" customHeight="1">
      <c r="E584" s="5" t="s">
        <v>270</v>
      </c>
      <c r="I584" s="7" t="s">
        <v>10747</v>
      </c>
      <c r="J584" s="28" t="str">
        <f>IF(shinsei_owner5_CORP="","",IF(shinsei_owner5_NAME="",shinsei_owner5_CORP&amp;"　様",shinsei_owner5_CORP))&amp;IF(AND(shinsei_owner5_CORP&lt;&gt;"",OR(shinsei_owner5_POST&lt;&gt;"",shinsei_owner5_NAME&lt;&gt;"")),CHAR(10),"")&amp;IF(shinsei_owner5_POST="","",shinsei_owner5_POST)&amp;IF(AND(shinsei_owner5_POST&lt;&gt;"",shinsei_owner5_NAME&lt;&gt;""),"  ","")&amp;IF(shinsei_owner5_NAME="","",shinsei_owner5_NAME&amp;"　様")</f>
        <v/>
      </c>
      <c r="O584" s="504"/>
      <c r="P584" s="504"/>
      <c r="Q584" s="504"/>
      <c r="R584" s="504"/>
      <c r="S584" s="504"/>
      <c r="T584" s="504"/>
      <c r="U584" s="504"/>
      <c r="V584" s="504"/>
      <c r="W584" s="504"/>
      <c r="X584" s="504"/>
      <c r="Y584" s="504"/>
    </row>
    <row r="585" spans="1:25" ht="18" customHeight="1">
      <c r="E585" s="5" t="s">
        <v>3236</v>
      </c>
      <c r="I585" s="7" t="s">
        <v>10748</v>
      </c>
      <c r="J585" s="28" t="str">
        <f>IF(shinsei_owner6_CORP="","",IF(shinsei_owner6_NAME="",shinsei_owner6_CORP&amp;"　様",shinsei_owner6_CORP))&amp;IF(AND(shinsei_owner6_CORP&lt;&gt;"",OR(shinsei_owner6_POST&lt;&gt;"",shinsei_owner6_NAME&lt;&gt;"")),CHAR(10),"")&amp;IF(shinsei_owner6_POST="","",shinsei_owner6_POST)&amp;IF(AND(shinsei_owner6_POST&lt;&gt;"",shinsei_owner6_NAME&lt;&gt;""),"  ","")&amp;IF(shinsei_owner6_NAME="","",shinsei_owner6_NAME&amp;"　様")</f>
        <v/>
      </c>
      <c r="O585" s="504"/>
      <c r="P585" s="504"/>
      <c r="Q585" s="504"/>
      <c r="R585" s="504"/>
      <c r="S585" s="504"/>
      <c r="T585" s="504"/>
      <c r="U585" s="504"/>
      <c r="V585" s="504"/>
      <c r="W585" s="504"/>
      <c r="X585" s="504"/>
      <c r="Y585" s="504"/>
    </row>
    <row r="586" spans="1:25" ht="18" customHeight="1">
      <c r="E586" s="5" t="s">
        <v>3250</v>
      </c>
      <c r="I586" s="7" t="s">
        <v>10749</v>
      </c>
      <c r="J586" s="28" t="str">
        <f>IF(shinsei_owner7_CORP="","",IF(shinsei_owner7_NAME="",shinsei_owner7_CORP&amp;"　様",shinsei_owner7_CORP))&amp;IF(AND(shinsei_owner7_CORP&lt;&gt;"",OR(shinsei_owner7_POST&lt;&gt;"",shinsei_owner7_NAME&lt;&gt;"")),CHAR(10),"")&amp;IF(shinsei_owner7_POST="","",shinsei_owner7_POST)&amp;IF(AND(shinsei_owner7_POST&lt;&gt;"",shinsei_owner7_NAME&lt;&gt;""),"  ","")&amp;IF(shinsei_owner7_NAME="","",shinsei_owner7_NAME&amp;"　様")</f>
        <v/>
      </c>
      <c r="O586" s="504"/>
      <c r="P586" s="504"/>
      <c r="Q586" s="504"/>
      <c r="R586" s="504"/>
      <c r="S586" s="504"/>
      <c r="T586" s="504"/>
      <c r="U586" s="504"/>
      <c r="V586" s="504"/>
      <c r="W586" s="504"/>
      <c r="X586" s="504"/>
      <c r="Y586" s="504"/>
    </row>
    <row r="587" spans="1:25" ht="18" customHeight="1">
      <c r="E587" s="5" t="s">
        <v>3264</v>
      </c>
      <c r="I587" s="7" t="s">
        <v>10750</v>
      </c>
      <c r="J587" s="28" t="str">
        <f>IF(shinsei_owner8_CORP="","",IF(shinsei_owner8_NAME="",shinsei_owner8_CORP&amp;"　様",shinsei_owner8_CORP))&amp;IF(AND(shinsei_owner8_CORP&lt;&gt;"",OR(shinsei_owner8_POST&lt;&gt;"",shinsei_owner8_NAME&lt;&gt;"")),CHAR(10),"")&amp;IF(shinsei_owner8_POST="","",shinsei_owner8_POST)&amp;IF(AND(shinsei_owner8_POST&lt;&gt;"",shinsei_owner8_NAME&lt;&gt;""),"  ","")&amp;IF(shinsei_owner8_NAME="","",shinsei_owner8_NAME&amp;"　様")</f>
        <v/>
      </c>
      <c r="O587" s="504"/>
      <c r="P587" s="504"/>
      <c r="Q587" s="504"/>
      <c r="R587" s="504"/>
      <c r="S587" s="504"/>
      <c r="T587" s="504"/>
      <c r="U587" s="504"/>
      <c r="V587" s="504"/>
      <c r="W587" s="504"/>
      <c r="X587" s="504"/>
      <c r="Y587" s="504"/>
    </row>
    <row r="588" spans="1:25" ht="18" customHeight="1">
      <c r="E588" s="5" t="s">
        <v>3278</v>
      </c>
      <c r="I588" s="7" t="s">
        <v>10751</v>
      </c>
      <c r="J588" s="28" t="str">
        <f>IF(shinsei_owner9_CORP="","",IF(shinsei_owner9_NAME="",shinsei_owner9_CORP&amp;"　様",shinsei_owner9_CORP))&amp;IF(AND(shinsei_owner9_CORP&lt;&gt;"",OR(shinsei_owner9_POST&lt;&gt;"",shinsei_owner9_NAME&lt;&gt;"")),CHAR(10),"")&amp;IF(shinsei_owner9_POST="","",shinsei_owner9_POST)&amp;IF(AND(shinsei_owner9_POST&lt;&gt;"",shinsei_owner9_NAME&lt;&gt;""),"  ","")&amp;IF(shinsei_owner9_NAME="","",shinsei_owner9_NAME&amp;"　様")</f>
        <v/>
      </c>
      <c r="O588" s="504"/>
      <c r="P588" s="504"/>
      <c r="Q588" s="504"/>
      <c r="R588" s="504"/>
      <c r="S588" s="504"/>
      <c r="T588" s="504"/>
      <c r="U588" s="504"/>
      <c r="V588" s="504"/>
      <c r="W588" s="504"/>
      <c r="X588" s="504"/>
      <c r="Y588" s="504"/>
    </row>
    <row r="589" spans="1:25" s="27" customFormat="1" ht="18" customHeight="1">
      <c r="A589" s="14"/>
      <c r="B589" s="14"/>
      <c r="C589" s="14"/>
      <c r="D589" s="14"/>
      <c r="E589" s="14"/>
      <c r="F589" s="14"/>
      <c r="G589" s="51"/>
      <c r="O589" s="121"/>
      <c r="P589" s="121"/>
      <c r="Q589" s="121"/>
      <c r="R589" s="121"/>
      <c r="S589" s="121"/>
      <c r="T589" s="121"/>
      <c r="U589" s="121"/>
      <c r="V589" s="121"/>
      <c r="W589" s="121"/>
      <c r="X589" s="121"/>
      <c r="Y589" s="121"/>
    </row>
    <row r="590" spans="1:25" ht="18" customHeight="1">
      <c r="I590" s="49"/>
      <c r="P590" s="504"/>
      <c r="Q590" s="504"/>
      <c r="R590" s="504"/>
    </row>
    <row r="591" spans="1:25" ht="18" customHeight="1">
      <c r="C591" s="5" t="s">
        <v>10713</v>
      </c>
      <c r="I591" s="49"/>
      <c r="P591" s="504"/>
      <c r="Q591" s="504"/>
      <c r="R591" s="504"/>
    </row>
    <row r="592" spans="1:25" ht="18" customHeight="1">
      <c r="C592" s="7"/>
      <c r="D592" s="5" t="s">
        <v>10714</v>
      </c>
      <c r="I592" s="7" t="s">
        <v>10752</v>
      </c>
      <c r="J592" s="479">
        <f>IF(AND(OR(cst_owner1__char&lt;&gt;""),cst_owner2__char&lt;&gt;""),1,0)</f>
        <v>0</v>
      </c>
      <c r="O592" s="504"/>
      <c r="P592" s="504"/>
      <c r="Q592" s="504"/>
      <c r="R592" s="504"/>
      <c r="S592" s="504"/>
      <c r="T592" s="504"/>
      <c r="U592" s="504"/>
      <c r="V592" s="504"/>
      <c r="W592" s="504"/>
      <c r="X592" s="504"/>
      <c r="Y592" s="504"/>
    </row>
    <row r="593" spans="3:25" ht="18" customHeight="1">
      <c r="D593" s="5" t="s">
        <v>10760</v>
      </c>
      <c r="I593" s="7" t="s">
        <v>10753</v>
      </c>
      <c r="J593" s="479">
        <f>IF(AND(OR(cst_owner1__char&lt;&gt;"",cst_owner2__char&lt;&gt;""),cst_owner3__char&lt;&gt;""),1,0)</f>
        <v>0</v>
      </c>
      <c r="O593" s="504"/>
      <c r="P593" s="504"/>
      <c r="Q593" s="504"/>
      <c r="R593" s="504"/>
      <c r="S593" s="504"/>
      <c r="T593" s="504"/>
      <c r="U593" s="504"/>
      <c r="V593" s="504"/>
      <c r="W593" s="504"/>
      <c r="X593" s="504"/>
      <c r="Y593" s="504"/>
    </row>
    <row r="594" spans="3:25" ht="18" customHeight="1">
      <c r="D594" s="5" t="s">
        <v>10761</v>
      </c>
      <c r="I594" s="7" t="s">
        <v>10754</v>
      </c>
      <c r="J594" s="479">
        <f>IF(AND(OR(cst_owner1__char&lt;&gt;"",cst_owner2__char&lt;&gt;"",cst_owner3__char&lt;&gt;""),cst_owner4__char&lt;&gt;""),1,0)</f>
        <v>0</v>
      </c>
      <c r="O594" s="504"/>
      <c r="P594" s="504"/>
      <c r="Q594" s="504"/>
      <c r="R594" s="504"/>
      <c r="S594" s="504"/>
      <c r="T594" s="504"/>
      <c r="U594" s="504"/>
      <c r="V594" s="504"/>
      <c r="W594" s="504"/>
      <c r="X594" s="504"/>
      <c r="Y594" s="504"/>
    </row>
    <row r="595" spans="3:25" ht="18" customHeight="1">
      <c r="D595" s="5" t="s">
        <v>10762</v>
      </c>
      <c r="I595" s="7" t="s">
        <v>10755</v>
      </c>
      <c r="J595" s="479">
        <f>IF(AND(OR(cst_owner1__char&lt;&gt;"",cst_owner2__char&lt;&gt;"",cst_owner3__char&lt;&gt;"",cst_owner4__char&lt;&gt;""),cst_owner5__char&lt;&gt;""),1,0)</f>
        <v>0</v>
      </c>
      <c r="O595" s="504"/>
      <c r="P595" s="504"/>
      <c r="Q595" s="504"/>
      <c r="R595" s="504"/>
      <c r="S595" s="504"/>
      <c r="T595" s="504"/>
      <c r="U595" s="504"/>
      <c r="V595" s="504"/>
      <c r="W595" s="504"/>
      <c r="X595" s="504"/>
      <c r="Y595" s="504"/>
    </row>
    <row r="596" spans="3:25" ht="18" customHeight="1">
      <c r="D596" s="5" t="s">
        <v>10763</v>
      </c>
      <c r="I596" s="7" t="s">
        <v>10756</v>
      </c>
      <c r="J596" s="479">
        <f>IF(AND(OR(cst_owner1__char&lt;&gt;"",cst_owner2__char&lt;&gt;"",cst_owner3__char&lt;&gt;"",cst_owner4__char&lt;&gt;"",cst_owner5__char&lt;&gt;""),cst_owner6__char&lt;&gt;""),1,0)</f>
        <v>0</v>
      </c>
      <c r="O596" s="504"/>
      <c r="P596" s="504"/>
      <c r="Q596" s="504"/>
      <c r="R596" s="504"/>
      <c r="S596" s="504"/>
      <c r="T596" s="504"/>
      <c r="U596" s="504"/>
      <c r="V596" s="504"/>
      <c r="W596" s="504"/>
      <c r="X596" s="504"/>
      <c r="Y596" s="504"/>
    </row>
    <row r="597" spans="3:25" ht="18" customHeight="1">
      <c r="D597" s="5" t="s">
        <v>10764</v>
      </c>
      <c r="I597" s="7" t="s">
        <v>10757</v>
      </c>
      <c r="J597" s="479">
        <f>IF(AND(OR(cst_owner1__char&lt;&gt;"",cst_owner2__char&lt;&gt;"",cst_owner3__char&lt;&gt;"",cst_owner4__char&lt;&gt;"",cst_owner5__char&lt;&gt;"",cst_owner6__char&lt;&gt;""),cst_owner7__char&lt;&gt;""),1,0)</f>
        <v>0</v>
      </c>
      <c r="P597" s="504"/>
      <c r="Q597" s="504"/>
      <c r="R597" s="504"/>
    </row>
    <row r="598" spans="3:25" ht="18" customHeight="1">
      <c r="D598" s="5" t="s">
        <v>10765</v>
      </c>
      <c r="I598" s="7" t="s">
        <v>10758</v>
      </c>
      <c r="J598" s="479">
        <f>IF(AND(OR(cst_owner1__char&lt;&gt;"",cst_owner2__char&lt;&gt;"",cst_owner3__char&lt;&gt;"",cst_owner4__char&lt;&gt;"",cst_owner5__char&lt;&gt;"",cst_owner6__char&lt;&gt;"",cst_owner7__char&lt;&gt;""),cst_owner8__char&lt;&gt;""),1,0)</f>
        <v>0</v>
      </c>
      <c r="P598" s="504"/>
      <c r="Q598" s="504"/>
      <c r="R598" s="504"/>
    </row>
    <row r="599" spans="3:25" ht="18" customHeight="1">
      <c r="D599" s="5" t="s">
        <v>10766</v>
      </c>
      <c r="I599" s="7" t="s">
        <v>10759</v>
      </c>
      <c r="J599" s="479">
        <f>IF(AND(OR(cst_owner1__char&lt;&gt;"",cst_owner2__char&lt;&gt;"",cst_owner3__char&lt;&gt;"",cst_owner4__char&lt;&gt;"",cst_owner5__char&lt;&gt;"",cst_owner6__char&lt;&gt;"",cst_owner7__char&lt;&gt;"",cst_owner8__char&lt;&gt;""),cst_owner9__char&lt;&gt;""),1,0)</f>
        <v>0</v>
      </c>
      <c r="P599" s="504"/>
      <c r="Q599" s="504"/>
      <c r="R599" s="504"/>
    </row>
    <row r="600" spans="3:25" ht="18" customHeight="1">
      <c r="I600" s="49"/>
      <c r="P600" s="504"/>
      <c r="Q600" s="504"/>
      <c r="R600" s="504"/>
    </row>
    <row r="601" spans="3:25" ht="18" customHeight="1">
      <c r="I601" s="49"/>
      <c r="P601" s="504"/>
      <c r="Q601" s="504"/>
      <c r="R601" s="504"/>
    </row>
    <row r="602" spans="3:25" ht="18" customHeight="1">
      <c r="C602" s="5" t="s">
        <v>10998</v>
      </c>
      <c r="I602" s="49"/>
      <c r="P602" s="504"/>
      <c r="Q602" s="504"/>
      <c r="R602" s="504"/>
    </row>
    <row r="603" spans="3:25" ht="18" customHeight="1">
      <c r="I603" s="7" t="s">
        <v>10999</v>
      </c>
      <c r="J603" s="99" t="str">
        <f>cst_shinsei_owner1__address</f>
        <v>大阪府岸和田市土生町1丁目4番23号</v>
      </c>
      <c r="P603" s="504"/>
      <c r="Q603" s="504"/>
      <c r="R603" s="504"/>
    </row>
    <row r="604" spans="3:25" ht="18" customHeight="1">
      <c r="I604" s="40" t="s">
        <v>11000</v>
      </c>
      <c r="J604" s="479" t="str">
        <f>IF(cst_owner1__check=1,CHAR(10)&amp;cst_shinsei_owner2__address,cst_shinsei_owner2__address)</f>
        <v/>
      </c>
      <c r="P604" s="504"/>
      <c r="Q604" s="504"/>
      <c r="R604" s="504"/>
    </row>
    <row r="605" spans="3:25" ht="18" customHeight="1">
      <c r="I605" s="40" t="s">
        <v>11001</v>
      </c>
      <c r="J605" s="479" t="str">
        <f>IF(cst_owner2__check=1,CHAR(10)&amp;cst_shinsei_owner3__address,cst_shinsei_owner3__address)</f>
        <v/>
      </c>
      <c r="P605" s="504"/>
      <c r="Q605" s="504"/>
      <c r="R605" s="504"/>
    </row>
    <row r="606" spans="3:25" ht="18" customHeight="1">
      <c r="I606" s="40" t="s">
        <v>11002</v>
      </c>
      <c r="J606" s="479" t="str">
        <f>IF(cst_owner3__check=1,CHAR(10)&amp;cst_shinsei_owner4__address,cst_shinsei_owner4__address)</f>
        <v/>
      </c>
      <c r="P606" s="504"/>
      <c r="Q606" s="504"/>
      <c r="R606" s="504"/>
    </row>
    <row r="607" spans="3:25" ht="18" customHeight="1">
      <c r="I607" s="40" t="s">
        <v>11003</v>
      </c>
      <c r="J607" s="479" t="str">
        <f>IF(cst_owner4__check=1,CHAR(10)&amp;cst_shinsei_owner5__address,cst_shinsei_owner5__address)</f>
        <v/>
      </c>
      <c r="P607" s="504"/>
      <c r="Q607" s="504"/>
      <c r="R607" s="504"/>
    </row>
    <row r="608" spans="3:25" ht="18" customHeight="1">
      <c r="I608" s="40" t="s">
        <v>11004</v>
      </c>
      <c r="J608" s="479" t="str">
        <f>IF(cst_owner5__check=1,CHAR(10)&amp;cst_shinsei_owner6__address,cst_shinsei_owner6__address)</f>
        <v/>
      </c>
      <c r="P608" s="504"/>
      <c r="Q608" s="504"/>
      <c r="R608" s="504"/>
    </row>
    <row r="609" spans="3:18" ht="18" customHeight="1">
      <c r="I609" s="40" t="s">
        <v>11005</v>
      </c>
      <c r="J609" s="479" t="str">
        <f>IF(cst_owner6__check=1,CHAR(10)&amp;cst_shinsei_owner7__address,cst_shinsei_owner7__address)</f>
        <v/>
      </c>
      <c r="P609" s="504"/>
      <c r="Q609" s="504"/>
      <c r="R609" s="504"/>
    </row>
    <row r="610" spans="3:18" ht="18" customHeight="1">
      <c r="I610" s="40" t="s">
        <v>11006</v>
      </c>
      <c r="J610" s="479" t="str">
        <f>IF(cst_owner7__check=1,CHAR(10)&amp;cst_shinsei_owner8__address,cst_shinsei_owner8__address)</f>
        <v/>
      </c>
      <c r="P610" s="504"/>
      <c r="Q610" s="504"/>
      <c r="R610" s="504"/>
    </row>
    <row r="611" spans="3:18" ht="18" customHeight="1">
      <c r="I611" s="40" t="s">
        <v>11007</v>
      </c>
      <c r="J611" s="479" t="str">
        <f>IF(cst_owner8__check=1,CHAR(10)&amp;cst_shinsei_owner9__address,cst_shinsei_owner9__address)</f>
        <v/>
      </c>
      <c r="P611" s="504"/>
      <c r="Q611" s="504"/>
      <c r="R611" s="504"/>
    </row>
    <row r="612" spans="3:18" ht="18" customHeight="1">
      <c r="I612" s="49"/>
      <c r="P612" s="504"/>
      <c r="Q612" s="504"/>
      <c r="R612" s="504"/>
    </row>
    <row r="613" spans="3:18" ht="18" customHeight="1">
      <c r="C613" s="5" t="s">
        <v>10801</v>
      </c>
      <c r="I613" s="49"/>
      <c r="P613" s="504"/>
      <c r="Q613" s="504"/>
      <c r="R613" s="504"/>
    </row>
    <row r="614" spans="3:18" ht="18" customHeight="1">
      <c r="I614" s="49" t="s">
        <v>10717</v>
      </c>
      <c r="J614" s="99" t="str">
        <f>cst_owner1__space</f>
        <v>フジ住宅株式会社  代表取締役社長  宮脇　宣綱</v>
      </c>
      <c r="P614" s="504"/>
      <c r="Q614" s="504"/>
      <c r="R614" s="504"/>
    </row>
    <row r="615" spans="3:18" ht="18" customHeight="1">
      <c r="C615" s="7"/>
      <c r="I615" s="448" t="s">
        <v>10783</v>
      </c>
      <c r="J615" s="479" t="str">
        <f>IF(cst_owner1__check=1,CHAR(10)&amp;cst_owner2__space,cst_owner2__space)</f>
        <v/>
      </c>
      <c r="P615" s="504"/>
      <c r="Q615" s="504"/>
      <c r="R615" s="504"/>
    </row>
    <row r="616" spans="3:18" ht="18" customHeight="1">
      <c r="I616" s="448" t="s">
        <v>10784</v>
      </c>
      <c r="J616" s="479" t="str">
        <f>IF(cst_owner2__check=1,CHAR(10)&amp;cst_owner3__space,cst_owner3__space)</f>
        <v/>
      </c>
      <c r="P616" s="504"/>
      <c r="Q616" s="504"/>
      <c r="R616" s="504"/>
    </row>
    <row r="617" spans="3:18" ht="18" customHeight="1">
      <c r="I617" s="448" t="s">
        <v>10785</v>
      </c>
      <c r="J617" s="479" t="str">
        <f>IF(cst_owner3__check=1,CHAR(10)&amp;cst_owner4__space,cst_owner4__space)</f>
        <v/>
      </c>
      <c r="P617" s="504"/>
      <c r="Q617" s="504"/>
      <c r="R617" s="504"/>
    </row>
    <row r="618" spans="3:18" ht="18" customHeight="1">
      <c r="I618" s="448" t="s">
        <v>10786</v>
      </c>
      <c r="J618" s="479" t="str">
        <f>IF(cst_owner4__check=1,CHAR(10)&amp;cst_owner5__space,cst_owner5__space)</f>
        <v/>
      </c>
      <c r="P618" s="504"/>
      <c r="Q618" s="504"/>
      <c r="R618" s="504"/>
    </row>
    <row r="619" spans="3:18" ht="18" customHeight="1">
      <c r="I619" s="448" t="s">
        <v>10787</v>
      </c>
      <c r="J619" s="479" t="str">
        <f>IF(cst_owner5__check=1,CHAR(10)&amp;cst_owner6__space,cst_owner6__space)</f>
        <v/>
      </c>
      <c r="P619" s="504"/>
      <c r="Q619" s="504"/>
      <c r="R619" s="504"/>
    </row>
    <row r="620" spans="3:18" ht="18" customHeight="1">
      <c r="I620" s="448" t="s">
        <v>10788</v>
      </c>
      <c r="J620" s="479" t="str">
        <f>IF(cst_owner6__check=1,CHAR(10)&amp;cst_owner7__space,cst_owner7__space)</f>
        <v/>
      </c>
      <c r="P620" s="504"/>
      <c r="Q620" s="504"/>
      <c r="R620" s="504"/>
    </row>
    <row r="621" spans="3:18" ht="18" customHeight="1">
      <c r="I621" s="448" t="s">
        <v>10789</v>
      </c>
      <c r="J621" s="479" t="str">
        <f>IF(cst_owner7__check=1,CHAR(10)&amp;cst_owner8__space,cst_owner8__space)</f>
        <v/>
      </c>
      <c r="P621" s="504"/>
      <c r="Q621" s="504"/>
      <c r="R621" s="504"/>
    </row>
    <row r="622" spans="3:18" ht="18" customHeight="1">
      <c r="I622" s="448" t="s">
        <v>10790</v>
      </c>
      <c r="J622" s="479" t="str">
        <f>IF(cst_owner8__check=1,CHAR(10)&amp;cst_owner9__space,cst_owner9__space)</f>
        <v/>
      </c>
      <c r="P622" s="504"/>
      <c r="Q622" s="504"/>
      <c r="R622" s="504"/>
    </row>
    <row r="623" spans="3:18" ht="18" customHeight="1">
      <c r="I623" s="49"/>
      <c r="P623" s="504"/>
      <c r="Q623" s="504"/>
      <c r="R623" s="504"/>
    </row>
    <row r="624" spans="3:18" ht="18" customHeight="1">
      <c r="C624" s="5" t="s">
        <v>10800</v>
      </c>
      <c r="I624" s="49"/>
      <c r="P624" s="504"/>
      <c r="Q624" s="504"/>
      <c r="R624" s="504"/>
    </row>
    <row r="625" spans="3:18" ht="18" customHeight="1">
      <c r="I625" s="49" t="s">
        <v>10716</v>
      </c>
      <c r="J625" s="99" t="str">
        <f>cst_owner1__space_sama</f>
        <v>フジ住宅株式会社  代表取締役社長  宮脇　宣綱　様</v>
      </c>
      <c r="P625" s="504"/>
      <c r="Q625" s="504"/>
      <c r="R625" s="504"/>
    </row>
    <row r="626" spans="3:18" ht="18" customHeight="1">
      <c r="C626" s="7"/>
      <c r="I626" s="192" t="s">
        <v>10791</v>
      </c>
      <c r="J626" s="479" t="str">
        <f>IF(cst_owner1__check=1,CHAR(10)&amp;cst_owner2__space_sama,cst_owner2__space_sama)</f>
        <v/>
      </c>
      <c r="P626" s="504"/>
      <c r="Q626" s="504"/>
      <c r="R626" s="504"/>
    </row>
    <row r="627" spans="3:18" ht="18" customHeight="1">
      <c r="I627" s="192" t="s">
        <v>10792</v>
      </c>
      <c r="J627" s="479" t="str">
        <f>IF(cst_owner2__check=1,CHAR(10)&amp;cst_owner3__space_sama,cst_owner3__space_sama)</f>
        <v/>
      </c>
      <c r="P627" s="504"/>
      <c r="Q627" s="504"/>
      <c r="R627" s="504"/>
    </row>
    <row r="628" spans="3:18" ht="18" customHeight="1">
      <c r="I628" s="192" t="s">
        <v>10793</v>
      </c>
      <c r="J628" s="479" t="str">
        <f>IF(cst_owner3__check=1,CHAR(10)&amp;cst_owner4__space_sama,cst_owner4__space_sama)</f>
        <v/>
      </c>
      <c r="P628" s="504"/>
      <c r="Q628" s="504"/>
      <c r="R628" s="504"/>
    </row>
    <row r="629" spans="3:18" ht="18" customHeight="1">
      <c r="I629" s="192" t="s">
        <v>10794</v>
      </c>
      <c r="J629" s="479" t="str">
        <f>IF(cst_owner4__check=1,CHAR(10)&amp;cst_owner5__space_sama,cst_owner5__space_sama)</f>
        <v/>
      </c>
      <c r="P629" s="504"/>
      <c r="Q629" s="504"/>
      <c r="R629" s="504"/>
    </row>
    <row r="630" spans="3:18" ht="18" customHeight="1">
      <c r="I630" s="192" t="s">
        <v>10795</v>
      </c>
      <c r="J630" s="479" t="str">
        <f>IF(cst_owner5__check=1,CHAR(10)&amp;cst_owner6__space_sama,cst_owner6__space_sama)</f>
        <v/>
      </c>
      <c r="P630" s="504"/>
      <c r="Q630" s="504"/>
      <c r="R630" s="504"/>
    </row>
    <row r="631" spans="3:18" ht="18" customHeight="1">
      <c r="I631" s="192" t="s">
        <v>10796</v>
      </c>
      <c r="J631" s="479" t="str">
        <f>IF(cst_owner6__check=1,CHAR(10)&amp;cst_owner7__space_sama,cst_owner7__space_sama)</f>
        <v/>
      </c>
      <c r="P631" s="504"/>
      <c r="Q631" s="504"/>
      <c r="R631" s="504"/>
    </row>
    <row r="632" spans="3:18" ht="18" customHeight="1">
      <c r="I632" s="192" t="s">
        <v>10797</v>
      </c>
      <c r="J632" s="479" t="str">
        <f>IF(cst_owner7__check=1,CHAR(10)&amp;cst_owner8__space_sama,cst_owner8__space_sama)</f>
        <v/>
      </c>
      <c r="P632" s="504"/>
      <c r="Q632" s="504"/>
      <c r="R632" s="504"/>
    </row>
    <row r="633" spans="3:18" ht="18" customHeight="1">
      <c r="I633" s="192" t="s">
        <v>10798</v>
      </c>
      <c r="J633" s="479" t="str">
        <f>IF(cst_owner8__check=1,CHAR(10)&amp;cst_owner9__space_sama,cst_owner9__space_sama)</f>
        <v/>
      </c>
      <c r="P633" s="504"/>
      <c r="Q633" s="504"/>
      <c r="R633" s="504"/>
    </row>
    <row r="634" spans="3:18" ht="18" customHeight="1">
      <c r="I634" s="49"/>
      <c r="P634" s="504"/>
      <c r="Q634" s="504"/>
      <c r="R634" s="504"/>
    </row>
    <row r="635" spans="3:18" ht="18" customHeight="1">
      <c r="C635" s="5" t="s">
        <v>10767</v>
      </c>
      <c r="I635" s="49"/>
      <c r="P635" s="504"/>
      <c r="Q635" s="504"/>
      <c r="R635" s="504"/>
    </row>
    <row r="636" spans="3:18" ht="18" customHeight="1">
      <c r="I636" s="49" t="s">
        <v>10718</v>
      </c>
      <c r="J636" s="99" t="str">
        <f>cst_owner1__char</f>
        <v>フジ住宅株式会社
代表取締役社長  宮脇　宣綱</v>
      </c>
      <c r="P636" s="504"/>
      <c r="Q636" s="504"/>
      <c r="R636" s="504"/>
    </row>
    <row r="637" spans="3:18" ht="18" customHeight="1">
      <c r="C637" s="7"/>
      <c r="I637" s="118" t="s">
        <v>319</v>
      </c>
      <c r="J637" s="479" t="str">
        <f>IF(cst_owner1__check=1,CHAR(10)&amp;cst_owner2__char,cst_owner2__char)</f>
        <v/>
      </c>
      <c r="P637" s="504"/>
      <c r="Q637" s="504"/>
      <c r="R637" s="504"/>
    </row>
    <row r="638" spans="3:18" ht="18" customHeight="1">
      <c r="I638" s="118" t="s">
        <v>10768</v>
      </c>
      <c r="J638" s="479" t="str">
        <f>IF(cst_owner2__check=1,CHAR(10)&amp;cst_owner3__char,cst_owner3__char)</f>
        <v/>
      </c>
      <c r="P638" s="504"/>
      <c r="Q638" s="504"/>
      <c r="R638" s="504"/>
    </row>
    <row r="639" spans="3:18" ht="18" customHeight="1">
      <c r="I639" s="118" t="s">
        <v>10769</v>
      </c>
      <c r="J639" s="479" t="str">
        <f>IF(cst_owner3__check=1,CHAR(10)&amp;cst_owner4__char,cst_owner4__char)</f>
        <v/>
      </c>
      <c r="P639" s="504"/>
      <c r="Q639" s="504"/>
      <c r="R639" s="504"/>
    </row>
    <row r="640" spans="3:18" ht="18" customHeight="1">
      <c r="I640" s="118" t="s">
        <v>10770</v>
      </c>
      <c r="J640" s="479" t="str">
        <f>IF(cst_owner4__check=1,CHAR(10)&amp;cst_owner5__char,cst_owner5__char)</f>
        <v/>
      </c>
      <c r="P640" s="504"/>
      <c r="Q640" s="504"/>
      <c r="R640" s="504"/>
    </row>
    <row r="641" spans="3:18" ht="18" customHeight="1">
      <c r="I641" s="118" t="s">
        <v>10771</v>
      </c>
      <c r="J641" s="479" t="str">
        <f>IF(cst_owner5__check=1,CHAR(10)&amp;cst_owner6__char,cst_owner6__char)</f>
        <v/>
      </c>
      <c r="P641" s="504"/>
      <c r="Q641" s="504"/>
      <c r="R641" s="504"/>
    </row>
    <row r="642" spans="3:18" ht="18" customHeight="1">
      <c r="I642" s="118" t="s">
        <v>10772</v>
      </c>
      <c r="J642" s="479" t="str">
        <f>IF(cst_owner6__check=1,CHAR(10)&amp;cst_owner7__char,cst_owner7__char)</f>
        <v/>
      </c>
      <c r="P642" s="504"/>
      <c r="Q642" s="504"/>
      <c r="R642" s="504"/>
    </row>
    <row r="643" spans="3:18" ht="18" customHeight="1">
      <c r="I643" s="118" t="s">
        <v>10773</v>
      </c>
      <c r="J643" s="479" t="str">
        <f>IF(cst_owner7__check=1,CHAR(10)&amp;cst_owner8__char,cst_owner8__char)</f>
        <v/>
      </c>
      <c r="P643" s="504"/>
      <c r="Q643" s="504"/>
      <c r="R643" s="504"/>
    </row>
    <row r="644" spans="3:18" ht="18" customHeight="1">
      <c r="I644" s="118" t="s">
        <v>10774</v>
      </c>
      <c r="J644" s="479" t="str">
        <f>IF(cst_owner8__check=1,CHAR(10)&amp;cst_owner9__char,cst_owner9__char)</f>
        <v/>
      </c>
      <c r="P644" s="504"/>
      <c r="Q644" s="504"/>
      <c r="R644" s="504"/>
    </row>
    <row r="645" spans="3:18" ht="18" customHeight="1">
      <c r="I645" s="49"/>
      <c r="P645" s="504"/>
      <c r="Q645" s="504"/>
      <c r="R645" s="504"/>
    </row>
    <row r="646" spans="3:18" ht="18" customHeight="1">
      <c r="C646" s="5" t="s">
        <v>10799</v>
      </c>
      <c r="I646" s="49"/>
      <c r="P646" s="504"/>
      <c r="Q646" s="504"/>
      <c r="R646" s="504"/>
    </row>
    <row r="647" spans="3:18" ht="18" customHeight="1">
      <c r="C647" s="7"/>
      <c r="I647" s="49" t="s">
        <v>10719</v>
      </c>
      <c r="J647" s="99" t="str">
        <f>cst_owner1__char_sama</f>
        <v>フジ住宅株式会社
代表取締役社長  宮脇　宣綱　様</v>
      </c>
      <c r="P647" s="504"/>
      <c r="Q647" s="504"/>
      <c r="R647" s="504"/>
    </row>
    <row r="648" spans="3:18" ht="18" customHeight="1">
      <c r="C648" s="7"/>
      <c r="I648" s="509" t="s">
        <v>10775</v>
      </c>
      <c r="J648" s="479" t="str">
        <f>IF(cst_owner1__check=1,CHAR(10)&amp;cst_owner2__char_sama,cst_owner2__char_sama)</f>
        <v/>
      </c>
      <c r="P648" s="504"/>
      <c r="Q648" s="504"/>
      <c r="R648" s="504"/>
    </row>
    <row r="649" spans="3:18" ht="18" customHeight="1">
      <c r="I649" s="509" t="s">
        <v>10776</v>
      </c>
      <c r="J649" s="479" t="str">
        <f>IF(cst_owner2__check=1,CHAR(10)&amp;cst_owner3__char_sama,cst_owner3__char_sama)</f>
        <v/>
      </c>
      <c r="P649" s="504"/>
      <c r="Q649" s="504"/>
      <c r="R649" s="504"/>
    </row>
    <row r="650" spans="3:18" ht="18" customHeight="1">
      <c r="I650" s="509" t="s">
        <v>10777</v>
      </c>
      <c r="J650" s="479" t="str">
        <f>IF(cst_owner3__check=1,CHAR(10)&amp;cst_owner4__char_sama,cst_owner4__char_sama)</f>
        <v/>
      </c>
      <c r="P650" s="504"/>
      <c r="Q650" s="504"/>
      <c r="R650" s="504"/>
    </row>
    <row r="651" spans="3:18" ht="18" customHeight="1">
      <c r="I651" s="509" t="s">
        <v>10778</v>
      </c>
      <c r="J651" s="479" t="str">
        <f>IF(cst_owner4__check=1,CHAR(10)&amp;cst_owner5__char_sama,cst_owner5__char_sama)</f>
        <v/>
      </c>
      <c r="P651" s="504"/>
      <c r="Q651" s="504"/>
      <c r="R651" s="504"/>
    </row>
    <row r="652" spans="3:18" ht="18" customHeight="1">
      <c r="I652" s="509" t="s">
        <v>10779</v>
      </c>
      <c r="J652" s="479" t="str">
        <f>IF(cst_owner5__check=1,CHAR(10)&amp;cst_owner6__char_sama,cst_owner6__char_sama)</f>
        <v/>
      </c>
      <c r="P652" s="504"/>
      <c r="Q652" s="504"/>
      <c r="R652" s="504"/>
    </row>
    <row r="653" spans="3:18" ht="18" customHeight="1">
      <c r="I653" s="509" t="s">
        <v>10780</v>
      </c>
      <c r="J653" s="479" t="str">
        <f>IF(cst_owner6__check=1,CHAR(10)&amp;cst_owner7__char_sama,cst_owner7__char_sama)</f>
        <v/>
      </c>
      <c r="P653" s="504"/>
      <c r="Q653" s="504"/>
      <c r="R653" s="504"/>
    </row>
    <row r="654" spans="3:18" ht="18" customHeight="1">
      <c r="I654" s="509" t="s">
        <v>10781</v>
      </c>
      <c r="J654" s="479" t="str">
        <f>IF(cst_owner7__check=1,CHAR(10)&amp;cst_owner8__char_sama,cst_owner8__char_sama)</f>
        <v/>
      </c>
      <c r="P654" s="504"/>
      <c r="Q654" s="504"/>
      <c r="R654" s="504"/>
    </row>
    <row r="655" spans="3:18" ht="18" customHeight="1">
      <c r="I655" s="509" t="s">
        <v>10782</v>
      </c>
      <c r="J655" s="479" t="str">
        <f>IF(cst_owner8__check=1,CHAR(10)&amp;cst_owner9__char_sama,cst_owner9__char_sama)</f>
        <v/>
      </c>
      <c r="P655" s="504"/>
      <c r="Q655" s="504"/>
      <c r="R655" s="504"/>
    </row>
    <row r="656" spans="3:18" ht="18" customHeight="1">
      <c r="I656" s="49"/>
      <c r="P656" s="504"/>
      <c r="Q656" s="504"/>
      <c r="R656" s="504"/>
    </row>
    <row r="657" spans="1:25" ht="18" customHeight="1">
      <c r="C657" s="5" t="s">
        <v>393</v>
      </c>
      <c r="I657" s="49"/>
      <c r="P657" s="504"/>
      <c r="Q657" s="504"/>
      <c r="R657" s="504"/>
    </row>
    <row r="658" spans="1:25" ht="18" customHeight="1">
      <c r="C658" s="7"/>
      <c r="I658" s="49" t="s">
        <v>10719</v>
      </c>
      <c r="J658" s="99" t="str">
        <f>cst_owner1__char_sama</f>
        <v>フジ住宅株式会社
代表取締役社長  宮脇　宣綱　様</v>
      </c>
      <c r="P658" s="504"/>
      <c r="Q658" s="504"/>
      <c r="R658" s="504"/>
    </row>
    <row r="659" spans="1:25" ht="18" customHeight="1">
      <c r="C659" s="7"/>
      <c r="I659" s="509" t="s">
        <v>394</v>
      </c>
      <c r="J659" s="479" t="str">
        <f>IF(cst_owner1__check=1,CHAR(10)&amp;CHAR(10)&amp;cst_owner2__char_sama,cst_owner2__char_sama)</f>
        <v/>
      </c>
      <c r="P659" s="504"/>
      <c r="Q659" s="504"/>
      <c r="R659" s="504"/>
    </row>
    <row r="660" spans="1:25" ht="18" customHeight="1">
      <c r="I660" s="509" t="s">
        <v>395</v>
      </c>
      <c r="J660" s="479" t="str">
        <f>IF(cst_owner2__check=1,CHAR(10)&amp;CHAR(10)&amp;cst_owner3__char_sama,cst_owner3__char_sama)</f>
        <v/>
      </c>
      <c r="P660" s="504"/>
      <c r="Q660" s="504"/>
      <c r="R660" s="504"/>
    </row>
    <row r="661" spans="1:25" ht="18" customHeight="1">
      <c r="I661" s="509" t="s">
        <v>396</v>
      </c>
      <c r="J661" s="479" t="str">
        <f>IF(cst_owner3__check=1,CHAR(10)&amp;CHAR(10)&amp;cst_owner4__char_sama,cst_owner4__char_sama)</f>
        <v/>
      </c>
      <c r="P661" s="504"/>
      <c r="Q661" s="504"/>
      <c r="R661" s="504"/>
    </row>
    <row r="662" spans="1:25" ht="18" customHeight="1">
      <c r="I662" s="509" t="s">
        <v>397</v>
      </c>
      <c r="J662" s="479" t="str">
        <f>IF(cst_owner4__check=1,CHAR(10)&amp;CHAR(10)&amp;cst_owner5__char_sama,cst_owner5__char_sama)</f>
        <v/>
      </c>
      <c r="P662" s="504"/>
      <c r="Q662" s="504"/>
      <c r="R662" s="504"/>
    </row>
    <row r="663" spans="1:25" ht="18" customHeight="1">
      <c r="I663" s="509" t="s">
        <v>398</v>
      </c>
      <c r="J663" s="479" t="str">
        <f>IF(cst_owner5__check=1,CHAR(10)&amp;CHAR(10)&amp;cst_owner6__char_sama,cst_owner6__char_sama)</f>
        <v/>
      </c>
      <c r="P663" s="504"/>
      <c r="Q663" s="504"/>
      <c r="R663" s="504"/>
    </row>
    <row r="664" spans="1:25" ht="18" customHeight="1">
      <c r="I664" s="509" t="s">
        <v>399</v>
      </c>
      <c r="J664" s="479" t="str">
        <f>IF(cst_owner6__check=1,CHAR(10)&amp;CHAR(10)&amp;cst_owner7__char_sama,cst_owner7__char_sama)</f>
        <v/>
      </c>
      <c r="P664" s="504"/>
      <c r="Q664" s="504"/>
      <c r="R664" s="504"/>
    </row>
    <row r="665" spans="1:25" ht="18" customHeight="1">
      <c r="I665" s="509" t="s">
        <v>400</v>
      </c>
      <c r="J665" s="479" t="str">
        <f>IF(cst_owner7__check=1,CHAR(10)&amp;CHAR(10)&amp;cst_owner8__char_sama,cst_owner8__char_sama)</f>
        <v/>
      </c>
      <c r="P665" s="504"/>
      <c r="Q665" s="504"/>
      <c r="R665" s="504"/>
    </row>
    <row r="666" spans="1:25" ht="18" customHeight="1">
      <c r="I666" s="509" t="s">
        <v>401</v>
      </c>
      <c r="J666" s="479" t="str">
        <f>IF(cst_owner8__check=1,CHAR(10)&amp;CHAR(10)&amp;cst_owner9__char_sama,cst_owner9__char_sama)</f>
        <v/>
      </c>
      <c r="P666" s="504"/>
      <c r="Q666" s="504"/>
      <c r="R666" s="504"/>
    </row>
    <row r="667" spans="1:25" ht="18" customHeight="1">
      <c r="I667" s="49"/>
      <c r="P667" s="504"/>
      <c r="Q667" s="504"/>
      <c r="R667" s="504"/>
    </row>
    <row r="668" spans="1:25" ht="18" customHeight="1">
      <c r="I668" s="49"/>
      <c r="P668" s="504"/>
      <c r="Q668" s="504"/>
      <c r="R668" s="504"/>
    </row>
    <row r="669" spans="1:25" s="27" customFormat="1" ht="18" customHeight="1">
      <c r="A669" s="14"/>
      <c r="B669" s="14" t="s">
        <v>11008</v>
      </c>
      <c r="C669" s="14"/>
      <c r="D669" s="14"/>
      <c r="E669" s="14"/>
      <c r="F669" s="14"/>
      <c r="G669" s="51"/>
      <c r="O669" s="121"/>
      <c r="P669" s="121"/>
      <c r="Q669" s="121"/>
      <c r="R669" s="121"/>
      <c r="S669" s="121"/>
      <c r="T669" s="121"/>
      <c r="U669" s="121"/>
      <c r="V669" s="121"/>
      <c r="W669" s="121"/>
      <c r="X669" s="121"/>
      <c r="Y669" s="121"/>
    </row>
    <row r="670" spans="1:25" s="27" customFormat="1" ht="18" customHeight="1">
      <c r="A670" s="14"/>
      <c r="B670" s="14"/>
      <c r="C670" s="14"/>
      <c r="D670" s="14"/>
      <c r="E670" s="5" t="s">
        <v>3292</v>
      </c>
      <c r="F670" s="14"/>
      <c r="G670" s="51"/>
      <c r="I670" s="27" t="s">
        <v>11009</v>
      </c>
      <c r="J670" s="28" t="str">
        <f>CONCATENATE(cst_owner1_address,cst_owner2_address__add_char,cst_owner3_address__add_char,cst_owner4_address__add_char,cst_owner5_address__add_char,cst_owner6_address__add_char,cst_owner7_address__add_char,cst_owner8_address__add_char,cst_owner9_address__add_char)</f>
        <v>大阪府岸和田市土生町1丁目4番23号</v>
      </c>
      <c r="O670" s="121"/>
      <c r="P670" s="121"/>
      <c r="Q670" s="121"/>
      <c r="R670" s="121"/>
      <c r="S670" s="121"/>
      <c r="T670" s="121"/>
      <c r="U670" s="121"/>
      <c r="V670" s="121"/>
      <c r="W670" s="121"/>
      <c r="X670" s="121"/>
      <c r="Y670" s="121"/>
    </row>
    <row r="671" spans="1:25" s="27" customFormat="1" ht="18" customHeight="1">
      <c r="A671" s="14"/>
      <c r="B671" s="14"/>
      <c r="C671" s="14"/>
      <c r="D671" s="14"/>
      <c r="E671" s="14"/>
      <c r="F671" s="14"/>
      <c r="G671" s="51"/>
      <c r="O671" s="121"/>
      <c r="P671" s="121"/>
      <c r="Q671" s="121"/>
      <c r="R671" s="121"/>
      <c r="S671" s="121"/>
      <c r="T671" s="121"/>
      <c r="U671" s="121"/>
      <c r="V671" s="121"/>
      <c r="W671" s="121"/>
      <c r="X671" s="121"/>
      <c r="Y671" s="121"/>
    </row>
    <row r="672" spans="1:25" ht="18" customHeight="1">
      <c r="B672" s="5" t="s">
        <v>10822</v>
      </c>
      <c r="I672" s="49"/>
      <c r="P672" s="504"/>
      <c r="Q672" s="504"/>
      <c r="R672" s="504"/>
    </row>
    <row r="673" spans="1:25" ht="18" customHeight="1">
      <c r="E673" s="5" t="s">
        <v>3292</v>
      </c>
      <c r="I673" s="7" t="s">
        <v>10806</v>
      </c>
      <c r="J673" s="28" t="str">
        <f>CONCATENATE(cst_owner1__space,cst_owner2__space__add_char,cst_owner3__space__add_char,cst_owner4__space__add_char,cst_owner5__space__add_char,cst_owner6__space__add_char,cst_owner7__space__add_char,cst_owner8__space__add_char,cst_owner9__space__add_char)</f>
        <v>フジ住宅株式会社  代表取締役社長  宮脇　宣綱</v>
      </c>
      <c r="O673" s="504"/>
      <c r="P673" s="504"/>
      <c r="Q673" s="504"/>
      <c r="R673" s="504"/>
      <c r="S673" s="504"/>
      <c r="T673" s="504"/>
      <c r="U673" s="504"/>
      <c r="V673" s="504"/>
      <c r="W673" s="504"/>
      <c r="X673" s="504"/>
      <c r="Y673" s="504"/>
    </row>
    <row r="674" spans="1:25" ht="18" customHeight="1">
      <c r="E674" s="5" t="s">
        <v>11371</v>
      </c>
      <c r="I674" s="7" t="s">
        <v>10803</v>
      </c>
      <c r="J674" s="28" t="str">
        <f>CONCATENATE(cst_owner1__space_sama,cst_owner2__space_sama__add_char,cst_owner3__space_sama__add_char,cst_owner4__space_sama__add_char,cst_owner5__space_sama__add_char,cst_owner6__space_sama__add_char,cst_owner7__space_sama__add_char,cst_owner8__space_sama__add_char,cst_owner9__space_sama__add_char)</f>
        <v>フジ住宅株式会社  代表取締役社長  宮脇　宣綱　様</v>
      </c>
      <c r="O674" s="504"/>
      <c r="P674" s="504"/>
      <c r="Q674" s="504"/>
      <c r="R674" s="504"/>
      <c r="S674" s="504"/>
      <c r="T674" s="504"/>
      <c r="U674" s="504"/>
      <c r="V674" s="504"/>
      <c r="W674" s="504"/>
      <c r="X674" s="504"/>
      <c r="Y674" s="504"/>
    </row>
    <row r="675" spans="1:25" s="27" customFormat="1" ht="18" customHeight="1">
      <c r="A675" s="14"/>
      <c r="B675" s="14"/>
      <c r="C675" s="14"/>
      <c r="D675" s="14"/>
      <c r="E675" s="5" t="s">
        <v>11370</v>
      </c>
      <c r="F675" s="14"/>
      <c r="G675" s="51"/>
      <c r="I675" s="7" t="s">
        <v>11372</v>
      </c>
      <c r="J675" s="28" t="str">
        <f>SUBSTITUTE(CONCATENATE(cst_owner1__space_sama,cst_owner2__space_sama__add_char,cst_owner3__space_sama__add_char,cst_owner4__space_sama__add_char,cst_owner5__space_sama__add_char,cst_owner6__space_sama__add_char,cst_owner7__space_sama__add_char,cst_owner8__space_sama__add_char,cst_owner9__space_sama__add_char),CHAR(10),"、")</f>
        <v>フジ住宅株式会社  代表取締役社長  宮脇　宣綱　様</v>
      </c>
      <c r="O675" s="121"/>
      <c r="P675" s="121"/>
      <c r="Q675" s="121"/>
      <c r="R675" s="121"/>
      <c r="S675" s="121"/>
      <c r="T675" s="121"/>
      <c r="U675" s="121"/>
      <c r="V675" s="121"/>
      <c r="W675" s="121"/>
      <c r="X675" s="121"/>
      <c r="Y675" s="121"/>
    </row>
    <row r="676" spans="1:25" s="27" customFormat="1" ht="18" customHeight="1">
      <c r="A676" s="14"/>
      <c r="B676" s="14"/>
      <c r="C676" s="14"/>
      <c r="D676" s="14"/>
      <c r="E676" s="14"/>
      <c r="F676" s="14"/>
      <c r="G676" s="51"/>
      <c r="O676" s="121"/>
      <c r="P676" s="121"/>
      <c r="Q676" s="121"/>
      <c r="R676" s="121"/>
      <c r="S676" s="121"/>
      <c r="T676" s="121"/>
      <c r="U676" s="121"/>
      <c r="V676" s="121"/>
      <c r="W676" s="121"/>
      <c r="X676" s="121"/>
      <c r="Y676" s="121"/>
    </row>
    <row r="677" spans="1:25" ht="18" customHeight="1">
      <c r="B677" s="5" t="s">
        <v>10821</v>
      </c>
      <c r="I677" s="49"/>
      <c r="P677" s="504"/>
      <c r="Q677" s="504"/>
      <c r="R677" s="504"/>
    </row>
    <row r="678" spans="1:25" ht="18" customHeight="1">
      <c r="E678" s="5" t="s">
        <v>3292</v>
      </c>
      <c r="H678" s="7" t="s">
        <v>10802</v>
      </c>
      <c r="I678" s="7" t="s">
        <v>10804</v>
      </c>
      <c r="J678" s="28" t="str">
        <f>CONCATENATE(cst_owner1__char,cst_owner2__char__add_char,cst_owner3__char__add_char,cst_owner4__char__add_char,cst_owner5__char__add_char,cst_owner6__char__add_char,cst_owner7__char__add_char,cst_owner8__char__add_char,cst_owner9__char__add_char)</f>
        <v>フジ住宅株式会社
代表取締役社長  宮脇　宣綱</v>
      </c>
      <c r="O678" s="504"/>
      <c r="P678" s="504"/>
      <c r="Q678" s="504"/>
      <c r="R678" s="504"/>
      <c r="S678" s="504"/>
      <c r="T678" s="504"/>
      <c r="U678" s="504"/>
      <c r="V678" s="504"/>
      <c r="W678" s="504"/>
      <c r="X678" s="504"/>
      <c r="Y678" s="504"/>
    </row>
    <row r="679" spans="1:25" ht="18" customHeight="1">
      <c r="E679" s="5" t="s">
        <v>3293</v>
      </c>
      <c r="I679" s="7" t="s">
        <v>10805</v>
      </c>
      <c r="J679" s="28" t="str">
        <f>CONCATENATE(cst_owner1__char_sama,cst_owner2__char_sama__add_char,cst_owner3__char_sama__add_char,cst_owner4__char_sama__add_char,cst_owner5__char_sama__add_char,cst_owner6__char_sama__add_char,cst_owner7__char_sama__add_char,cst_owner8__char_sama__add_char,cst_owner9__char_sama__add_char)</f>
        <v>フジ住宅株式会社
代表取締役社長  宮脇　宣綱　様</v>
      </c>
      <c r="O679" s="504"/>
      <c r="P679" s="504"/>
      <c r="Q679" s="504"/>
      <c r="R679" s="504"/>
      <c r="S679" s="504"/>
      <c r="T679" s="504"/>
      <c r="U679" s="504"/>
      <c r="V679" s="504"/>
      <c r="W679" s="504"/>
      <c r="X679" s="504"/>
      <c r="Y679" s="504"/>
    </row>
    <row r="680" spans="1:25" ht="18" customHeight="1">
      <c r="E680" s="5" t="s">
        <v>402</v>
      </c>
      <c r="I680" s="7" t="s">
        <v>392</v>
      </c>
      <c r="J680" s="28" t="str">
        <f>CONCATENATE(cst_owner1__char_sama,cst_owner2__char_sama__add_char_row,cst_owner3__char_sama__add_char_row,cst_owner4__char_sama__add_char_row,cst_owner5__char_sama__add_char_row,cst_owner6__char_sama__add_char_row,cst_owner7__char_sama__add_char_row,cst_owner8__char_sama__add_char_row,cst_owner9__char_sama__add_char_row)</f>
        <v>フジ住宅株式会社
代表取締役社長  宮脇　宣綱　様</v>
      </c>
      <c r="O680" s="504"/>
      <c r="P680" s="504"/>
      <c r="Q680" s="504"/>
      <c r="R680" s="504"/>
      <c r="S680" s="504"/>
      <c r="T680" s="504"/>
      <c r="U680" s="504"/>
      <c r="V680" s="504"/>
      <c r="W680" s="504"/>
      <c r="X680" s="504"/>
      <c r="Y680" s="504"/>
    </row>
    <row r="681" spans="1:25" ht="18" customHeight="1">
      <c r="I681" s="49"/>
      <c r="O681" s="504"/>
      <c r="P681" s="504"/>
      <c r="Q681" s="504"/>
      <c r="R681" s="504"/>
      <c r="S681" s="504"/>
      <c r="T681" s="504"/>
      <c r="U681" s="504"/>
      <c r="V681" s="504"/>
      <c r="W681" s="504"/>
      <c r="X681" s="504"/>
      <c r="Y681" s="504"/>
    </row>
    <row r="682" spans="1:25" ht="18" customHeight="1">
      <c r="I682" s="49"/>
      <c r="O682" s="504"/>
      <c r="P682" s="504"/>
      <c r="Q682" s="504"/>
      <c r="R682" s="504"/>
      <c r="S682" s="504"/>
      <c r="T682" s="504"/>
      <c r="U682" s="504"/>
      <c r="V682" s="504"/>
      <c r="W682" s="504"/>
      <c r="X682" s="504"/>
      <c r="Y682" s="504"/>
    </row>
    <row r="683" spans="1:25" ht="18" customHeight="1">
      <c r="B683" s="5" t="s">
        <v>3294</v>
      </c>
      <c r="C683" s="52"/>
      <c r="D683" s="52"/>
      <c r="E683" s="52"/>
      <c r="G683" s="51" t="s">
        <v>3295</v>
      </c>
      <c r="H683" s="40">
        <v>0</v>
      </c>
      <c r="I683" s="7" t="s">
        <v>3296</v>
      </c>
      <c r="J683" s="40">
        <f>IF(owner_count="",0,owner_count)</f>
        <v>0</v>
      </c>
      <c r="O683" s="504"/>
      <c r="P683" s="504"/>
      <c r="Q683" s="504"/>
      <c r="R683" s="504"/>
      <c r="S683" s="504"/>
      <c r="T683" s="504"/>
      <c r="U683" s="504"/>
      <c r="V683" s="504"/>
      <c r="W683" s="504"/>
      <c r="X683" s="504"/>
      <c r="Y683" s="504"/>
    </row>
    <row r="684" spans="1:25" ht="18" customHeight="1">
      <c r="I684" s="49"/>
      <c r="O684" s="504"/>
      <c r="P684" s="504"/>
      <c r="Q684" s="504"/>
      <c r="R684" s="504"/>
      <c r="S684" s="504"/>
      <c r="T684" s="504"/>
      <c r="U684" s="504"/>
      <c r="V684" s="504"/>
      <c r="W684" s="504"/>
      <c r="X684" s="504"/>
      <c r="Y684" s="504"/>
    </row>
    <row r="685" spans="1:25" ht="18" customHeight="1">
      <c r="I685" s="49"/>
      <c r="O685" s="504"/>
      <c r="P685" s="504"/>
      <c r="Q685" s="504"/>
      <c r="R685" s="504"/>
      <c r="S685" s="504"/>
      <c r="T685" s="504"/>
      <c r="U685" s="504"/>
      <c r="V685" s="504"/>
      <c r="W685" s="504"/>
      <c r="X685" s="504"/>
      <c r="Y685" s="504"/>
    </row>
    <row r="686" spans="1:25" s="10" customFormat="1" ht="18" customHeight="1">
      <c r="A686" s="11"/>
      <c r="B686" s="12" t="s">
        <v>3300</v>
      </c>
      <c r="C686" s="12"/>
      <c r="D686" s="12"/>
      <c r="E686" s="12"/>
      <c r="F686" s="12"/>
      <c r="G686" s="12"/>
      <c r="H686" s="9"/>
      <c r="I686" s="9"/>
      <c r="O686" s="504"/>
      <c r="P686" s="504"/>
      <c r="Q686" s="504"/>
      <c r="R686" s="504"/>
      <c r="S686" s="504"/>
      <c r="T686" s="504"/>
      <c r="U686" s="504"/>
      <c r="V686" s="504"/>
      <c r="W686" s="504"/>
      <c r="X686" s="504"/>
      <c r="Y686" s="504"/>
    </row>
    <row r="687" spans="1:25" s="10" customFormat="1" ht="18" customHeight="1">
      <c r="A687" s="11"/>
      <c r="B687" s="12" t="s">
        <v>3301</v>
      </c>
      <c r="C687" s="12"/>
      <c r="D687" s="12"/>
      <c r="E687" s="12"/>
      <c r="F687" s="12"/>
      <c r="G687" s="12"/>
      <c r="H687" s="9"/>
      <c r="I687" s="9"/>
      <c r="O687" s="504"/>
      <c r="P687" s="504"/>
      <c r="Q687" s="504"/>
      <c r="R687" s="504"/>
      <c r="S687" s="504"/>
      <c r="T687" s="504"/>
      <c r="U687" s="504"/>
      <c r="V687" s="504"/>
      <c r="W687" s="504"/>
      <c r="X687" s="504"/>
      <c r="Y687" s="504"/>
    </row>
    <row r="688" spans="1:25" s="10" customFormat="1" ht="18" customHeight="1">
      <c r="A688" s="11"/>
      <c r="B688" s="12"/>
      <c r="C688" s="12" t="s">
        <v>3302</v>
      </c>
      <c r="D688" s="12"/>
      <c r="E688" s="12"/>
      <c r="F688" s="12"/>
      <c r="G688" s="9" t="s">
        <v>1775</v>
      </c>
      <c r="H688" s="20" t="s">
        <v>11830</v>
      </c>
      <c r="I688" s="9" t="s">
        <v>3303</v>
      </c>
      <c r="J688" s="70" t="str">
        <f>IF(shinsei_DAIRI_SIKAKU="","",shinsei_DAIRI_SIKAKU)</f>
        <v>一級</v>
      </c>
      <c r="O688" s="504"/>
      <c r="P688" s="504"/>
      <c r="Q688" s="504"/>
      <c r="R688" s="504"/>
      <c r="S688" s="504"/>
      <c r="T688" s="504"/>
      <c r="U688" s="504"/>
      <c r="V688" s="504"/>
      <c r="W688" s="504"/>
      <c r="X688" s="504"/>
      <c r="Y688" s="504"/>
    </row>
    <row r="689" spans="1:25" s="10" customFormat="1" ht="18" customHeight="1">
      <c r="A689" s="11"/>
      <c r="B689" s="12"/>
      <c r="C689" s="12" t="s">
        <v>3304</v>
      </c>
      <c r="D689" s="12"/>
      <c r="E689" s="12"/>
      <c r="F689" s="12"/>
      <c r="G689" s="9" t="s">
        <v>1776</v>
      </c>
      <c r="H689" s="20" t="s">
        <v>11836</v>
      </c>
      <c r="I689" s="9" t="s">
        <v>3305</v>
      </c>
      <c r="J689" s="70" t="str">
        <f>IF(shinsei_DAIRI_TOUROKU_KIKAN="","",shinsei_DAIRI_TOUROKU_KIKAN)</f>
        <v>大臣</v>
      </c>
    </row>
    <row r="690" spans="1:25" s="10" customFormat="1" ht="18" customHeight="1">
      <c r="A690" s="11"/>
      <c r="B690" s="12"/>
      <c r="C690" s="12" t="s">
        <v>3306</v>
      </c>
      <c r="D690" s="12"/>
      <c r="E690" s="12"/>
      <c r="F690" s="12"/>
      <c r="G690" s="9" t="s">
        <v>1777</v>
      </c>
      <c r="H690" s="20">
        <v>239574</v>
      </c>
      <c r="I690" s="9" t="s">
        <v>3307</v>
      </c>
      <c r="J690" s="70">
        <f>IF(shinsei_DAIRI_KENSETUSI_NO="","",shinsei_DAIRI_KENSETUSI_NO)</f>
        <v>239574</v>
      </c>
    </row>
    <row r="691" spans="1:25" s="10" customFormat="1" ht="18" customHeight="1">
      <c r="A691" s="11"/>
      <c r="B691" s="12" t="s">
        <v>3308</v>
      </c>
      <c r="C691" s="12"/>
      <c r="D691" s="12"/>
      <c r="E691" s="12"/>
      <c r="F691" s="12"/>
      <c r="G691" s="9" t="s">
        <v>3309</v>
      </c>
      <c r="H691" s="20" t="s">
        <v>11832</v>
      </c>
      <c r="I691" s="16" t="s">
        <v>3310</v>
      </c>
      <c r="J691" s="70" t="str">
        <f>IF(shinsei_DAIRI_NAME="","",shinsei_DAIRI_NAME)</f>
        <v>青木　雅祐</v>
      </c>
    </row>
    <row r="692" spans="1:25" s="10" customFormat="1" ht="18" customHeight="1">
      <c r="A692" s="11"/>
      <c r="B692" s="12"/>
      <c r="C692" s="12" t="s">
        <v>10679</v>
      </c>
      <c r="D692" s="12"/>
      <c r="E692" s="12"/>
      <c r="F692" s="12"/>
      <c r="G692" s="9"/>
      <c r="H692" s="9"/>
      <c r="I692" s="16" t="s">
        <v>10678</v>
      </c>
      <c r="J692" s="71" t="str">
        <f>IF(shinsei_DAIRI_NAME="","",shinsei_DAIRI_NAME&amp;"　様")</f>
        <v>青木　雅祐　様</v>
      </c>
    </row>
    <row r="693" spans="1:25" s="10" customFormat="1" ht="18" customHeight="1">
      <c r="A693" s="11"/>
      <c r="B693" s="12" t="s">
        <v>3311</v>
      </c>
      <c r="C693" s="12"/>
      <c r="D693" s="12"/>
      <c r="E693" s="12"/>
      <c r="F693" s="12"/>
      <c r="G693" s="9"/>
      <c r="H693" s="9"/>
      <c r="I693" s="9"/>
    </row>
    <row r="694" spans="1:25" s="10" customFormat="1" ht="18" customHeight="1">
      <c r="A694" s="11"/>
      <c r="B694" s="12"/>
      <c r="C694" s="12" t="s">
        <v>3302</v>
      </c>
      <c r="D694" s="12"/>
      <c r="E694" s="12"/>
      <c r="F694" s="12"/>
      <c r="G694" s="10" t="s">
        <v>1778</v>
      </c>
      <c r="H694" s="20" t="s">
        <v>11830</v>
      </c>
      <c r="I694" s="9" t="s">
        <v>3312</v>
      </c>
      <c r="J694" s="70" t="str">
        <f>IF(shinsei_DAIRI_JIMU_SIKAKU="","",shinsei_DAIRI_JIMU_SIKAKU)</f>
        <v>一級</v>
      </c>
    </row>
    <row r="695" spans="1:25" s="10" customFormat="1" ht="18" customHeight="1">
      <c r="A695" s="11"/>
      <c r="B695" s="12"/>
      <c r="C695" s="12" t="s">
        <v>3304</v>
      </c>
      <c r="D695" s="12"/>
      <c r="E695" s="12"/>
      <c r="F695" s="12"/>
      <c r="G695" s="10" t="s">
        <v>1779</v>
      </c>
      <c r="H695" s="20" t="s">
        <v>11796</v>
      </c>
      <c r="I695" s="9" t="s">
        <v>3313</v>
      </c>
      <c r="J695" s="70" t="str">
        <f>IF(shinsei_DAIRI_JIMU_TOUROKU_KIKAN="","",shinsei_DAIRI_JIMU_TOUROKU_KIKAN)</f>
        <v>大阪府</v>
      </c>
    </row>
    <row r="696" spans="1:25" s="10" customFormat="1" ht="18" customHeight="1">
      <c r="A696" s="11"/>
      <c r="B696" s="12"/>
      <c r="C696" s="12" t="s">
        <v>3306</v>
      </c>
      <c r="D696" s="12"/>
      <c r="E696" s="12"/>
      <c r="F696" s="12"/>
      <c r="G696" s="10" t="s">
        <v>1780</v>
      </c>
      <c r="H696" s="20" t="s">
        <v>11829</v>
      </c>
      <c r="I696" s="9" t="s">
        <v>3314</v>
      </c>
      <c r="J696" s="70" t="str">
        <f>IF(shinsei_DAIRI_JIMU_NO="","",shinsei_DAIRI_JIMU_NO)</f>
        <v>ホ-17519</v>
      </c>
    </row>
    <row r="697" spans="1:25" s="10" customFormat="1" ht="18" customHeight="1">
      <c r="A697" s="11"/>
      <c r="B697" s="12" t="s">
        <v>3315</v>
      </c>
      <c r="C697" s="12"/>
      <c r="D697" s="12"/>
      <c r="E697" s="12"/>
      <c r="F697" s="12"/>
      <c r="G697" s="9" t="s">
        <v>3316</v>
      </c>
      <c r="H697" s="20" t="s">
        <v>11828</v>
      </c>
      <c r="I697" s="10" t="s">
        <v>3317</v>
      </c>
      <c r="J697" s="24" t="str">
        <f>IF(shinsei_DAIRI_JIMU_NAME="","",shinsei_DAIRI_JIMU_NAME)</f>
        <v>一級建築士事務所　株式会社　アフェクションウォーク</v>
      </c>
    </row>
    <row r="698" spans="1:25" ht="18" customHeight="1">
      <c r="C698" s="5" t="s">
        <v>10680</v>
      </c>
      <c r="I698" s="10" t="s">
        <v>11017</v>
      </c>
      <c r="J698" s="29" t="str">
        <f>IF(shinsei_DAIRI_JIMU_NAME="","",IF(shinsei_DAIRI_NAME="",shinsei_DAIRI_JIMU_NAME&amp;"　御中",shinsei_DAIRI_JIMU_NAME))</f>
        <v>一級建築士事務所　株式会社　アフェクションウォーク</v>
      </c>
      <c r="O698" s="504"/>
      <c r="P698" s="504"/>
      <c r="Q698" s="504"/>
      <c r="R698" s="504"/>
      <c r="S698" s="504"/>
      <c r="T698" s="504"/>
      <c r="U698" s="504"/>
      <c r="V698" s="504"/>
      <c r="W698" s="504"/>
      <c r="X698" s="504"/>
      <c r="Y698" s="504"/>
    </row>
    <row r="699" spans="1:25" ht="18" customHeight="1">
      <c r="C699" s="5" t="s">
        <v>11016</v>
      </c>
      <c r="I699" s="10" t="s">
        <v>10681</v>
      </c>
      <c r="J699" s="29" t="str">
        <f>IF(shinsei_DAIRI_JIMU_NAME="","",shinsei_DAIRI_JIMU_NAME&amp;"　御中")</f>
        <v>一級建築士事務所　株式会社　アフェクションウォーク　御中</v>
      </c>
      <c r="O699" s="504"/>
      <c r="P699" s="504"/>
      <c r="Q699" s="504"/>
      <c r="R699" s="504"/>
      <c r="S699" s="504"/>
      <c r="T699" s="504"/>
      <c r="U699" s="504"/>
      <c r="V699" s="504"/>
      <c r="W699" s="504"/>
      <c r="X699" s="504"/>
      <c r="Y699" s="504"/>
    </row>
    <row r="700" spans="1:25" s="10" customFormat="1" ht="18" customHeight="1">
      <c r="A700" s="11"/>
      <c r="B700" s="12" t="s">
        <v>3318</v>
      </c>
      <c r="C700" s="12"/>
      <c r="D700" s="12"/>
      <c r="E700" s="12"/>
      <c r="F700" s="12"/>
      <c r="G700" s="9" t="s">
        <v>1781</v>
      </c>
      <c r="H700" s="20" t="s">
        <v>11834</v>
      </c>
      <c r="I700" s="16" t="s">
        <v>3319</v>
      </c>
      <c r="J700" s="70" t="str">
        <f>IF(shinsei_DAIRI_POST_CODE="","",shinsei_DAIRI_POST_CODE)</f>
        <v>530-0052</v>
      </c>
    </row>
    <row r="701" spans="1:25" s="10" customFormat="1" ht="18" customHeight="1">
      <c r="A701" s="11"/>
      <c r="B701" s="12" t="s">
        <v>3320</v>
      </c>
      <c r="C701" s="12"/>
      <c r="D701" s="12"/>
      <c r="E701" s="12"/>
      <c r="F701" s="12"/>
      <c r="G701" s="9" t="s">
        <v>3321</v>
      </c>
      <c r="H701" s="20" t="s">
        <v>11825</v>
      </c>
      <c r="I701" s="16" t="s">
        <v>3322</v>
      </c>
      <c r="J701" s="70" t="str">
        <f>IF(shinsei_DAIRI__address="","",shinsei_DAIRI__address)</f>
        <v>大阪府大阪市北区南扇町1番5号</v>
      </c>
    </row>
    <row r="702" spans="1:25" s="10" customFormat="1" ht="18" customHeight="1">
      <c r="A702" s="11"/>
      <c r="B702" s="12" t="s">
        <v>3323</v>
      </c>
      <c r="C702" s="12"/>
      <c r="D702" s="12"/>
      <c r="E702" s="12"/>
      <c r="F702" s="12"/>
      <c r="G702" s="9" t="s">
        <v>3324</v>
      </c>
      <c r="H702" s="20" t="s">
        <v>11835</v>
      </c>
      <c r="I702" s="16" t="s">
        <v>3325</v>
      </c>
      <c r="J702" s="70" t="str">
        <f>IF(shinsei_DAIRI_TEL="","",shinsei_DAIRI_TEL)</f>
        <v>06-6311-3412</v>
      </c>
    </row>
    <row r="703" spans="1:25" s="10" customFormat="1" ht="18" customHeight="1">
      <c r="A703" s="11"/>
      <c r="B703" s="12" t="s">
        <v>3326</v>
      </c>
      <c r="C703" s="12"/>
      <c r="D703" s="12"/>
      <c r="E703" s="12"/>
      <c r="F703" s="12"/>
      <c r="G703" s="9" t="s">
        <v>1782</v>
      </c>
      <c r="H703" s="20" t="s">
        <v>11826</v>
      </c>
      <c r="I703" s="9" t="s">
        <v>3327</v>
      </c>
      <c r="J703" s="70" t="str">
        <f>IF(shinsei_DAIRI_FAX="","",shinsei_DAIRI_FAX)</f>
        <v>06-6311-3413</v>
      </c>
    </row>
    <row r="704" spans="1:25" s="10" customFormat="1" ht="18" customHeight="1">
      <c r="A704" s="11"/>
      <c r="B704" s="12"/>
      <c r="C704" s="12"/>
      <c r="D704" s="12"/>
      <c r="E704" s="12"/>
      <c r="F704" s="12"/>
      <c r="G704" s="9"/>
      <c r="H704" s="9"/>
      <c r="I704" s="9"/>
    </row>
    <row r="705" spans="1:11" s="10" customFormat="1" ht="18" customHeight="1">
      <c r="A705" s="11"/>
      <c r="B705" s="12"/>
      <c r="C705" s="53" t="s">
        <v>3328</v>
      </c>
      <c r="D705" s="53"/>
      <c r="E705" s="53"/>
      <c r="F705" s="53"/>
      <c r="G705" s="54"/>
      <c r="H705" s="54"/>
      <c r="I705" s="18" t="s">
        <v>3329</v>
      </c>
      <c r="J705" s="70" t="str">
        <f>IF(shinsei_DAIRI_NAME="","",IF(shinsei_DAIRI_JIMU_NAME="",shinsei_DAIRI_NAME,shinsei_DAIRI_JIMU_NAME&amp;" "&amp;shinsei_DAIRI_NAME))</f>
        <v>一級建築士事務所　株式会社　アフェクションウォーク 青木　雅祐</v>
      </c>
    </row>
    <row r="706" spans="1:11" s="10" customFormat="1" ht="18" customHeight="1">
      <c r="A706" s="11"/>
      <c r="B706" s="12"/>
      <c r="C706" s="12"/>
      <c r="D706" s="12"/>
      <c r="E706" s="12"/>
      <c r="F706" s="12"/>
    </row>
    <row r="707" spans="1:11" s="10" customFormat="1" ht="18" customHeight="1">
      <c r="A707" s="11"/>
      <c r="B707" s="12" t="s">
        <v>3330</v>
      </c>
      <c r="C707" s="12"/>
      <c r="D707" s="12"/>
      <c r="E707" s="12"/>
      <c r="F707" s="12"/>
    </row>
    <row r="708" spans="1:11" s="10" customFormat="1" ht="18" customHeight="1">
      <c r="A708" s="11"/>
      <c r="B708" s="12" t="s">
        <v>3301</v>
      </c>
      <c r="C708" s="12"/>
      <c r="D708" s="12"/>
      <c r="E708" s="12"/>
      <c r="F708" s="12"/>
    </row>
    <row r="709" spans="1:11" s="10" customFormat="1" ht="18" customHeight="1">
      <c r="A709" s="11"/>
      <c r="B709" s="12"/>
      <c r="C709" s="12" t="s">
        <v>3302</v>
      </c>
      <c r="D709" s="12"/>
      <c r="E709" s="12"/>
      <c r="F709" s="12"/>
      <c r="G709" s="10" t="s">
        <v>1783</v>
      </c>
      <c r="H709" s="20"/>
      <c r="I709" s="10" t="s">
        <v>3331</v>
      </c>
      <c r="J709" s="70" t="str">
        <f>IF(shinsei_dairi02_SIKAKU="","",shinsei_dairi02_SIKAKU)</f>
        <v/>
      </c>
    </row>
    <row r="710" spans="1:11" s="10" customFormat="1" ht="18" customHeight="1">
      <c r="A710" s="11"/>
      <c r="B710" s="12"/>
      <c r="C710" s="12" t="s">
        <v>3304</v>
      </c>
      <c r="D710" s="12"/>
      <c r="E710" s="12"/>
      <c r="F710" s="12"/>
      <c r="G710" s="10" t="s">
        <v>1784</v>
      </c>
      <c r="H710" s="20"/>
      <c r="I710" s="10" t="s">
        <v>3332</v>
      </c>
      <c r="J710" s="70" t="str">
        <f>IF(shinsei_dairi02_TOUROKU_KIKAN="","",shinsei_dairi02_TOUROKU_KIKAN)</f>
        <v/>
      </c>
    </row>
    <row r="711" spans="1:11" s="52" customFormat="1" ht="18" customHeight="1">
      <c r="A711" s="11"/>
      <c r="B711" s="12"/>
      <c r="C711" s="12" t="s">
        <v>3306</v>
      </c>
      <c r="D711" s="53"/>
      <c r="E711" s="53"/>
      <c r="F711" s="53"/>
      <c r="G711" s="55" t="s">
        <v>1785</v>
      </c>
      <c r="H711" s="20"/>
      <c r="I711" s="1" t="s">
        <v>3333</v>
      </c>
      <c r="J711" s="70" t="str">
        <f>IF(shinsei_dairi02_KENSETUSI_NO="","",shinsei_dairi02_KENSETUSI_NO)</f>
        <v/>
      </c>
      <c r="K711" s="56"/>
    </row>
    <row r="712" spans="1:11" s="52" customFormat="1" ht="18" customHeight="1">
      <c r="A712" s="11"/>
      <c r="B712" s="12" t="s">
        <v>3308</v>
      </c>
      <c r="C712" s="12"/>
      <c r="D712" s="5"/>
      <c r="E712" s="5"/>
      <c r="F712" s="5"/>
      <c r="G712" s="57" t="s">
        <v>1786</v>
      </c>
      <c r="H712" s="20"/>
      <c r="I712" s="7" t="s">
        <v>3334</v>
      </c>
      <c r="J712" s="70" t="str">
        <f>IF(shinsei_dairi02_NAME="","",shinsei_dairi02_NAME)</f>
        <v/>
      </c>
      <c r="K712" s="56"/>
    </row>
    <row r="713" spans="1:11" s="61" customFormat="1" ht="18" customHeight="1">
      <c r="A713" s="11"/>
      <c r="B713" s="12" t="s">
        <v>3311</v>
      </c>
      <c r="C713" s="12"/>
      <c r="D713" s="58"/>
      <c r="E713" s="58"/>
      <c r="F713" s="58"/>
      <c r="G713" s="59"/>
      <c r="H713" s="59"/>
      <c r="I713" s="18"/>
      <c r="J713" s="18"/>
      <c r="K713" s="60"/>
    </row>
    <row r="714" spans="1:11" s="61" customFormat="1" ht="18" customHeight="1">
      <c r="A714" s="11"/>
      <c r="B714" s="12"/>
      <c r="C714" s="12" t="s">
        <v>3302</v>
      </c>
      <c r="D714" s="58"/>
      <c r="E714" s="58"/>
      <c r="F714" s="58"/>
      <c r="G714" s="59" t="s">
        <v>1787</v>
      </c>
      <c r="H714" s="20"/>
      <c r="I714" s="18" t="s">
        <v>3335</v>
      </c>
      <c r="J714" s="70" t="str">
        <f>IF(shinsei_dairi02_JIMU_SIKAKU="","",shinsei_dairi02_JIMU_SIKAKU)</f>
        <v/>
      </c>
      <c r="K714" s="60"/>
    </row>
    <row r="715" spans="1:11" s="61" customFormat="1" ht="18" customHeight="1">
      <c r="A715" s="11"/>
      <c r="B715" s="12"/>
      <c r="C715" s="12" t="s">
        <v>3304</v>
      </c>
      <c r="D715" s="58"/>
      <c r="E715" s="58"/>
      <c r="F715" s="58"/>
      <c r="G715" s="59" t="s">
        <v>1788</v>
      </c>
      <c r="H715" s="20"/>
      <c r="I715" s="18" t="s">
        <v>3336</v>
      </c>
      <c r="J715" s="70" t="str">
        <f>IF(shinsei_dairi02_JIMU_TOUROKU_KIKAN="","",shinsei_dairi02_JIMU_TOUROKU_KIKAN)</f>
        <v/>
      </c>
      <c r="K715" s="60"/>
    </row>
    <row r="716" spans="1:11" s="61" customFormat="1" ht="18" customHeight="1">
      <c r="A716" s="11"/>
      <c r="B716" s="12"/>
      <c r="C716" s="12" t="s">
        <v>3306</v>
      </c>
      <c r="D716" s="58"/>
      <c r="E716" s="58"/>
      <c r="F716" s="58"/>
      <c r="G716" s="59" t="s">
        <v>1789</v>
      </c>
      <c r="H716" s="20"/>
      <c r="I716" s="18" t="s">
        <v>3337</v>
      </c>
      <c r="J716" s="70" t="str">
        <f>IF(shinsei_dairi02_JIMU_NO="","",shinsei_dairi02_JIMU_NO)</f>
        <v/>
      </c>
      <c r="K716" s="60"/>
    </row>
    <row r="717" spans="1:11" s="61" customFormat="1" ht="18" customHeight="1">
      <c r="A717" s="11"/>
      <c r="B717" s="12" t="s">
        <v>3315</v>
      </c>
      <c r="C717" s="12"/>
      <c r="D717" s="58"/>
      <c r="E717" s="58"/>
      <c r="F717" s="58"/>
      <c r="G717" s="59" t="s">
        <v>3338</v>
      </c>
      <c r="H717" s="20"/>
      <c r="I717" s="18" t="s">
        <v>3339</v>
      </c>
      <c r="J717" s="70" t="str">
        <f>IF(shinsei_dairi02_JIMU_NAME="","",shinsei_dairi02_JIMU_NAME)</f>
        <v/>
      </c>
      <c r="K717" s="60"/>
    </row>
    <row r="718" spans="1:11" s="61" customFormat="1" ht="18" customHeight="1">
      <c r="A718" s="11"/>
      <c r="B718" s="12" t="s">
        <v>3318</v>
      </c>
      <c r="C718" s="12"/>
      <c r="D718" s="58"/>
      <c r="E718" s="58"/>
      <c r="F718" s="58"/>
      <c r="G718" s="59" t="s">
        <v>1790</v>
      </c>
      <c r="H718" s="20"/>
      <c r="I718" s="18" t="s">
        <v>3340</v>
      </c>
      <c r="J718" s="70" t="str">
        <f>IF(shinsei_dairi02_POST_CODE="","",shinsei_dairi02_POST_CODE)</f>
        <v/>
      </c>
      <c r="K718" s="60"/>
    </row>
    <row r="719" spans="1:11" s="61" customFormat="1" ht="18" customHeight="1">
      <c r="A719" s="11"/>
      <c r="B719" s="12" t="s">
        <v>3320</v>
      </c>
      <c r="C719" s="12"/>
      <c r="D719" s="58"/>
      <c r="E719" s="58"/>
      <c r="F719" s="58"/>
      <c r="G719" s="59" t="s">
        <v>1791</v>
      </c>
      <c r="H719" s="20"/>
      <c r="I719" s="18" t="s">
        <v>3341</v>
      </c>
      <c r="J719" s="70" t="str">
        <f>IF(shinsei_dairi02__address="","",shinsei_dairi02__address)</f>
        <v/>
      </c>
      <c r="K719" s="60"/>
    </row>
    <row r="720" spans="1:11" s="61" customFormat="1" ht="18" customHeight="1">
      <c r="A720" s="11"/>
      <c r="B720" s="12" t="s">
        <v>3323</v>
      </c>
      <c r="C720" s="12"/>
      <c r="D720" s="58"/>
      <c r="E720" s="58"/>
      <c r="F720" s="58"/>
      <c r="G720" s="59" t="s">
        <v>1792</v>
      </c>
      <c r="H720" s="20"/>
      <c r="I720" s="18" t="s">
        <v>3342</v>
      </c>
      <c r="J720" s="70" t="str">
        <f>IF(shinsei_dairi02_TEL="","",shinsei_dairi02_TEL)</f>
        <v/>
      </c>
      <c r="K720" s="60"/>
    </row>
    <row r="721" spans="1:11" s="61" customFormat="1" ht="18" customHeight="1">
      <c r="A721" s="11"/>
      <c r="B721" s="12" t="s">
        <v>3326</v>
      </c>
      <c r="C721" s="12"/>
      <c r="D721" s="58"/>
      <c r="E721" s="58"/>
      <c r="F721" s="58"/>
      <c r="G721" s="59" t="s">
        <v>3343</v>
      </c>
      <c r="H721" s="20"/>
      <c r="I721" s="18" t="s">
        <v>3344</v>
      </c>
      <c r="J721" s="70" t="str">
        <f>IF(shinsei_dairi02_FAX="","",shinsei_dairi02_FAX)</f>
        <v/>
      </c>
      <c r="K721" s="60"/>
    </row>
    <row r="722" spans="1:11" s="61" customFormat="1" ht="18" customHeight="1">
      <c r="A722" s="58"/>
      <c r="B722" s="58"/>
      <c r="C722" s="58"/>
      <c r="D722" s="58"/>
      <c r="E722" s="58"/>
      <c r="F722" s="58"/>
      <c r="G722" s="59"/>
      <c r="H722" s="59"/>
      <c r="I722" s="18"/>
      <c r="J722" s="18"/>
      <c r="K722" s="60"/>
    </row>
    <row r="723" spans="1:11" s="61" customFormat="1" ht="18" customHeight="1">
      <c r="A723" s="58"/>
      <c r="B723" s="12" t="s">
        <v>3345</v>
      </c>
      <c r="C723" s="12"/>
      <c r="D723" s="12"/>
      <c r="E723" s="12"/>
      <c r="F723" s="12"/>
      <c r="G723" s="10"/>
      <c r="H723" s="59"/>
      <c r="I723" s="18"/>
      <c r="J723" s="18"/>
      <c r="K723" s="60"/>
    </row>
    <row r="724" spans="1:11" s="61" customFormat="1" ht="18" customHeight="1">
      <c r="A724" s="58"/>
      <c r="B724" s="12" t="s">
        <v>3301</v>
      </c>
      <c r="C724" s="12"/>
      <c r="D724" s="12"/>
      <c r="E724" s="12"/>
      <c r="F724" s="12"/>
      <c r="G724" s="10"/>
      <c r="H724" s="59"/>
      <c r="I724" s="18"/>
      <c r="J724" s="18"/>
      <c r="K724" s="60"/>
    </row>
    <row r="725" spans="1:11" s="61" customFormat="1" ht="18" customHeight="1">
      <c r="A725" s="58"/>
      <c r="B725" s="12"/>
      <c r="C725" s="12" t="s">
        <v>3302</v>
      </c>
      <c r="D725" s="12"/>
      <c r="E725" s="12"/>
      <c r="F725" s="12"/>
      <c r="G725" s="10" t="s">
        <v>3346</v>
      </c>
      <c r="H725" s="20"/>
      <c r="I725" s="10" t="s">
        <v>3347</v>
      </c>
      <c r="J725" s="70" t="str">
        <f>IF(shinsei_dairi03_SIKAKU="","",shinsei_dairi03_SIKAKU)</f>
        <v/>
      </c>
      <c r="K725" s="60"/>
    </row>
    <row r="726" spans="1:11" s="61" customFormat="1" ht="18" customHeight="1">
      <c r="A726" s="58"/>
      <c r="B726" s="12"/>
      <c r="C726" s="12" t="s">
        <v>3304</v>
      </c>
      <c r="D726" s="12"/>
      <c r="E726" s="12"/>
      <c r="F726" s="12"/>
      <c r="G726" s="10" t="s">
        <v>3348</v>
      </c>
      <c r="H726" s="20"/>
      <c r="I726" s="10" t="s">
        <v>3349</v>
      </c>
      <c r="J726" s="70" t="str">
        <f>IF(shinsei_dairi03_TOUROKU_KIKAN="","",shinsei_dairi03_TOUROKU_KIKAN)</f>
        <v/>
      </c>
      <c r="K726" s="60"/>
    </row>
    <row r="727" spans="1:11" s="61" customFormat="1" ht="18" customHeight="1">
      <c r="A727" s="58"/>
      <c r="B727" s="12"/>
      <c r="C727" s="12" t="s">
        <v>3306</v>
      </c>
      <c r="D727" s="53"/>
      <c r="E727" s="53"/>
      <c r="F727" s="53"/>
      <c r="G727" s="55" t="s">
        <v>3350</v>
      </c>
      <c r="H727" s="20"/>
      <c r="I727" s="1" t="s">
        <v>3351</v>
      </c>
      <c r="J727" s="70" t="str">
        <f>IF(shinsei_dairi03_KENSETUSI_NO="","",shinsei_dairi03_KENSETUSI_NO)</f>
        <v/>
      </c>
      <c r="K727" s="60"/>
    </row>
    <row r="728" spans="1:11" s="61" customFormat="1" ht="18" customHeight="1">
      <c r="A728" s="58"/>
      <c r="B728" s="12" t="s">
        <v>3308</v>
      </c>
      <c r="C728" s="12"/>
      <c r="D728" s="5"/>
      <c r="E728" s="5"/>
      <c r="F728" s="5"/>
      <c r="G728" s="57" t="s">
        <v>3352</v>
      </c>
      <c r="H728" s="20"/>
      <c r="I728" s="7" t="s">
        <v>3353</v>
      </c>
      <c r="J728" s="70" t="str">
        <f>IF(shinsei_dairi03_NAME="","",shinsei_dairi03_NAME)</f>
        <v/>
      </c>
      <c r="K728" s="60"/>
    </row>
    <row r="729" spans="1:11" s="61" customFormat="1" ht="18" customHeight="1">
      <c r="A729" s="58"/>
      <c r="B729" s="12" t="s">
        <v>3311</v>
      </c>
      <c r="C729" s="12"/>
      <c r="D729" s="58"/>
      <c r="E729" s="58"/>
      <c r="F729" s="58"/>
      <c r="G729" s="59"/>
      <c r="H729" s="59"/>
      <c r="I729" s="18"/>
      <c r="J729" s="18"/>
      <c r="K729" s="60"/>
    </row>
    <row r="730" spans="1:11" s="61" customFormat="1" ht="18" customHeight="1">
      <c r="A730" s="58"/>
      <c r="B730" s="12"/>
      <c r="C730" s="12" t="s">
        <v>3302</v>
      </c>
      <c r="D730" s="58"/>
      <c r="E730" s="58"/>
      <c r="F730" s="58"/>
      <c r="G730" s="59" t="s">
        <v>3354</v>
      </c>
      <c r="H730" s="20"/>
      <c r="I730" s="18" t="s">
        <v>3355</v>
      </c>
      <c r="J730" s="70" t="str">
        <f>IF(shinsei_dairi03_JIMU_SIKAKU="","",shinsei_dairi03_JIMU_SIKAKU)</f>
        <v/>
      </c>
      <c r="K730" s="60"/>
    </row>
    <row r="731" spans="1:11" s="61" customFormat="1" ht="18" customHeight="1">
      <c r="A731" s="58"/>
      <c r="B731" s="12"/>
      <c r="C731" s="12" t="s">
        <v>3304</v>
      </c>
      <c r="D731" s="58"/>
      <c r="E731" s="58"/>
      <c r="F731" s="58"/>
      <c r="G731" s="59" t="s">
        <v>3356</v>
      </c>
      <c r="H731" s="20"/>
      <c r="I731" s="18" t="s">
        <v>3357</v>
      </c>
      <c r="J731" s="70" t="str">
        <f>IF(shinsei_dairi03_JIMU_TOUROKU_KIKAN="","",shinsei_dairi03_JIMU_TOUROKU_KIKAN)</f>
        <v/>
      </c>
      <c r="K731" s="60"/>
    </row>
    <row r="732" spans="1:11" s="61" customFormat="1" ht="18" customHeight="1">
      <c r="A732" s="58"/>
      <c r="B732" s="12"/>
      <c r="C732" s="12" t="s">
        <v>3358</v>
      </c>
      <c r="D732" s="58"/>
      <c r="E732" s="58"/>
      <c r="F732" s="58"/>
      <c r="G732" s="59" t="s">
        <v>3359</v>
      </c>
      <c r="H732" s="20"/>
      <c r="I732" s="18" t="s">
        <v>3360</v>
      </c>
      <c r="J732" s="70" t="str">
        <f>IF(shinsei_dairi03_JIMU_NO="","",shinsei_dairi03_JIMU_NO)</f>
        <v/>
      </c>
      <c r="K732" s="60"/>
    </row>
    <row r="733" spans="1:11" s="61" customFormat="1" ht="18" customHeight="1">
      <c r="A733" s="58"/>
      <c r="B733" s="12" t="s">
        <v>3315</v>
      </c>
      <c r="C733" s="12"/>
      <c r="D733" s="58"/>
      <c r="E733" s="58"/>
      <c r="F733" s="58"/>
      <c r="G733" s="59" t="s">
        <v>3361</v>
      </c>
      <c r="H733" s="20"/>
      <c r="I733" s="18" t="s">
        <v>3362</v>
      </c>
      <c r="J733" s="70" t="str">
        <f>IF(shinsei_dairi03_JIMU_NAME="","",shinsei_dairi03_JIMU_NAME)</f>
        <v/>
      </c>
      <c r="K733" s="60"/>
    </row>
    <row r="734" spans="1:11" s="61" customFormat="1" ht="18" customHeight="1">
      <c r="A734" s="58"/>
      <c r="B734" s="12" t="s">
        <v>3363</v>
      </c>
      <c r="C734" s="12"/>
      <c r="D734" s="58"/>
      <c r="E734" s="58"/>
      <c r="F734" s="58"/>
      <c r="G734" s="59" t="s">
        <v>3364</v>
      </c>
      <c r="H734" s="20"/>
      <c r="I734" s="18" t="s">
        <v>3365</v>
      </c>
      <c r="J734" s="70" t="str">
        <f>IF(shinsei_dairi03_POST_CODE="","",shinsei_dairi03_POST_CODE)</f>
        <v/>
      </c>
      <c r="K734" s="60"/>
    </row>
    <row r="735" spans="1:11" s="61" customFormat="1" ht="18" customHeight="1">
      <c r="A735" s="58"/>
      <c r="B735" s="12" t="s">
        <v>3366</v>
      </c>
      <c r="C735" s="12"/>
      <c r="D735" s="58"/>
      <c r="E735" s="58"/>
      <c r="F735" s="58"/>
      <c r="G735" s="59" t="s">
        <v>3367</v>
      </c>
      <c r="H735" s="20"/>
      <c r="I735" s="18" t="s">
        <v>3368</v>
      </c>
      <c r="J735" s="70" t="str">
        <f>IF(shinsei_dairi03__address="","",shinsei_dairi03__address)</f>
        <v/>
      </c>
      <c r="K735" s="60"/>
    </row>
    <row r="736" spans="1:11" s="61" customFormat="1" ht="18" customHeight="1">
      <c r="A736" s="58"/>
      <c r="B736" s="12" t="s">
        <v>3369</v>
      </c>
      <c r="C736" s="12"/>
      <c r="D736" s="58"/>
      <c r="E736" s="58"/>
      <c r="F736" s="58"/>
      <c r="G736" s="59" t="s">
        <v>3370</v>
      </c>
      <c r="H736" s="20"/>
      <c r="I736" s="18" t="s">
        <v>3371</v>
      </c>
      <c r="J736" s="70" t="str">
        <f>IF(shinsei_dairi03_TEL="","",shinsei_dairi03_TEL)</f>
        <v/>
      </c>
      <c r="K736" s="60"/>
    </row>
    <row r="737" spans="1:11" s="61" customFormat="1" ht="18" customHeight="1">
      <c r="A737" s="58"/>
      <c r="B737" s="12" t="s">
        <v>3326</v>
      </c>
      <c r="C737" s="12"/>
      <c r="D737" s="58"/>
      <c r="E737" s="58"/>
      <c r="F737" s="58"/>
      <c r="G737" s="59" t="s">
        <v>3372</v>
      </c>
      <c r="H737" s="20"/>
      <c r="I737" s="18" t="s">
        <v>3373</v>
      </c>
      <c r="J737" s="70" t="str">
        <f>IF(shinsei_dairi03_FAX="","",shinsei_dairi03_FAX)</f>
        <v/>
      </c>
      <c r="K737" s="60"/>
    </row>
    <row r="738" spans="1:11" s="61" customFormat="1" ht="18" customHeight="1">
      <c r="A738" s="58"/>
      <c r="B738" s="58"/>
      <c r="C738" s="58"/>
      <c r="D738" s="58"/>
      <c r="E738" s="58"/>
      <c r="F738" s="58"/>
      <c r="G738" s="59"/>
      <c r="H738" s="59"/>
      <c r="I738" s="18"/>
      <c r="J738" s="18"/>
      <c r="K738" s="60"/>
    </row>
    <row r="739" spans="1:11" s="61" customFormat="1" ht="18" customHeight="1">
      <c r="A739" s="58"/>
      <c r="B739" s="12" t="s">
        <v>3374</v>
      </c>
      <c r="C739" s="12"/>
      <c r="D739" s="12"/>
      <c r="E739" s="12"/>
      <c r="F739" s="12"/>
      <c r="G739" s="10"/>
      <c r="H739" s="59"/>
      <c r="I739" s="18"/>
      <c r="J739" s="18"/>
      <c r="K739" s="60"/>
    </row>
    <row r="740" spans="1:11" s="61" customFormat="1" ht="18" customHeight="1">
      <c r="A740" s="58"/>
      <c r="B740" s="12" t="s">
        <v>3375</v>
      </c>
      <c r="C740" s="12"/>
      <c r="D740" s="12"/>
      <c r="E740" s="12"/>
      <c r="F740" s="12"/>
      <c r="G740" s="10"/>
      <c r="H740" s="59"/>
      <c r="I740" s="18"/>
      <c r="J740" s="18"/>
      <c r="K740" s="60"/>
    </row>
    <row r="741" spans="1:11" s="61" customFormat="1" ht="18" customHeight="1">
      <c r="A741" s="58"/>
      <c r="B741" s="12"/>
      <c r="C741" s="12" t="s">
        <v>3376</v>
      </c>
      <c r="D741" s="12"/>
      <c r="E741" s="12"/>
      <c r="F741" s="12"/>
      <c r="G741" s="10" t="s">
        <v>3377</v>
      </c>
      <c r="H741" s="20"/>
      <c r="I741" s="10" t="s">
        <v>3378</v>
      </c>
      <c r="J741" s="70" t="str">
        <f>IF(shinsei_dairi04_SIKAKU="","",shinsei_dairi04_SIKAKU)</f>
        <v/>
      </c>
      <c r="K741" s="60"/>
    </row>
    <row r="742" spans="1:11" s="61" customFormat="1" ht="18" customHeight="1">
      <c r="A742" s="58"/>
      <c r="B742" s="12"/>
      <c r="C742" s="12" t="s">
        <v>3379</v>
      </c>
      <c r="D742" s="12"/>
      <c r="E742" s="12"/>
      <c r="F742" s="12"/>
      <c r="G742" s="10" t="s">
        <v>3380</v>
      </c>
      <c r="H742" s="20"/>
      <c r="I742" s="10" t="s">
        <v>3381</v>
      </c>
      <c r="J742" s="70" t="str">
        <f>IF(shinsei_dairi04_TOUROKU_KIKAN="","",shinsei_dairi04_TOUROKU_KIKAN)</f>
        <v/>
      </c>
      <c r="K742" s="60"/>
    </row>
    <row r="743" spans="1:11" s="61" customFormat="1" ht="18" customHeight="1">
      <c r="A743" s="58"/>
      <c r="B743" s="12"/>
      <c r="C743" s="12" t="s">
        <v>3382</v>
      </c>
      <c r="D743" s="53"/>
      <c r="E743" s="53"/>
      <c r="F743" s="53"/>
      <c r="G743" s="55" t="s">
        <v>3383</v>
      </c>
      <c r="H743" s="20"/>
      <c r="I743" s="1" t="s">
        <v>3384</v>
      </c>
      <c r="J743" s="70" t="str">
        <f>IF(shinsei_dairi04_KENSETUSI_NO="","",shinsei_dairi04_KENSETUSI_NO)</f>
        <v/>
      </c>
      <c r="K743" s="60"/>
    </row>
    <row r="744" spans="1:11" s="61" customFormat="1" ht="18" customHeight="1">
      <c r="A744" s="58"/>
      <c r="B744" s="12" t="s">
        <v>3308</v>
      </c>
      <c r="C744" s="12"/>
      <c r="D744" s="5"/>
      <c r="E744" s="5"/>
      <c r="F744" s="5"/>
      <c r="G744" s="57" t="s">
        <v>3385</v>
      </c>
      <c r="H744" s="20"/>
      <c r="I744" s="7" t="s">
        <v>3386</v>
      </c>
      <c r="J744" s="70" t="str">
        <f>IF(shinsei_dairi04_NAME="","",shinsei_dairi04_NAME)</f>
        <v/>
      </c>
      <c r="K744" s="60"/>
    </row>
    <row r="745" spans="1:11" s="61" customFormat="1" ht="18" customHeight="1">
      <c r="A745" s="58"/>
      <c r="B745" s="12" t="s">
        <v>3311</v>
      </c>
      <c r="C745" s="12"/>
      <c r="D745" s="58"/>
      <c r="E745" s="58"/>
      <c r="F745" s="58"/>
      <c r="G745" s="59"/>
      <c r="H745" s="59"/>
      <c r="I745" s="18"/>
      <c r="J745" s="18"/>
      <c r="K745" s="60"/>
    </row>
    <row r="746" spans="1:11" s="61" customFormat="1" ht="18" customHeight="1">
      <c r="A746" s="58"/>
      <c r="B746" s="12"/>
      <c r="C746" s="12" t="s">
        <v>3302</v>
      </c>
      <c r="D746" s="58"/>
      <c r="E746" s="58"/>
      <c r="F746" s="58"/>
      <c r="G746" s="59" t="s">
        <v>3387</v>
      </c>
      <c r="H746" s="20"/>
      <c r="I746" s="18" t="s">
        <v>3388</v>
      </c>
      <c r="J746" s="70" t="str">
        <f>IF(shinsei_dairi04_JIMU_SIKAKU="","",shinsei_dairi04_JIMU_SIKAKU)</f>
        <v/>
      </c>
      <c r="K746" s="60"/>
    </row>
    <row r="747" spans="1:11" s="61" customFormat="1" ht="18" customHeight="1">
      <c r="A747" s="58"/>
      <c r="B747" s="12"/>
      <c r="C747" s="12" t="s">
        <v>3389</v>
      </c>
      <c r="D747" s="58"/>
      <c r="E747" s="58"/>
      <c r="F747" s="58"/>
      <c r="G747" s="59" t="s">
        <v>3390</v>
      </c>
      <c r="H747" s="20"/>
      <c r="I747" s="18" t="s">
        <v>3391</v>
      </c>
      <c r="J747" s="70" t="str">
        <f>IF(shinsei_dairi04_JIMU_TOUROKU_KIKAN="","",shinsei_dairi04_JIMU_TOUROKU_KIKAN)</f>
        <v/>
      </c>
      <c r="K747" s="60"/>
    </row>
    <row r="748" spans="1:11" s="61" customFormat="1" ht="18" customHeight="1">
      <c r="A748" s="58"/>
      <c r="B748" s="12"/>
      <c r="C748" s="12" t="s">
        <v>3306</v>
      </c>
      <c r="D748" s="58"/>
      <c r="E748" s="58"/>
      <c r="F748" s="58"/>
      <c r="G748" s="59" t="s">
        <v>3392</v>
      </c>
      <c r="H748" s="20"/>
      <c r="I748" s="18" t="s">
        <v>3393</v>
      </c>
      <c r="J748" s="70" t="str">
        <f>IF(shinsei_dairi04_JIMU_NO="","",shinsei_dairi04_JIMU_NO)</f>
        <v/>
      </c>
      <c r="K748" s="60"/>
    </row>
    <row r="749" spans="1:11" s="61" customFormat="1" ht="18" customHeight="1">
      <c r="A749" s="58"/>
      <c r="B749" s="12" t="s">
        <v>3315</v>
      </c>
      <c r="C749" s="12"/>
      <c r="D749" s="58"/>
      <c r="E749" s="58"/>
      <c r="F749" s="58"/>
      <c r="G749" s="59" t="s">
        <v>3394</v>
      </c>
      <c r="H749" s="20"/>
      <c r="I749" s="18" t="s">
        <v>3395</v>
      </c>
      <c r="J749" s="70" t="str">
        <f>IF(shinsei_dairi04_JIMU_NAME="","",shinsei_dairi04_JIMU_NAME)</f>
        <v/>
      </c>
      <c r="K749" s="60"/>
    </row>
    <row r="750" spans="1:11" s="61" customFormat="1" ht="18" customHeight="1">
      <c r="A750" s="58"/>
      <c r="B750" s="12" t="s">
        <v>3396</v>
      </c>
      <c r="C750" s="12"/>
      <c r="D750" s="58"/>
      <c r="E750" s="58"/>
      <c r="F750" s="58"/>
      <c r="G750" s="59" t="s">
        <v>3397</v>
      </c>
      <c r="H750" s="20"/>
      <c r="I750" s="18" t="s">
        <v>3398</v>
      </c>
      <c r="J750" s="70" t="str">
        <f>IF(shinsei_dairi04_POST_CODE="","",shinsei_dairi04_POST_CODE)</f>
        <v/>
      </c>
      <c r="K750" s="60"/>
    </row>
    <row r="751" spans="1:11" s="61" customFormat="1" ht="18" customHeight="1">
      <c r="A751" s="58"/>
      <c r="B751" s="12" t="s">
        <v>3320</v>
      </c>
      <c r="C751" s="12"/>
      <c r="D751" s="58"/>
      <c r="E751" s="58"/>
      <c r="F751" s="58"/>
      <c r="G751" s="59" t="s">
        <v>3399</v>
      </c>
      <c r="H751" s="20"/>
      <c r="I751" s="18" t="s">
        <v>3400</v>
      </c>
      <c r="J751" s="70" t="str">
        <f>IF(shinsei_dairi04__address="","",shinsei_dairi04__address)</f>
        <v/>
      </c>
      <c r="K751" s="60"/>
    </row>
    <row r="752" spans="1:11" s="61" customFormat="1" ht="18" customHeight="1">
      <c r="A752" s="58"/>
      <c r="B752" s="12" t="s">
        <v>3401</v>
      </c>
      <c r="C752" s="12"/>
      <c r="D752" s="58"/>
      <c r="E752" s="58"/>
      <c r="F752" s="58"/>
      <c r="G752" s="59" t="s">
        <v>3402</v>
      </c>
      <c r="H752" s="20"/>
      <c r="I752" s="18" t="s">
        <v>3403</v>
      </c>
      <c r="J752" s="70" t="str">
        <f>IF(shinsei_dairi04_TEL="","",shinsei_dairi04_TEL)</f>
        <v/>
      </c>
      <c r="K752" s="60"/>
    </row>
    <row r="753" spans="1:11" s="61" customFormat="1" ht="18" customHeight="1">
      <c r="A753" s="58"/>
      <c r="B753" s="12" t="s">
        <v>3404</v>
      </c>
      <c r="C753" s="12"/>
      <c r="D753" s="58"/>
      <c r="E753" s="58"/>
      <c r="F753" s="58"/>
      <c r="G753" s="59" t="s">
        <v>3405</v>
      </c>
      <c r="H753" s="20"/>
      <c r="I753" s="18" t="s">
        <v>3406</v>
      </c>
      <c r="J753" s="70" t="str">
        <f>IF(shinsei_dairi04_FAX="","",shinsei_dairi04_FAX)</f>
        <v/>
      </c>
      <c r="K753" s="60"/>
    </row>
    <row r="754" spans="1:11" s="61" customFormat="1" ht="18" customHeight="1">
      <c r="A754" s="58"/>
      <c r="B754" s="58"/>
      <c r="C754" s="58"/>
      <c r="D754" s="58"/>
      <c r="E754" s="58"/>
      <c r="F754" s="58"/>
      <c r="G754" s="59"/>
      <c r="H754" s="59"/>
      <c r="I754" s="18"/>
      <c r="J754" s="18"/>
      <c r="K754" s="60"/>
    </row>
    <row r="755" spans="1:11" s="61" customFormat="1" ht="18" customHeight="1">
      <c r="A755" s="58"/>
      <c r="B755" s="12" t="s">
        <v>3407</v>
      </c>
      <c r="C755" s="12"/>
      <c r="D755" s="12"/>
      <c r="E755" s="12"/>
      <c r="F755" s="12"/>
      <c r="G755" s="10"/>
      <c r="H755" s="59"/>
      <c r="I755" s="18"/>
      <c r="J755" s="18"/>
      <c r="K755" s="60"/>
    </row>
    <row r="756" spans="1:11" s="61" customFormat="1" ht="18" customHeight="1">
      <c r="A756" s="58"/>
      <c r="B756" s="12" t="s">
        <v>3408</v>
      </c>
      <c r="C756" s="12"/>
      <c r="D756" s="12"/>
      <c r="E756" s="12"/>
      <c r="F756" s="12"/>
      <c r="G756" s="10"/>
      <c r="H756" s="59"/>
      <c r="I756" s="18"/>
      <c r="J756" s="18"/>
      <c r="K756" s="60"/>
    </row>
    <row r="757" spans="1:11" s="61" customFormat="1" ht="18" customHeight="1">
      <c r="A757" s="58"/>
      <c r="B757" s="12"/>
      <c r="C757" s="12" t="s">
        <v>3409</v>
      </c>
      <c r="D757" s="12"/>
      <c r="E757" s="12"/>
      <c r="F757" s="12"/>
      <c r="G757" s="10" t="s">
        <v>3410</v>
      </c>
      <c r="H757" s="20"/>
      <c r="I757" s="10" t="s">
        <v>3411</v>
      </c>
      <c r="J757" s="70" t="str">
        <f>IF(shinsei_dairi05_SIKAKU="","",shinsei_dairi05_SIKAKU)</f>
        <v/>
      </c>
      <c r="K757" s="60"/>
    </row>
    <row r="758" spans="1:11" s="61" customFormat="1" ht="18" customHeight="1">
      <c r="A758" s="58"/>
      <c r="B758" s="12"/>
      <c r="C758" s="12" t="s">
        <v>3412</v>
      </c>
      <c r="D758" s="12"/>
      <c r="E758" s="12"/>
      <c r="F758" s="12"/>
      <c r="G758" s="10" t="s">
        <v>3413</v>
      </c>
      <c r="H758" s="20"/>
      <c r="I758" s="10" t="s">
        <v>3414</v>
      </c>
      <c r="J758" s="70" t="str">
        <f>IF(shinsei_dairi05_TOUROKU_KIKAN="","",shinsei_dairi05_TOUROKU_KIKAN)</f>
        <v/>
      </c>
      <c r="K758" s="60"/>
    </row>
    <row r="759" spans="1:11" s="61" customFormat="1" ht="18" customHeight="1">
      <c r="A759" s="58"/>
      <c r="B759" s="12"/>
      <c r="C759" s="12" t="s">
        <v>3415</v>
      </c>
      <c r="D759" s="53"/>
      <c r="E759" s="53"/>
      <c r="F759" s="53"/>
      <c r="G759" s="55" t="s">
        <v>3416</v>
      </c>
      <c r="H759" s="20"/>
      <c r="I759" s="1" t="s">
        <v>3417</v>
      </c>
      <c r="J759" s="70" t="str">
        <f>IF(shinsei_dairi05_KENSETUSI_NO="","",shinsei_dairi05_KENSETUSI_NO)</f>
        <v/>
      </c>
      <c r="K759" s="60"/>
    </row>
    <row r="760" spans="1:11" s="61" customFormat="1" ht="18" customHeight="1">
      <c r="A760" s="58"/>
      <c r="B760" s="12" t="s">
        <v>3418</v>
      </c>
      <c r="C760" s="12"/>
      <c r="D760" s="5"/>
      <c r="E760" s="5"/>
      <c r="F760" s="5"/>
      <c r="G760" s="57" t="s">
        <v>3419</v>
      </c>
      <c r="H760" s="20"/>
      <c r="I760" s="7" t="s">
        <v>3420</v>
      </c>
      <c r="J760" s="70" t="str">
        <f>IF(shinsei_dairi05_NAME="","",shinsei_dairi05_NAME)</f>
        <v/>
      </c>
      <c r="K760" s="60"/>
    </row>
    <row r="761" spans="1:11" s="61" customFormat="1" ht="18" customHeight="1">
      <c r="A761" s="58"/>
      <c r="B761" s="12" t="s">
        <v>3311</v>
      </c>
      <c r="C761" s="12"/>
      <c r="D761" s="58"/>
      <c r="E761" s="58"/>
      <c r="F761" s="58"/>
      <c r="G761" s="59"/>
      <c r="H761" s="59"/>
      <c r="I761" s="18"/>
      <c r="J761" s="18"/>
      <c r="K761" s="60"/>
    </row>
    <row r="762" spans="1:11" s="61" customFormat="1" ht="18" customHeight="1">
      <c r="A762" s="58"/>
      <c r="B762" s="12"/>
      <c r="C762" s="12" t="s">
        <v>3302</v>
      </c>
      <c r="D762" s="58"/>
      <c r="E762" s="58"/>
      <c r="F762" s="58"/>
      <c r="G762" s="59" t="s">
        <v>3421</v>
      </c>
      <c r="H762" s="20"/>
      <c r="I762" s="18" t="s">
        <v>3422</v>
      </c>
      <c r="J762" s="70" t="str">
        <f>IF(shinsei_dairi05_JIMU_SIKAKU="","",shinsei_dairi05_JIMU_SIKAKU)</f>
        <v/>
      </c>
      <c r="K762" s="60"/>
    </row>
    <row r="763" spans="1:11" s="61" customFormat="1" ht="18" customHeight="1">
      <c r="A763" s="58"/>
      <c r="B763" s="12"/>
      <c r="C763" s="12" t="s">
        <v>3423</v>
      </c>
      <c r="D763" s="58"/>
      <c r="E763" s="58"/>
      <c r="F763" s="58"/>
      <c r="G763" s="59" t="s">
        <v>3424</v>
      </c>
      <c r="H763" s="20"/>
      <c r="I763" s="18" t="s">
        <v>3425</v>
      </c>
      <c r="J763" s="70" t="str">
        <f>IF(shinsei_dairi05_JIMU_TOUROKU_KIKAN="","",shinsei_dairi05_JIMU_TOUROKU_KIKAN)</f>
        <v/>
      </c>
      <c r="K763" s="60"/>
    </row>
    <row r="764" spans="1:11" s="61" customFormat="1" ht="18" customHeight="1">
      <c r="A764" s="58"/>
      <c r="B764" s="12"/>
      <c r="C764" s="12" t="s">
        <v>3306</v>
      </c>
      <c r="D764" s="58"/>
      <c r="E764" s="58"/>
      <c r="F764" s="58"/>
      <c r="G764" s="59" t="s">
        <v>3426</v>
      </c>
      <c r="H764" s="20"/>
      <c r="I764" s="18" t="s">
        <v>3427</v>
      </c>
      <c r="J764" s="70" t="str">
        <f>IF(shinsei_dairi05_JIMU_NO="","",shinsei_dairi05_JIMU_NO)</f>
        <v/>
      </c>
      <c r="K764" s="60"/>
    </row>
    <row r="765" spans="1:11" s="61" customFormat="1" ht="18" customHeight="1">
      <c r="A765" s="58"/>
      <c r="B765" s="12" t="s">
        <v>3428</v>
      </c>
      <c r="C765" s="12"/>
      <c r="D765" s="58"/>
      <c r="E765" s="58"/>
      <c r="F765" s="58"/>
      <c r="G765" s="59" t="s">
        <v>3429</v>
      </c>
      <c r="H765" s="20"/>
      <c r="I765" s="18" t="s">
        <v>3430</v>
      </c>
      <c r="J765" s="70" t="str">
        <f>IF(shinsei_dairi05_JIMU_NAME="","",shinsei_dairi05_JIMU_NAME)</f>
        <v/>
      </c>
      <c r="K765" s="60"/>
    </row>
    <row r="766" spans="1:11" s="61" customFormat="1" ht="18" customHeight="1">
      <c r="A766" s="58"/>
      <c r="B766" s="12" t="s">
        <v>3318</v>
      </c>
      <c r="C766" s="12"/>
      <c r="D766" s="58"/>
      <c r="E766" s="58"/>
      <c r="F766" s="58"/>
      <c r="G766" s="59" t="s">
        <v>3431</v>
      </c>
      <c r="H766" s="20"/>
      <c r="I766" s="18" t="s">
        <v>3432</v>
      </c>
      <c r="J766" s="70" t="str">
        <f>IF(shinsei_dairi05_POST_CODE="","",shinsei_dairi05_POST_CODE)</f>
        <v/>
      </c>
      <c r="K766" s="60"/>
    </row>
    <row r="767" spans="1:11" s="61" customFormat="1" ht="18" customHeight="1">
      <c r="A767" s="58"/>
      <c r="B767" s="12" t="s">
        <v>3320</v>
      </c>
      <c r="C767" s="12"/>
      <c r="D767" s="58"/>
      <c r="E767" s="58"/>
      <c r="F767" s="58"/>
      <c r="G767" s="59" t="s">
        <v>3433</v>
      </c>
      <c r="H767" s="20"/>
      <c r="I767" s="18" t="s">
        <v>3434</v>
      </c>
      <c r="J767" s="70" t="str">
        <f>IF(shinsei_dairi05__address="","",shinsei_dairi05__address)</f>
        <v/>
      </c>
      <c r="K767" s="60"/>
    </row>
    <row r="768" spans="1:11" s="61" customFormat="1" ht="18" customHeight="1">
      <c r="A768" s="58"/>
      <c r="B768" s="12" t="s">
        <v>3323</v>
      </c>
      <c r="C768" s="12"/>
      <c r="D768" s="58"/>
      <c r="E768" s="58"/>
      <c r="F768" s="58"/>
      <c r="G768" s="59" t="s">
        <v>3435</v>
      </c>
      <c r="H768" s="20"/>
      <c r="I768" s="18" t="s">
        <v>3436</v>
      </c>
      <c r="J768" s="70" t="str">
        <f>IF(shinsei_dairi05_TEL="","",shinsei_dairi05_TEL)</f>
        <v/>
      </c>
      <c r="K768" s="60"/>
    </row>
    <row r="769" spans="1:11" s="61" customFormat="1" ht="18" customHeight="1">
      <c r="A769" s="58"/>
      <c r="B769" s="12" t="s">
        <v>3326</v>
      </c>
      <c r="C769" s="12"/>
      <c r="D769" s="58"/>
      <c r="E769" s="58"/>
      <c r="F769" s="58"/>
      <c r="G769" s="59" t="s">
        <v>3437</v>
      </c>
      <c r="H769" s="20"/>
      <c r="I769" s="18" t="s">
        <v>3438</v>
      </c>
      <c r="J769" s="70" t="str">
        <f>IF(shinsei_dairi05_FAX="","",shinsei_dairi05_FAX)</f>
        <v/>
      </c>
      <c r="K769" s="60"/>
    </row>
    <row r="770" spans="1:11" s="61" customFormat="1" ht="18" customHeight="1">
      <c r="A770" s="58"/>
      <c r="B770" s="58"/>
      <c r="C770" s="58"/>
      <c r="D770" s="58"/>
      <c r="E770" s="58"/>
      <c r="F770" s="58"/>
      <c r="G770" s="62"/>
      <c r="H770" s="62"/>
      <c r="I770" s="18"/>
      <c r="J770" s="18"/>
      <c r="K770" s="60"/>
    </row>
    <row r="771" spans="1:11" s="61" customFormat="1" ht="18" customHeight="1">
      <c r="A771" s="58"/>
      <c r="B771" s="58"/>
      <c r="C771" s="58"/>
      <c r="D771" s="58"/>
      <c r="E771" s="58"/>
      <c r="F771" s="58"/>
      <c r="G771" s="62"/>
      <c r="H771" s="62"/>
      <c r="I771" s="18"/>
      <c r="J771" s="18"/>
      <c r="K771" s="60"/>
    </row>
    <row r="772" spans="1:11" s="61" customFormat="1" ht="18" customHeight="1">
      <c r="A772" s="58"/>
      <c r="B772" s="58" t="s">
        <v>3439</v>
      </c>
      <c r="C772" s="58"/>
      <c r="D772" s="58"/>
      <c r="E772" s="58"/>
      <c r="F772" s="58"/>
      <c r="G772" s="62"/>
      <c r="H772" s="62"/>
      <c r="I772" s="18"/>
      <c r="J772" s="18"/>
      <c r="K772" s="60"/>
    </row>
    <row r="773" spans="1:11" s="61" customFormat="1" ht="18" customHeight="1">
      <c r="A773" s="58"/>
      <c r="B773" s="58" t="s">
        <v>3440</v>
      </c>
      <c r="C773" s="58"/>
      <c r="D773" s="58"/>
      <c r="E773" s="58"/>
      <c r="F773" s="58"/>
      <c r="G773" s="62"/>
      <c r="H773" s="62"/>
      <c r="I773" s="18"/>
      <c r="J773" s="18"/>
      <c r="K773" s="60"/>
    </row>
    <row r="774" spans="1:11" s="61" customFormat="1" ht="18" customHeight="1">
      <c r="A774" s="58"/>
      <c r="B774" s="12" t="s">
        <v>3301</v>
      </c>
      <c r="C774" s="58"/>
      <c r="D774" s="58"/>
      <c r="E774" s="58"/>
      <c r="F774" s="58"/>
      <c r="G774" s="62"/>
      <c r="H774" s="62"/>
      <c r="I774" s="18"/>
      <c r="J774" s="18"/>
      <c r="K774" s="60"/>
    </row>
    <row r="775" spans="1:11" s="61" customFormat="1" ht="18" customHeight="1">
      <c r="A775" s="58"/>
      <c r="B775" s="12"/>
      <c r="C775" s="12" t="s">
        <v>3302</v>
      </c>
      <c r="D775" s="58"/>
      <c r="E775" s="58"/>
      <c r="F775" s="58"/>
      <c r="G775" s="62" t="s">
        <v>1793</v>
      </c>
      <c r="H775" s="20" t="s">
        <v>11830</v>
      </c>
      <c r="I775" s="18" t="s">
        <v>3441</v>
      </c>
      <c r="J775" s="70" t="str">
        <f>IF(shinsei_SEKKEI_SIKAKU="","",shinsei_SEKKEI_SIKAKU)</f>
        <v>一級</v>
      </c>
      <c r="K775" s="60"/>
    </row>
    <row r="776" spans="1:11" s="61" customFormat="1" ht="18" customHeight="1">
      <c r="A776" s="58"/>
      <c r="B776" s="12"/>
      <c r="C776" s="12" t="s">
        <v>3442</v>
      </c>
      <c r="D776" s="58"/>
      <c r="E776" s="58"/>
      <c r="F776" s="58"/>
      <c r="G776" s="62" t="s">
        <v>3443</v>
      </c>
      <c r="H776" s="20" t="s">
        <v>11836</v>
      </c>
      <c r="I776" s="18" t="s">
        <v>3444</v>
      </c>
      <c r="J776" s="70" t="str">
        <f>IF(shinsei_SEKKEI_TOUROKU_KIKAN="","",shinsei_SEKKEI_TOUROKU_KIKAN)</f>
        <v>大臣</v>
      </c>
      <c r="K776" s="60"/>
    </row>
    <row r="777" spans="1:11" s="61" customFormat="1" ht="18" customHeight="1">
      <c r="A777" s="58"/>
      <c r="B777" s="12"/>
      <c r="C777" s="12" t="s">
        <v>3445</v>
      </c>
      <c r="D777" s="58"/>
      <c r="E777" s="58"/>
      <c r="F777" s="58"/>
      <c r="G777" s="62" t="s">
        <v>1794</v>
      </c>
      <c r="H777" s="20">
        <v>239574</v>
      </c>
      <c r="I777" s="18" t="s">
        <v>3446</v>
      </c>
      <c r="J777" s="70">
        <f>IF(shinsei_SEKKEI_KENSETUSI_NO="","",shinsei_SEKKEI_KENSETUSI_NO)</f>
        <v>239574</v>
      </c>
      <c r="K777" s="60"/>
    </row>
    <row r="778" spans="1:11" s="61" customFormat="1" ht="18" customHeight="1">
      <c r="A778" s="58"/>
      <c r="B778" s="12" t="s">
        <v>3447</v>
      </c>
      <c r="C778" s="12"/>
      <c r="D778" s="58"/>
      <c r="E778" s="58"/>
      <c r="F778" s="58"/>
      <c r="G778" s="62" t="s">
        <v>1795</v>
      </c>
      <c r="H778" s="20" t="s">
        <v>11831</v>
      </c>
      <c r="I778" s="18" t="s">
        <v>3448</v>
      </c>
      <c r="J778" s="70" t="str">
        <f>IF(shinsei_SEKKEI_NAME="","",shinsei_SEKKEI_NAME)</f>
        <v>青木　雅祐</v>
      </c>
      <c r="K778" s="60"/>
    </row>
    <row r="779" spans="1:11" s="61" customFormat="1" ht="18" customHeight="1">
      <c r="A779" s="58"/>
      <c r="B779" s="12" t="s">
        <v>3449</v>
      </c>
      <c r="C779" s="12"/>
      <c r="D779" s="58"/>
      <c r="E779" s="58"/>
      <c r="F779" s="58"/>
      <c r="G779" s="62"/>
      <c r="H779" s="62"/>
      <c r="I779" s="18"/>
      <c r="J779" s="18"/>
      <c r="K779" s="60"/>
    </row>
    <row r="780" spans="1:11" s="61" customFormat="1" ht="18" customHeight="1">
      <c r="A780" s="58"/>
      <c r="B780" s="12"/>
      <c r="C780" s="12" t="s">
        <v>3450</v>
      </c>
      <c r="D780" s="58"/>
      <c r="E780" s="58"/>
      <c r="F780" s="58"/>
      <c r="G780" s="62" t="s">
        <v>1796</v>
      </c>
      <c r="H780" s="20" t="s">
        <v>11830</v>
      </c>
      <c r="I780" s="18" t="s">
        <v>3451</v>
      </c>
      <c r="J780" s="70" t="str">
        <f>IF(shinsei_SEKKEI_JIMU_SIKAKU="","",shinsei_SEKKEI_JIMU_SIKAKU)</f>
        <v>一級</v>
      </c>
      <c r="K780" s="60"/>
    </row>
    <row r="781" spans="1:11" s="61" customFormat="1" ht="18" customHeight="1">
      <c r="A781" s="58"/>
      <c r="B781" s="12"/>
      <c r="C781" s="12" t="s">
        <v>3452</v>
      </c>
      <c r="D781" s="58"/>
      <c r="E781" s="58"/>
      <c r="F781" s="58"/>
      <c r="G781" s="62" t="s">
        <v>1797</v>
      </c>
      <c r="H781" s="20" t="s">
        <v>11796</v>
      </c>
      <c r="I781" s="18" t="s">
        <v>3453</v>
      </c>
      <c r="J781" s="70" t="str">
        <f>IF(shinsei_SEKKEI_JIMU_TOUROKU_KIKAN="","",shinsei_SEKKEI_JIMU_TOUROKU_KIKAN)</f>
        <v>大阪府</v>
      </c>
      <c r="K781" s="60"/>
    </row>
    <row r="782" spans="1:11" s="61" customFormat="1" ht="18" customHeight="1">
      <c r="A782" s="58"/>
      <c r="B782" s="12"/>
      <c r="C782" s="12" t="s">
        <v>3445</v>
      </c>
      <c r="D782" s="58"/>
      <c r="E782" s="58"/>
      <c r="F782" s="58"/>
      <c r="G782" s="62" t="s">
        <v>3454</v>
      </c>
      <c r="H782" s="20" t="s">
        <v>11829</v>
      </c>
      <c r="I782" s="18" t="s">
        <v>3455</v>
      </c>
      <c r="J782" s="70" t="str">
        <f>IF(shinsei_SEKKEI_JIMU_NO="","",shinsei_SEKKEI_JIMU_NO)</f>
        <v>ホ-17519</v>
      </c>
      <c r="K782" s="60"/>
    </row>
    <row r="783" spans="1:11" s="61" customFormat="1" ht="18" customHeight="1">
      <c r="A783" s="58"/>
      <c r="B783" s="12" t="s">
        <v>3456</v>
      </c>
      <c r="C783" s="58"/>
      <c r="D783" s="58"/>
      <c r="E783" s="58"/>
      <c r="F783" s="58"/>
      <c r="G783" s="62" t="s">
        <v>1798</v>
      </c>
      <c r="H783" s="20" t="s">
        <v>11827</v>
      </c>
      <c r="I783" s="18" t="s">
        <v>3457</v>
      </c>
      <c r="J783" s="70" t="str">
        <f>IF(shinsei_SEKKEI_JIMU_NAME="","",shinsei_SEKKEI_JIMU_NAME)</f>
        <v>一級建築士事務所　株式会社　アフェクションウォーク</v>
      </c>
      <c r="K783" s="60"/>
    </row>
    <row r="784" spans="1:11" s="61" customFormat="1" ht="18" customHeight="1">
      <c r="A784" s="58"/>
      <c r="B784" s="12" t="s">
        <v>3458</v>
      </c>
      <c r="C784" s="58"/>
      <c r="D784" s="58"/>
      <c r="E784" s="58"/>
      <c r="F784" s="58"/>
      <c r="G784" s="62" t="s">
        <v>1799</v>
      </c>
      <c r="H784" s="20" t="s">
        <v>11833</v>
      </c>
      <c r="I784" s="18" t="s">
        <v>3459</v>
      </c>
      <c r="J784" s="70" t="str">
        <f>IF(shinsei_SEKKEI_POST_CODE="","",shinsei_SEKKEI_POST_CODE)</f>
        <v>530-0052</v>
      </c>
      <c r="K784" s="60"/>
    </row>
    <row r="785" spans="1:11" s="61" customFormat="1" ht="18" customHeight="1">
      <c r="A785" s="58"/>
      <c r="B785" s="12" t="s">
        <v>3460</v>
      </c>
      <c r="C785" s="58"/>
      <c r="D785" s="58"/>
      <c r="E785" s="58"/>
      <c r="F785" s="58"/>
      <c r="G785" s="62" t="s">
        <v>1800</v>
      </c>
      <c r="H785" s="20" t="s">
        <v>11824</v>
      </c>
      <c r="I785" s="18" t="s">
        <v>3461</v>
      </c>
      <c r="J785" s="70" t="str">
        <f>IF(shinsei_SEKKEI__address="","",shinsei_SEKKEI__address)</f>
        <v>大阪府大阪市北区南扇町1番5号</v>
      </c>
      <c r="K785" s="60"/>
    </row>
    <row r="786" spans="1:11" s="61" customFormat="1" ht="18" customHeight="1">
      <c r="A786" s="58"/>
      <c r="B786" s="12" t="s">
        <v>3462</v>
      </c>
      <c r="C786" s="58"/>
      <c r="D786" s="58"/>
      <c r="E786" s="58"/>
      <c r="F786" s="58"/>
      <c r="G786" s="62" t="s">
        <v>1801</v>
      </c>
      <c r="H786" s="20" t="s">
        <v>11835</v>
      </c>
      <c r="I786" s="18" t="s">
        <v>3463</v>
      </c>
      <c r="J786" s="70" t="str">
        <f>IF(shinsei_SEKKEI_TEL="","",shinsei_SEKKEI_TEL)</f>
        <v>06-6311-3412</v>
      </c>
      <c r="K786" s="60"/>
    </row>
    <row r="787" spans="1:11" s="61" customFormat="1" ht="18" customHeight="1">
      <c r="A787" s="58"/>
      <c r="B787" s="12"/>
      <c r="C787" s="58"/>
      <c r="D787" s="58"/>
      <c r="E787" s="58"/>
      <c r="F787" s="58"/>
      <c r="G787" s="62"/>
      <c r="H787" s="62"/>
      <c r="I787" s="18"/>
      <c r="J787" s="18"/>
      <c r="K787" s="60"/>
    </row>
    <row r="788" spans="1:11" s="61" customFormat="1" ht="18" customHeight="1">
      <c r="A788" s="58"/>
      <c r="B788" s="58" t="s">
        <v>3464</v>
      </c>
      <c r="C788" s="58"/>
      <c r="D788" s="58"/>
      <c r="E788" s="58"/>
      <c r="F788" s="58"/>
      <c r="G788" s="62"/>
      <c r="H788" s="62"/>
      <c r="I788" s="18"/>
      <c r="J788" s="18"/>
      <c r="K788" s="60"/>
    </row>
    <row r="789" spans="1:11" s="61" customFormat="1" ht="18" customHeight="1">
      <c r="A789" s="58"/>
      <c r="B789" s="12" t="s">
        <v>3465</v>
      </c>
      <c r="C789" s="58"/>
      <c r="D789" s="58"/>
      <c r="E789" s="58"/>
      <c r="F789" s="58"/>
      <c r="G789" s="62"/>
      <c r="H789" s="62"/>
      <c r="I789" s="18"/>
      <c r="J789" s="18"/>
      <c r="K789" s="60"/>
    </row>
    <row r="790" spans="1:11" s="61" customFormat="1" ht="18" customHeight="1">
      <c r="A790" s="58"/>
      <c r="B790" s="12"/>
      <c r="C790" s="12" t="s">
        <v>3450</v>
      </c>
      <c r="D790" s="58"/>
      <c r="E790" s="58"/>
      <c r="F790" s="58"/>
      <c r="G790" s="62" t="s">
        <v>3466</v>
      </c>
      <c r="H790" s="20" t="s">
        <v>11830</v>
      </c>
      <c r="I790" s="18" t="s">
        <v>3467</v>
      </c>
      <c r="J790" s="70" t="str">
        <f>IF(shinsei_SEKKEI1_SIKAKU="","",shinsei_SEKKEI1_SIKAKU)</f>
        <v>一級</v>
      </c>
      <c r="K790" s="60"/>
    </row>
    <row r="791" spans="1:11" s="61" customFormat="1" ht="18" customHeight="1">
      <c r="A791" s="58"/>
      <c r="B791" s="12"/>
      <c r="C791" s="12" t="s">
        <v>3452</v>
      </c>
      <c r="D791" s="58"/>
      <c r="E791" s="58"/>
      <c r="F791" s="58"/>
      <c r="G791" s="62" t="s">
        <v>3468</v>
      </c>
      <c r="H791" s="20" t="s">
        <v>11836</v>
      </c>
      <c r="I791" s="18" t="s">
        <v>3469</v>
      </c>
      <c r="J791" s="70" t="str">
        <f>IF(shinsei_SEKKEI1_TOUROKU_KIKAN="","",shinsei_SEKKEI1_TOUROKU_KIKAN)</f>
        <v>大臣</v>
      </c>
      <c r="K791" s="60"/>
    </row>
    <row r="792" spans="1:11" s="61" customFormat="1" ht="18" customHeight="1">
      <c r="A792" s="58"/>
      <c r="B792" s="12"/>
      <c r="C792" s="12" t="s">
        <v>3445</v>
      </c>
      <c r="D792" s="58"/>
      <c r="E792" s="58"/>
      <c r="F792" s="58"/>
      <c r="G792" s="62" t="s">
        <v>3470</v>
      </c>
      <c r="H792" s="20">
        <v>80144</v>
      </c>
      <c r="I792" s="18" t="s">
        <v>3471</v>
      </c>
      <c r="J792" s="70">
        <f>IF(shinsei_SEKKEI1_KENSETUSI_NO="","",shinsei_SEKKEI1_KENSETUSI_NO)</f>
        <v>80144</v>
      </c>
      <c r="K792" s="60"/>
    </row>
    <row r="793" spans="1:11" s="61" customFormat="1" ht="18" customHeight="1">
      <c r="A793" s="58"/>
      <c r="B793" s="12" t="s">
        <v>3447</v>
      </c>
      <c r="C793" s="12"/>
      <c r="D793" s="58"/>
      <c r="E793" s="58"/>
      <c r="F793" s="58"/>
      <c r="G793" s="62" t="s">
        <v>3472</v>
      </c>
      <c r="H793" s="20" t="s">
        <v>11850</v>
      </c>
      <c r="I793" s="18" t="s">
        <v>3473</v>
      </c>
      <c r="J793" s="70" t="str">
        <f>IF(shinsei_SEKKEI1_NAME="","",shinsei_SEKKEI1_NAME)</f>
        <v>小村　二三夫</v>
      </c>
      <c r="K793" s="60"/>
    </row>
    <row r="794" spans="1:11" s="61" customFormat="1" ht="18" customHeight="1">
      <c r="A794" s="58"/>
      <c r="B794" s="12" t="s">
        <v>3311</v>
      </c>
      <c r="C794" s="12"/>
      <c r="D794" s="58"/>
      <c r="E794" s="58"/>
      <c r="F794" s="58"/>
      <c r="G794" s="62"/>
      <c r="H794" s="62"/>
      <c r="I794" s="18"/>
      <c r="J794" s="18"/>
      <c r="K794" s="60"/>
    </row>
    <row r="795" spans="1:11" s="61" customFormat="1" ht="18" customHeight="1">
      <c r="A795" s="58"/>
      <c r="B795" s="12"/>
      <c r="C795" s="12" t="s">
        <v>3302</v>
      </c>
      <c r="D795" s="58"/>
      <c r="E795" s="58"/>
      <c r="F795" s="58"/>
      <c r="G795" s="62" t="s">
        <v>3474</v>
      </c>
      <c r="H795" s="20" t="s">
        <v>11830</v>
      </c>
      <c r="I795" s="18" t="s">
        <v>3475</v>
      </c>
      <c r="J795" s="70" t="str">
        <f>IF(shinsei_SEKKEI1_JIMU_SIKAKU="","",shinsei_SEKKEI1_JIMU_SIKAKU)</f>
        <v>一級</v>
      </c>
      <c r="K795" s="60"/>
    </row>
    <row r="796" spans="1:11" s="61" customFormat="1" ht="18" customHeight="1">
      <c r="A796" s="58"/>
      <c r="B796" s="12"/>
      <c r="C796" s="12" t="s">
        <v>3304</v>
      </c>
      <c r="D796" s="58"/>
      <c r="E796" s="58"/>
      <c r="F796" s="58"/>
      <c r="G796" s="62" t="s">
        <v>3476</v>
      </c>
      <c r="H796" s="20" t="s">
        <v>11796</v>
      </c>
      <c r="I796" s="18" t="s">
        <v>3477</v>
      </c>
      <c r="J796" s="70" t="str">
        <f>IF(shinsei_SEKKEI1_JIMU_TOUROKU_KIKAN="","",shinsei_SEKKEI1_JIMU_TOUROKU_KIKAN)</f>
        <v>大阪府</v>
      </c>
      <c r="K796" s="60"/>
    </row>
    <row r="797" spans="1:11" s="61" customFormat="1" ht="18" customHeight="1">
      <c r="A797" s="58"/>
      <c r="B797" s="12"/>
      <c r="C797" s="12" t="s">
        <v>3478</v>
      </c>
      <c r="D797" s="58"/>
      <c r="E797" s="58"/>
      <c r="F797" s="58"/>
      <c r="G797" s="62" t="s">
        <v>3479</v>
      </c>
      <c r="H797" s="20" t="s">
        <v>11849</v>
      </c>
      <c r="I797" s="18" t="s">
        <v>3480</v>
      </c>
      <c r="J797" s="70" t="str">
        <f>IF(shinsei_SEKKEI1_JIMU_NO="","",shinsei_SEKKEI1_JIMU_NO)</f>
        <v>(ニ)　19034</v>
      </c>
      <c r="K797" s="60"/>
    </row>
    <row r="798" spans="1:11" s="61" customFormat="1" ht="18" customHeight="1">
      <c r="A798" s="58"/>
      <c r="B798" s="12" t="s">
        <v>3481</v>
      </c>
      <c r="C798" s="58"/>
      <c r="D798" s="58"/>
      <c r="E798" s="58"/>
      <c r="F798" s="58"/>
      <c r="G798" s="62" t="s">
        <v>3482</v>
      </c>
      <c r="H798" s="20" t="s">
        <v>11848</v>
      </c>
      <c r="I798" s="18" t="s">
        <v>3483</v>
      </c>
      <c r="J798" s="70" t="str">
        <f>IF(shinsei_SEKKEI1_JIMU_NAME="","",shinsei_SEKKEI1_JIMU_NAME)</f>
        <v>有限会社小村建築事務所</v>
      </c>
      <c r="K798" s="60"/>
    </row>
    <row r="799" spans="1:11" s="61" customFormat="1" ht="18" customHeight="1">
      <c r="A799" s="58"/>
      <c r="B799" s="12" t="s">
        <v>3484</v>
      </c>
      <c r="C799" s="58"/>
      <c r="D799" s="58"/>
      <c r="E799" s="58"/>
      <c r="F799" s="58"/>
      <c r="G799" s="62" t="s">
        <v>3485</v>
      </c>
      <c r="H799" s="20" t="s">
        <v>11851</v>
      </c>
      <c r="I799" s="18" t="s">
        <v>3486</v>
      </c>
      <c r="J799" s="70" t="str">
        <f>IF(shinsei_SEKKEI1_POST_CODE="","",shinsei_SEKKEI1_POST_CODE)</f>
        <v>540-0018</v>
      </c>
      <c r="K799" s="60"/>
    </row>
    <row r="800" spans="1:11" s="61" customFormat="1" ht="18" customHeight="1">
      <c r="A800" s="58"/>
      <c r="B800" s="12" t="s">
        <v>3487</v>
      </c>
      <c r="C800" s="58"/>
      <c r="D800" s="58"/>
      <c r="E800" s="58"/>
      <c r="F800" s="58"/>
      <c r="G800" s="62" t="s">
        <v>3488</v>
      </c>
      <c r="H800" s="20" t="s">
        <v>11847</v>
      </c>
      <c r="I800" s="18" t="s">
        <v>3489</v>
      </c>
      <c r="J800" s="70" t="str">
        <f>IF(shinsei_SEKKEI1__address="","",shinsei_SEKKEI1__address)</f>
        <v>大阪府大阪市中央区粉川町4-8-602</v>
      </c>
      <c r="K800" s="60"/>
    </row>
    <row r="801" spans="1:11" s="61" customFormat="1" ht="18" customHeight="1">
      <c r="A801" s="58"/>
      <c r="B801" s="12" t="s">
        <v>3462</v>
      </c>
      <c r="C801" s="58"/>
      <c r="D801" s="58"/>
      <c r="E801" s="58"/>
      <c r="F801" s="58"/>
      <c r="G801" s="62" t="s">
        <v>3490</v>
      </c>
      <c r="H801" s="20" t="s">
        <v>11852</v>
      </c>
      <c r="I801" s="18" t="s">
        <v>3491</v>
      </c>
      <c r="J801" s="70" t="str">
        <f>IF(shinsei_SEKKEI1_TEL="","",shinsei_SEKKEI1_TEL)</f>
        <v>06-6762-3616</v>
      </c>
      <c r="K801" s="60"/>
    </row>
    <row r="802" spans="1:11" s="61" customFormat="1" ht="18" customHeight="1">
      <c r="A802" s="58"/>
      <c r="B802" s="58"/>
      <c r="C802" s="58"/>
      <c r="D802" s="58"/>
      <c r="E802" s="58"/>
      <c r="F802" s="58"/>
      <c r="G802" s="62"/>
      <c r="H802" s="62"/>
      <c r="I802" s="18"/>
      <c r="J802" s="18"/>
      <c r="K802" s="60"/>
    </row>
    <row r="803" spans="1:11" s="61" customFormat="1" ht="18" customHeight="1">
      <c r="A803" s="58"/>
      <c r="B803" s="58" t="s">
        <v>3492</v>
      </c>
      <c r="C803" s="58"/>
      <c r="D803" s="58"/>
      <c r="E803" s="58"/>
      <c r="F803" s="58"/>
      <c r="G803" s="62"/>
      <c r="H803" s="62"/>
      <c r="I803" s="18"/>
      <c r="J803" s="18"/>
      <c r="K803" s="60"/>
    </row>
    <row r="804" spans="1:11" s="61" customFormat="1" ht="18" customHeight="1">
      <c r="A804" s="58"/>
      <c r="B804" s="12" t="s">
        <v>3465</v>
      </c>
      <c r="C804" s="58"/>
      <c r="D804" s="58"/>
      <c r="E804" s="58"/>
      <c r="F804" s="58"/>
      <c r="G804" s="62"/>
      <c r="H804" s="62"/>
      <c r="I804" s="18"/>
      <c r="J804" s="18"/>
      <c r="K804" s="60"/>
    </row>
    <row r="805" spans="1:11" s="61" customFormat="1" ht="18" customHeight="1">
      <c r="A805" s="58"/>
      <c r="B805" s="12"/>
      <c r="C805" s="12" t="s">
        <v>3450</v>
      </c>
      <c r="D805" s="58"/>
      <c r="E805" s="58"/>
      <c r="F805" s="58"/>
      <c r="G805" s="62" t="s">
        <v>3493</v>
      </c>
      <c r="H805" s="20"/>
      <c r="I805" s="18" t="s">
        <v>3494</v>
      </c>
      <c r="J805" s="70" t="str">
        <f>IF(shinsei_SEKKEI2_SIKAKU="","",shinsei_SEKKEI2_SIKAKU)</f>
        <v/>
      </c>
      <c r="K805" s="60"/>
    </row>
    <row r="806" spans="1:11" s="61" customFormat="1" ht="18" customHeight="1">
      <c r="A806" s="58"/>
      <c r="B806" s="12"/>
      <c r="C806" s="12" t="s">
        <v>3452</v>
      </c>
      <c r="D806" s="58"/>
      <c r="E806" s="58"/>
      <c r="F806" s="58"/>
      <c r="G806" s="62" t="s">
        <v>3495</v>
      </c>
      <c r="H806" s="20"/>
      <c r="I806" s="18" t="s">
        <v>3496</v>
      </c>
      <c r="J806" s="70" t="str">
        <f>IF(shinsei_SEKKEI2_TOUROKU_KIKAN="","",shinsei_SEKKEI2_TOUROKU_KIKAN)</f>
        <v/>
      </c>
      <c r="K806" s="60"/>
    </row>
    <row r="807" spans="1:11" s="61" customFormat="1" ht="18" customHeight="1">
      <c r="A807" s="58"/>
      <c r="B807" s="12"/>
      <c r="C807" s="12" t="s">
        <v>3445</v>
      </c>
      <c r="D807" s="58"/>
      <c r="E807" s="58"/>
      <c r="F807" s="58"/>
      <c r="G807" s="62" t="s">
        <v>3497</v>
      </c>
      <c r="H807" s="20"/>
      <c r="I807" s="18" t="s">
        <v>3498</v>
      </c>
      <c r="J807" s="70" t="str">
        <f>IF(shinsei_SEKKEI2_KENSETUSI_NO="","",shinsei_SEKKEI2_KENSETUSI_NO)</f>
        <v/>
      </c>
      <c r="K807" s="60"/>
    </row>
    <row r="808" spans="1:11" s="61" customFormat="1" ht="18" customHeight="1">
      <c r="A808" s="58"/>
      <c r="B808" s="12" t="s">
        <v>3447</v>
      </c>
      <c r="C808" s="12"/>
      <c r="D808" s="58"/>
      <c r="E808" s="58"/>
      <c r="F808" s="58"/>
      <c r="G808" s="62" t="s">
        <v>3499</v>
      </c>
      <c r="H808" s="20"/>
      <c r="I808" s="18" t="s">
        <v>3500</v>
      </c>
      <c r="J808" s="70" t="str">
        <f>IF(shinsei_SEKKEI2_NAME="","",shinsei_SEKKEI2_NAME)</f>
        <v/>
      </c>
      <c r="K808" s="60"/>
    </row>
    <row r="809" spans="1:11" s="61" customFormat="1" ht="18" customHeight="1">
      <c r="A809" s="58"/>
      <c r="B809" s="12" t="s">
        <v>3501</v>
      </c>
      <c r="C809" s="12"/>
      <c r="D809" s="58"/>
      <c r="E809" s="58"/>
      <c r="F809" s="58"/>
      <c r="G809" s="62"/>
      <c r="H809" s="62"/>
      <c r="I809" s="18"/>
      <c r="J809" s="18"/>
      <c r="K809" s="60"/>
    </row>
    <row r="810" spans="1:11" s="61" customFormat="1" ht="18" customHeight="1">
      <c r="A810" s="58"/>
      <c r="B810" s="12"/>
      <c r="C810" s="12" t="s">
        <v>3502</v>
      </c>
      <c r="D810" s="58"/>
      <c r="E810" s="58"/>
      <c r="F810" s="58"/>
      <c r="G810" s="62" t="s">
        <v>3503</v>
      </c>
      <c r="H810" s="20"/>
      <c r="I810" s="18" t="s">
        <v>3504</v>
      </c>
      <c r="J810" s="70" t="str">
        <f>IF(shinsei_SEKKEI2_JIMU_SIKAKU="","",shinsei_SEKKEI2_JIMU_SIKAKU)</f>
        <v/>
      </c>
      <c r="K810" s="60"/>
    </row>
    <row r="811" spans="1:11" s="61" customFormat="1" ht="18" customHeight="1">
      <c r="A811" s="58"/>
      <c r="B811" s="12"/>
      <c r="C811" s="12" t="s">
        <v>3304</v>
      </c>
      <c r="D811" s="58"/>
      <c r="E811" s="58"/>
      <c r="F811" s="58"/>
      <c r="G811" s="62" t="s">
        <v>3505</v>
      </c>
      <c r="H811" s="20"/>
      <c r="I811" s="18" t="s">
        <v>3506</v>
      </c>
      <c r="J811" s="70" t="str">
        <f>IF(shinsei_SEKKEI2_JIMU_TOUROKU_KIKAN="","",shinsei_SEKKEI2_JIMU_TOUROKU_KIKAN)</f>
        <v/>
      </c>
      <c r="K811" s="60"/>
    </row>
    <row r="812" spans="1:11" s="61" customFormat="1" ht="18" customHeight="1">
      <c r="A812" s="58"/>
      <c r="B812" s="12"/>
      <c r="C812" s="12" t="s">
        <v>3507</v>
      </c>
      <c r="D812" s="58"/>
      <c r="E812" s="58"/>
      <c r="F812" s="58"/>
      <c r="G812" s="62" t="s">
        <v>3508</v>
      </c>
      <c r="H812" s="20"/>
      <c r="I812" s="18" t="s">
        <v>3509</v>
      </c>
      <c r="J812" s="70" t="str">
        <f>IF(shinsei_SEKKEI2_JIMU_NO="","",shinsei_SEKKEI2_JIMU_NO)</f>
        <v/>
      </c>
      <c r="K812" s="60"/>
    </row>
    <row r="813" spans="1:11" s="61" customFormat="1" ht="18" customHeight="1">
      <c r="A813" s="58"/>
      <c r="B813" s="12" t="s">
        <v>3315</v>
      </c>
      <c r="C813" s="58"/>
      <c r="D813" s="58"/>
      <c r="E813" s="58"/>
      <c r="F813" s="58"/>
      <c r="G813" s="62" t="s">
        <v>3510</v>
      </c>
      <c r="H813" s="20"/>
      <c r="I813" s="18" t="s">
        <v>3511</v>
      </c>
      <c r="J813" s="70" t="str">
        <f>IF(shinsei_SEKKEI2_JIMU_NAME="","",shinsei_SEKKEI2_JIMU_NAME)</f>
        <v/>
      </c>
      <c r="K813" s="60"/>
    </row>
    <row r="814" spans="1:11" s="61" customFormat="1" ht="18" customHeight="1">
      <c r="A814" s="58"/>
      <c r="B814" s="12" t="s">
        <v>3318</v>
      </c>
      <c r="C814" s="58"/>
      <c r="D814" s="58"/>
      <c r="E814" s="58"/>
      <c r="F814" s="58"/>
      <c r="G814" s="62" t="s">
        <v>3512</v>
      </c>
      <c r="H814" s="20"/>
      <c r="I814" s="18" t="s">
        <v>3513</v>
      </c>
      <c r="J814" s="70" t="str">
        <f>IF(shinsei_SEKKEI2_POST_CODE="","",shinsei_SEKKEI2_POST_CODE)</f>
        <v/>
      </c>
      <c r="K814" s="60"/>
    </row>
    <row r="815" spans="1:11" s="61" customFormat="1" ht="18" customHeight="1">
      <c r="A815" s="58"/>
      <c r="B815" s="12" t="s">
        <v>3320</v>
      </c>
      <c r="C815" s="58"/>
      <c r="D815" s="58"/>
      <c r="E815" s="58"/>
      <c r="F815" s="58"/>
      <c r="G815" s="62" t="s">
        <v>3514</v>
      </c>
      <c r="H815" s="20"/>
      <c r="I815" s="18" t="s">
        <v>3515</v>
      </c>
      <c r="J815" s="70" t="str">
        <f>IF(shinsei_SEKKEI2__address="","",shinsei_SEKKEI2__address)</f>
        <v/>
      </c>
      <c r="K815" s="60"/>
    </row>
    <row r="816" spans="1:11" s="61" customFormat="1" ht="18" customHeight="1">
      <c r="A816" s="58"/>
      <c r="B816" s="12" t="s">
        <v>3323</v>
      </c>
      <c r="C816" s="58"/>
      <c r="D816" s="58"/>
      <c r="E816" s="58"/>
      <c r="F816" s="58"/>
      <c r="G816" s="62" t="s">
        <v>3516</v>
      </c>
      <c r="H816" s="20"/>
      <c r="I816" s="18" t="s">
        <v>3517</v>
      </c>
      <c r="J816" s="70" t="str">
        <f>IF(shinsei_SEKKEI2_TEL="","",shinsei_SEKKEI2_TEL)</f>
        <v/>
      </c>
      <c r="K816" s="60"/>
    </row>
    <row r="817" spans="1:11" s="61" customFormat="1" ht="18" customHeight="1">
      <c r="A817" s="58"/>
      <c r="B817" s="58"/>
      <c r="C817" s="58"/>
      <c r="D817" s="58"/>
      <c r="E817" s="58"/>
      <c r="F817" s="58"/>
      <c r="G817" s="62"/>
      <c r="H817" s="62"/>
      <c r="I817" s="18"/>
      <c r="J817" s="18"/>
      <c r="K817" s="60"/>
    </row>
    <row r="818" spans="1:11" s="61" customFormat="1" ht="18" customHeight="1">
      <c r="A818" s="58"/>
      <c r="B818" s="58" t="s">
        <v>3518</v>
      </c>
      <c r="C818" s="58"/>
      <c r="D818" s="58"/>
      <c r="E818" s="58"/>
      <c r="F818" s="58"/>
      <c r="G818" s="62"/>
      <c r="H818" s="62"/>
      <c r="I818" s="18"/>
      <c r="J818" s="18"/>
      <c r="K818" s="60"/>
    </row>
    <row r="819" spans="1:11" s="61" customFormat="1" ht="18" customHeight="1">
      <c r="A819" s="58"/>
      <c r="B819" s="12" t="s">
        <v>3301</v>
      </c>
      <c r="C819" s="58"/>
      <c r="D819" s="58"/>
      <c r="E819" s="58"/>
      <c r="F819" s="58"/>
      <c r="G819" s="62"/>
      <c r="H819" s="62"/>
      <c r="I819" s="18"/>
      <c r="J819" s="18"/>
      <c r="K819" s="60"/>
    </row>
    <row r="820" spans="1:11" s="61" customFormat="1" ht="18" customHeight="1">
      <c r="A820" s="58"/>
      <c r="B820" s="12"/>
      <c r="C820" s="12" t="s">
        <v>3302</v>
      </c>
      <c r="D820" s="58"/>
      <c r="E820" s="58"/>
      <c r="F820" s="58"/>
      <c r="G820" s="62" t="s">
        <v>3519</v>
      </c>
      <c r="H820" s="20"/>
      <c r="I820" s="18" t="s">
        <v>3520</v>
      </c>
      <c r="J820" s="70" t="str">
        <f>IF(shinsei_SEKKEI3_SIKAKU="","",shinsei_SEKKEI3_SIKAKU)</f>
        <v/>
      </c>
      <c r="K820" s="60"/>
    </row>
    <row r="821" spans="1:11" s="61" customFormat="1" ht="18" customHeight="1">
      <c r="A821" s="58"/>
      <c r="B821" s="12"/>
      <c r="C821" s="12" t="s">
        <v>3304</v>
      </c>
      <c r="D821" s="58"/>
      <c r="E821" s="58"/>
      <c r="F821" s="58"/>
      <c r="G821" s="62" t="s">
        <v>3521</v>
      </c>
      <c r="H821" s="20"/>
      <c r="I821" s="18" t="s">
        <v>3522</v>
      </c>
      <c r="J821" s="70" t="str">
        <f>IF(shinsei_SEKKEI3_TOUROKU_KIKAN="","",shinsei_SEKKEI3_TOUROKU_KIKAN)</f>
        <v/>
      </c>
      <c r="K821" s="60"/>
    </row>
    <row r="822" spans="1:11" s="61" customFormat="1" ht="18" customHeight="1">
      <c r="A822" s="58"/>
      <c r="B822" s="12"/>
      <c r="C822" s="12" t="s">
        <v>3306</v>
      </c>
      <c r="D822" s="58"/>
      <c r="E822" s="58"/>
      <c r="F822" s="58"/>
      <c r="G822" s="62" t="s">
        <v>3523</v>
      </c>
      <c r="H822" s="20"/>
      <c r="I822" s="18" t="s">
        <v>3524</v>
      </c>
      <c r="J822" s="70" t="str">
        <f>IF(shinsei_SEKKEI3_KENSETUSI_NO="","",shinsei_SEKKEI3_KENSETUSI_NO)</f>
        <v/>
      </c>
      <c r="K822" s="60"/>
    </row>
    <row r="823" spans="1:11" s="61" customFormat="1" ht="18" customHeight="1">
      <c r="A823" s="58"/>
      <c r="B823" s="12" t="s">
        <v>3308</v>
      </c>
      <c r="C823" s="12"/>
      <c r="D823" s="58"/>
      <c r="E823" s="58"/>
      <c r="F823" s="58"/>
      <c r="G823" s="62" t="s">
        <v>3525</v>
      </c>
      <c r="H823" s="20"/>
      <c r="I823" s="18" t="s">
        <v>3526</v>
      </c>
      <c r="J823" s="70" t="str">
        <f>IF(shinsei_SEKKEI3_NAME="","",shinsei_SEKKEI3_NAME)</f>
        <v/>
      </c>
      <c r="K823" s="60"/>
    </row>
    <row r="824" spans="1:11" s="61" customFormat="1" ht="18" customHeight="1">
      <c r="A824" s="58"/>
      <c r="B824" s="12" t="s">
        <v>3311</v>
      </c>
      <c r="C824" s="12"/>
      <c r="D824" s="58"/>
      <c r="E824" s="58"/>
      <c r="F824" s="58"/>
      <c r="G824" s="62"/>
      <c r="H824" s="62"/>
      <c r="I824" s="18"/>
      <c r="J824" s="18"/>
      <c r="K824" s="60"/>
    </row>
    <row r="825" spans="1:11" s="61" customFormat="1" ht="18" customHeight="1">
      <c r="A825" s="58"/>
      <c r="B825" s="12"/>
      <c r="C825" s="12" t="s">
        <v>3302</v>
      </c>
      <c r="D825" s="58"/>
      <c r="E825" s="58"/>
      <c r="F825" s="58"/>
      <c r="G825" s="62" t="s">
        <v>3527</v>
      </c>
      <c r="H825" s="20"/>
      <c r="I825" s="18" t="s">
        <v>3528</v>
      </c>
      <c r="J825" s="70" t="str">
        <f>IF(shinsei_SEKKEI3_JIMU_SIKAKU="","",shinsei_SEKKEI3_JIMU_SIKAKU)</f>
        <v/>
      </c>
      <c r="K825" s="60"/>
    </row>
    <row r="826" spans="1:11" s="61" customFormat="1" ht="18" customHeight="1">
      <c r="A826" s="58"/>
      <c r="B826" s="12"/>
      <c r="C826" s="12" t="s">
        <v>3304</v>
      </c>
      <c r="D826" s="58"/>
      <c r="E826" s="58"/>
      <c r="F826" s="58"/>
      <c r="G826" s="62" t="s">
        <v>3529</v>
      </c>
      <c r="H826" s="20"/>
      <c r="I826" s="18" t="s">
        <v>3530</v>
      </c>
      <c r="J826" s="70" t="str">
        <f>IF(shinsei_SEKKEI3_JIMU_TOUROKU_KIKAN="","",shinsei_SEKKEI3_JIMU_TOUROKU_KIKAN)</f>
        <v/>
      </c>
      <c r="K826" s="60"/>
    </row>
    <row r="827" spans="1:11" s="61" customFormat="1" ht="18" customHeight="1">
      <c r="A827" s="58"/>
      <c r="B827" s="12"/>
      <c r="C827" s="12" t="s">
        <v>3306</v>
      </c>
      <c r="D827" s="58"/>
      <c r="E827" s="58"/>
      <c r="F827" s="58"/>
      <c r="G827" s="62" t="s">
        <v>3531</v>
      </c>
      <c r="H827" s="20"/>
      <c r="I827" s="18" t="s">
        <v>3532</v>
      </c>
      <c r="J827" s="70" t="str">
        <f>IF(shinsei_SEKKEI3_JIMU_NO="","",shinsei_SEKKEI3_JIMU_NO)</f>
        <v/>
      </c>
      <c r="K827" s="60"/>
    </row>
    <row r="828" spans="1:11" s="61" customFormat="1" ht="18" customHeight="1">
      <c r="A828" s="58"/>
      <c r="B828" s="12" t="s">
        <v>3315</v>
      </c>
      <c r="C828" s="58"/>
      <c r="D828" s="58"/>
      <c r="E828" s="58"/>
      <c r="F828" s="58"/>
      <c r="G828" s="62" t="s">
        <v>3533</v>
      </c>
      <c r="H828" s="20"/>
      <c r="I828" s="18" t="s">
        <v>3534</v>
      </c>
      <c r="J828" s="70" t="str">
        <f>IF(shinsei_SEKKEI3_JIMU_NAME="","",shinsei_SEKKEI3_JIMU_NAME)</f>
        <v/>
      </c>
      <c r="K828" s="60"/>
    </row>
    <row r="829" spans="1:11" s="61" customFormat="1" ht="18" customHeight="1">
      <c r="A829" s="58"/>
      <c r="B829" s="12" t="s">
        <v>3318</v>
      </c>
      <c r="C829" s="58"/>
      <c r="D829" s="58"/>
      <c r="E829" s="58"/>
      <c r="F829" s="58"/>
      <c r="G829" s="62" t="s">
        <v>3535</v>
      </c>
      <c r="H829" s="20"/>
      <c r="I829" s="18" t="s">
        <v>3536</v>
      </c>
      <c r="J829" s="70" t="str">
        <f>IF(shinsei_SEKKEI3_POST_CODE="","",shinsei_SEKKEI3_POST_CODE)</f>
        <v/>
      </c>
      <c r="K829" s="60"/>
    </row>
    <row r="830" spans="1:11" s="61" customFormat="1" ht="18" customHeight="1">
      <c r="A830" s="58"/>
      <c r="B830" s="12" t="s">
        <v>3320</v>
      </c>
      <c r="C830" s="58"/>
      <c r="D830" s="58"/>
      <c r="E830" s="58"/>
      <c r="F830" s="58"/>
      <c r="G830" s="62" t="s">
        <v>3537</v>
      </c>
      <c r="H830" s="20"/>
      <c r="I830" s="18" t="s">
        <v>3538</v>
      </c>
      <c r="J830" s="70" t="str">
        <f>IF(shinsei_SEKKEI3__address="","",shinsei_SEKKEI3__address)</f>
        <v/>
      </c>
      <c r="K830" s="60"/>
    </row>
    <row r="831" spans="1:11" s="61" customFormat="1" ht="18" customHeight="1">
      <c r="A831" s="58"/>
      <c r="B831" s="12" t="s">
        <v>3323</v>
      </c>
      <c r="C831" s="58"/>
      <c r="D831" s="58"/>
      <c r="E831" s="58"/>
      <c r="F831" s="58"/>
      <c r="G831" s="62" t="s">
        <v>3539</v>
      </c>
      <c r="H831" s="20"/>
      <c r="I831" s="18" t="s">
        <v>3540</v>
      </c>
      <c r="J831" s="70" t="str">
        <f>IF(shinsei_SEKKEI3_TEL="","",shinsei_SEKKEI3_TEL)</f>
        <v/>
      </c>
      <c r="K831" s="60"/>
    </row>
    <row r="832" spans="1:11" s="61" customFormat="1" ht="18" customHeight="1">
      <c r="A832" s="58"/>
      <c r="B832" s="58"/>
      <c r="C832" s="58"/>
      <c r="D832" s="58"/>
      <c r="E832" s="58"/>
      <c r="F832" s="58"/>
      <c r="G832" s="62"/>
      <c r="H832" s="62"/>
      <c r="I832" s="18"/>
      <c r="J832" s="18"/>
      <c r="K832" s="60"/>
    </row>
    <row r="833" spans="1:11" s="61" customFormat="1" ht="18" customHeight="1">
      <c r="A833" s="58"/>
      <c r="B833" s="58" t="s">
        <v>3541</v>
      </c>
      <c r="C833" s="58"/>
      <c r="D833" s="58"/>
      <c r="E833" s="58"/>
      <c r="F833" s="58"/>
      <c r="G833" s="62"/>
      <c r="H833" s="62"/>
      <c r="I833" s="18"/>
      <c r="J833" s="18"/>
      <c r="K833" s="60"/>
    </row>
    <row r="834" spans="1:11" s="61" customFormat="1" ht="18" customHeight="1">
      <c r="A834" s="58"/>
      <c r="B834" s="12" t="s">
        <v>3301</v>
      </c>
      <c r="C834" s="58"/>
      <c r="D834" s="58"/>
      <c r="E834" s="58"/>
      <c r="F834" s="58"/>
      <c r="G834" s="62"/>
      <c r="H834" s="62"/>
      <c r="I834" s="18"/>
      <c r="J834" s="18"/>
      <c r="K834" s="60"/>
    </row>
    <row r="835" spans="1:11" s="61" customFormat="1" ht="18" customHeight="1">
      <c r="A835" s="58"/>
      <c r="B835" s="12"/>
      <c r="C835" s="12" t="s">
        <v>3302</v>
      </c>
      <c r="D835" s="58"/>
      <c r="E835" s="58"/>
      <c r="F835" s="58"/>
      <c r="G835" s="62" t="s">
        <v>3542</v>
      </c>
      <c r="H835" s="20"/>
      <c r="I835" s="18" t="s">
        <v>3543</v>
      </c>
      <c r="J835" s="70" t="str">
        <f>IF(shinsei_sekkei04_SIKAKU="","",shinsei_sekkei04_SIKAKU)</f>
        <v/>
      </c>
      <c r="K835" s="60"/>
    </row>
    <row r="836" spans="1:11" s="61" customFormat="1" ht="18" customHeight="1">
      <c r="A836" s="58"/>
      <c r="B836" s="12"/>
      <c r="C836" s="12" t="s">
        <v>3304</v>
      </c>
      <c r="D836" s="58"/>
      <c r="E836" s="58"/>
      <c r="F836" s="58"/>
      <c r="G836" s="62" t="s">
        <v>3544</v>
      </c>
      <c r="H836" s="20"/>
      <c r="I836" s="18" t="s">
        <v>3545</v>
      </c>
      <c r="J836" s="70" t="str">
        <f>IF(shinsei_sekkei04_TOUROKU_KIKAN="","",shinsei_sekkei04_TOUROKU_KIKAN)</f>
        <v/>
      </c>
      <c r="K836" s="60"/>
    </row>
    <row r="837" spans="1:11" s="61" customFormat="1" ht="18" customHeight="1">
      <c r="A837" s="58"/>
      <c r="B837" s="12"/>
      <c r="C837" s="12" t="s">
        <v>3306</v>
      </c>
      <c r="D837" s="58"/>
      <c r="E837" s="58"/>
      <c r="F837" s="58"/>
      <c r="G837" s="62" t="s">
        <v>3546</v>
      </c>
      <c r="H837" s="20"/>
      <c r="I837" s="18" t="s">
        <v>3547</v>
      </c>
      <c r="J837" s="70" t="str">
        <f>IF(shinsei_sekkei04_KENSETUSI_NO="","",shinsei_sekkei04_KENSETUSI_NO)</f>
        <v/>
      </c>
      <c r="K837" s="60"/>
    </row>
    <row r="838" spans="1:11" s="61" customFormat="1" ht="18" customHeight="1">
      <c r="A838" s="58"/>
      <c r="B838" s="12" t="s">
        <v>3548</v>
      </c>
      <c r="C838" s="12"/>
      <c r="D838" s="58"/>
      <c r="E838" s="58"/>
      <c r="F838" s="58"/>
      <c r="G838" s="62" t="s">
        <v>3549</v>
      </c>
      <c r="H838" s="20"/>
      <c r="I838" s="18" t="s">
        <v>3550</v>
      </c>
      <c r="J838" s="70" t="str">
        <f>IF(shinsei_sekkei04_NAME="","",shinsei_sekkei04_NAME)</f>
        <v/>
      </c>
      <c r="K838" s="60"/>
    </row>
    <row r="839" spans="1:11" s="61" customFormat="1" ht="18" customHeight="1">
      <c r="A839" s="58"/>
      <c r="B839" s="12" t="s">
        <v>3551</v>
      </c>
      <c r="C839" s="12"/>
      <c r="D839" s="58"/>
      <c r="E839" s="58"/>
      <c r="F839" s="58"/>
      <c r="G839" s="62"/>
      <c r="H839" s="62"/>
      <c r="I839" s="18"/>
      <c r="J839" s="18"/>
      <c r="K839" s="60"/>
    </row>
    <row r="840" spans="1:11" s="61" customFormat="1" ht="18" customHeight="1">
      <c r="A840" s="58"/>
      <c r="B840" s="12"/>
      <c r="C840" s="12" t="s">
        <v>3552</v>
      </c>
      <c r="D840" s="58"/>
      <c r="E840" s="58"/>
      <c r="F840" s="58"/>
      <c r="G840" s="62" t="s">
        <v>3553</v>
      </c>
      <c r="H840" s="20"/>
      <c r="I840" s="18" t="s">
        <v>3554</v>
      </c>
      <c r="J840" s="70" t="str">
        <f>IF(shinsei_sekkei04_JIMU_SIKAKU="","",shinsei_sekkei04_JIMU_SIKAKU)</f>
        <v/>
      </c>
      <c r="K840" s="60"/>
    </row>
    <row r="841" spans="1:11" s="61" customFormat="1" ht="18" customHeight="1">
      <c r="A841" s="58"/>
      <c r="B841" s="12"/>
      <c r="C841" s="12" t="s">
        <v>3304</v>
      </c>
      <c r="D841" s="58"/>
      <c r="E841" s="58"/>
      <c r="F841" s="58"/>
      <c r="G841" s="62" t="s">
        <v>3555</v>
      </c>
      <c r="H841" s="20"/>
      <c r="I841" s="18" t="s">
        <v>3556</v>
      </c>
      <c r="J841" s="70" t="str">
        <f>IF(shinsei_sekkei04_JIMU_TOUROKU_KIKAN="","",shinsei_sekkei04_JIMU_TOUROKU_KIKAN)</f>
        <v/>
      </c>
      <c r="K841" s="60"/>
    </row>
    <row r="842" spans="1:11" s="61" customFormat="1" ht="18" customHeight="1">
      <c r="A842" s="58"/>
      <c r="B842" s="12"/>
      <c r="C842" s="12" t="s">
        <v>3557</v>
      </c>
      <c r="D842" s="58"/>
      <c r="E842" s="58"/>
      <c r="F842" s="58"/>
      <c r="G842" s="62" t="s">
        <v>3558</v>
      </c>
      <c r="H842" s="20"/>
      <c r="I842" s="18" t="s">
        <v>3559</v>
      </c>
      <c r="J842" s="70" t="str">
        <f>IF(shinsei_sekkei04_JIMU_NO="","",shinsei_sekkei04_JIMU_NO)</f>
        <v/>
      </c>
      <c r="K842" s="60"/>
    </row>
    <row r="843" spans="1:11" s="61" customFormat="1" ht="18" customHeight="1">
      <c r="A843" s="58"/>
      <c r="B843" s="12" t="s">
        <v>3315</v>
      </c>
      <c r="C843" s="58"/>
      <c r="D843" s="58"/>
      <c r="E843" s="58"/>
      <c r="F843" s="58"/>
      <c r="G843" s="62" t="s">
        <v>3560</v>
      </c>
      <c r="H843" s="20"/>
      <c r="I843" s="18" t="s">
        <v>3561</v>
      </c>
      <c r="J843" s="70" t="str">
        <f>IF(shinsei_sekkei04_JIMU_NAME="","",shinsei_sekkei04_JIMU_NAME)</f>
        <v/>
      </c>
      <c r="K843" s="60"/>
    </row>
    <row r="844" spans="1:11" s="61" customFormat="1" ht="18" customHeight="1">
      <c r="A844" s="58"/>
      <c r="B844" s="12" t="s">
        <v>3562</v>
      </c>
      <c r="C844" s="58"/>
      <c r="D844" s="58"/>
      <c r="E844" s="58"/>
      <c r="F844" s="58"/>
      <c r="G844" s="62" t="s">
        <v>3563</v>
      </c>
      <c r="H844" s="20"/>
      <c r="I844" s="18" t="s">
        <v>3564</v>
      </c>
      <c r="J844" s="70" t="str">
        <f>IF(shinsei_sekkei04_POST_CODE="","",shinsei_sekkei04_POST_CODE)</f>
        <v/>
      </c>
      <c r="K844" s="60"/>
    </row>
    <row r="845" spans="1:11" s="61" customFormat="1" ht="18" customHeight="1">
      <c r="A845" s="58"/>
      <c r="B845" s="12" t="s">
        <v>3320</v>
      </c>
      <c r="C845" s="58"/>
      <c r="D845" s="58"/>
      <c r="E845" s="58"/>
      <c r="F845" s="58"/>
      <c r="G845" s="62" t="s">
        <v>3565</v>
      </c>
      <c r="H845" s="20"/>
      <c r="I845" s="18" t="s">
        <v>3566</v>
      </c>
      <c r="J845" s="70" t="str">
        <f>IF(shinsei_sekkei04__address="","",shinsei_sekkei04__address)</f>
        <v/>
      </c>
      <c r="K845" s="60"/>
    </row>
    <row r="846" spans="1:11" s="61" customFormat="1" ht="18" customHeight="1">
      <c r="A846" s="58"/>
      <c r="B846" s="12" t="s">
        <v>3567</v>
      </c>
      <c r="C846" s="58"/>
      <c r="D846" s="58"/>
      <c r="E846" s="58"/>
      <c r="F846" s="58"/>
      <c r="G846" s="62" t="s">
        <v>3568</v>
      </c>
      <c r="H846" s="20"/>
      <c r="I846" s="18" t="s">
        <v>3569</v>
      </c>
      <c r="J846" s="70" t="str">
        <f>IF(shinsei_sekkei04_TEL="","",shinsei_sekkei04_TEL)</f>
        <v/>
      </c>
      <c r="K846" s="60"/>
    </row>
    <row r="847" spans="1:11" s="61" customFormat="1" ht="18" customHeight="1">
      <c r="A847" s="58"/>
      <c r="B847" s="58"/>
      <c r="C847" s="58"/>
      <c r="D847" s="58"/>
      <c r="E847" s="58"/>
      <c r="F847" s="58"/>
      <c r="G847" s="62"/>
      <c r="H847" s="62"/>
      <c r="I847" s="18"/>
      <c r="J847" s="18"/>
      <c r="K847" s="60"/>
    </row>
    <row r="848" spans="1:11" s="61" customFormat="1" ht="18" customHeight="1">
      <c r="A848" s="58"/>
      <c r="B848" s="58" t="s">
        <v>3570</v>
      </c>
      <c r="C848" s="58"/>
      <c r="D848" s="58"/>
      <c r="E848" s="58"/>
      <c r="F848" s="58"/>
      <c r="G848" s="62"/>
      <c r="H848" s="62"/>
      <c r="I848" s="18"/>
      <c r="J848" s="18"/>
      <c r="K848" s="60"/>
    </row>
    <row r="849" spans="1:11" s="61" customFormat="1" ht="18" customHeight="1">
      <c r="A849" s="58"/>
      <c r="B849" s="12" t="s">
        <v>3571</v>
      </c>
      <c r="C849" s="58"/>
      <c r="D849" s="58"/>
      <c r="E849" s="58"/>
      <c r="F849" s="58"/>
      <c r="G849" s="62"/>
      <c r="H849" s="62"/>
      <c r="I849" s="18"/>
      <c r="J849" s="18"/>
      <c r="K849" s="60"/>
    </row>
    <row r="850" spans="1:11" s="61" customFormat="1" ht="18" customHeight="1">
      <c r="A850" s="58"/>
      <c r="B850" s="12"/>
      <c r="C850" s="12" t="s">
        <v>3572</v>
      </c>
      <c r="D850" s="58"/>
      <c r="E850" s="58"/>
      <c r="F850" s="58"/>
      <c r="G850" s="62" t="s">
        <v>3573</v>
      </c>
      <c r="H850" s="20"/>
      <c r="I850" s="18" t="s">
        <v>3574</v>
      </c>
      <c r="J850" s="70" t="str">
        <f>IF(shinsei_sekkei05_SIKAKU="","",shinsei_sekkei05_SIKAKU)</f>
        <v/>
      </c>
      <c r="K850" s="60"/>
    </row>
    <row r="851" spans="1:11" s="61" customFormat="1" ht="18" customHeight="1">
      <c r="A851" s="58"/>
      <c r="B851" s="12"/>
      <c r="C851" s="12" t="s">
        <v>3304</v>
      </c>
      <c r="D851" s="58"/>
      <c r="E851" s="58"/>
      <c r="F851" s="58"/>
      <c r="G851" s="62" t="s">
        <v>3575</v>
      </c>
      <c r="H851" s="20"/>
      <c r="I851" s="18" t="s">
        <v>3576</v>
      </c>
      <c r="J851" s="70" t="str">
        <f>IF(shinsei_sekkei05_TOUROKU_KIKAN="","",shinsei_sekkei05_TOUROKU_KIKAN)</f>
        <v/>
      </c>
      <c r="K851" s="60"/>
    </row>
    <row r="852" spans="1:11" s="61" customFormat="1" ht="18" customHeight="1">
      <c r="A852" s="58"/>
      <c r="B852" s="12"/>
      <c r="C852" s="12" t="s">
        <v>3577</v>
      </c>
      <c r="D852" s="58"/>
      <c r="E852" s="58"/>
      <c r="F852" s="58"/>
      <c r="G852" s="62" t="s">
        <v>3578</v>
      </c>
      <c r="H852" s="20"/>
      <c r="I852" s="18" t="s">
        <v>3579</v>
      </c>
      <c r="J852" s="70" t="str">
        <f>IF(shinsei_sekkei05_KENSETUSI_NO="","",shinsei_sekkei05_KENSETUSI_NO)</f>
        <v/>
      </c>
      <c r="K852" s="60"/>
    </row>
    <row r="853" spans="1:11" s="61" customFormat="1" ht="18" customHeight="1">
      <c r="A853" s="58"/>
      <c r="B853" s="12" t="s">
        <v>3580</v>
      </c>
      <c r="C853" s="12"/>
      <c r="D853" s="58"/>
      <c r="E853" s="58"/>
      <c r="F853" s="58"/>
      <c r="G853" s="62" t="s">
        <v>3581</v>
      </c>
      <c r="H853" s="20"/>
      <c r="I853" s="18" t="s">
        <v>3582</v>
      </c>
      <c r="J853" s="70" t="str">
        <f>IF(shinsei_sekkei05_NAME="","",shinsei_sekkei05_NAME)</f>
        <v/>
      </c>
      <c r="K853" s="60"/>
    </row>
    <row r="854" spans="1:11" s="61" customFormat="1" ht="18" customHeight="1">
      <c r="A854" s="58"/>
      <c r="B854" s="12" t="s">
        <v>3583</v>
      </c>
      <c r="C854" s="12"/>
      <c r="D854" s="58"/>
      <c r="E854" s="58"/>
      <c r="F854" s="58"/>
      <c r="G854" s="62"/>
      <c r="H854" s="62"/>
      <c r="I854" s="18"/>
      <c r="J854" s="18"/>
      <c r="K854" s="60"/>
    </row>
    <row r="855" spans="1:11" s="61" customFormat="1" ht="18" customHeight="1">
      <c r="A855" s="58"/>
      <c r="B855" s="12"/>
      <c r="C855" s="12" t="s">
        <v>3302</v>
      </c>
      <c r="D855" s="58"/>
      <c r="E855" s="58"/>
      <c r="F855" s="58"/>
      <c r="G855" s="62" t="s">
        <v>3584</v>
      </c>
      <c r="H855" s="20"/>
      <c r="I855" s="18" t="s">
        <v>3585</v>
      </c>
      <c r="J855" s="70" t="str">
        <f>IF(shinsei_sekkei05_JIMU_SIKAKU="","",shinsei_sekkei05_JIMU_SIKAKU)</f>
        <v/>
      </c>
      <c r="K855" s="60"/>
    </row>
    <row r="856" spans="1:11" s="61" customFormat="1" ht="18" customHeight="1">
      <c r="A856" s="58"/>
      <c r="B856" s="12"/>
      <c r="C856" s="12" t="s">
        <v>3304</v>
      </c>
      <c r="D856" s="58"/>
      <c r="E856" s="58"/>
      <c r="F856" s="58"/>
      <c r="G856" s="62" t="s">
        <v>3586</v>
      </c>
      <c r="H856" s="20"/>
      <c r="I856" s="18" t="s">
        <v>3587</v>
      </c>
      <c r="J856" s="70" t="str">
        <f>IF(shinsei_sekkei05_JIMU_TOUROKU_KIKAN="","",shinsei_sekkei05_JIMU_TOUROKU_KIKAN)</f>
        <v/>
      </c>
      <c r="K856" s="60"/>
    </row>
    <row r="857" spans="1:11" s="61" customFormat="1" ht="18" customHeight="1">
      <c r="A857" s="58"/>
      <c r="B857" s="12"/>
      <c r="C857" s="12" t="s">
        <v>3306</v>
      </c>
      <c r="D857" s="58"/>
      <c r="E857" s="58"/>
      <c r="F857" s="58"/>
      <c r="G857" s="62" t="s">
        <v>3588</v>
      </c>
      <c r="H857" s="20"/>
      <c r="I857" s="18" t="s">
        <v>3589</v>
      </c>
      <c r="J857" s="70" t="str">
        <f>IF(shinsei_sekkei05_JIMU_NO="","",shinsei_sekkei05_JIMU_NO)</f>
        <v/>
      </c>
      <c r="K857" s="60"/>
    </row>
    <row r="858" spans="1:11" s="61" customFormat="1" ht="18" customHeight="1">
      <c r="A858" s="58"/>
      <c r="B858" s="12" t="s">
        <v>3315</v>
      </c>
      <c r="C858" s="58"/>
      <c r="D858" s="58"/>
      <c r="E858" s="58"/>
      <c r="F858" s="58"/>
      <c r="G858" s="62" t="s">
        <v>3590</v>
      </c>
      <c r="H858" s="20"/>
      <c r="I858" s="18" t="s">
        <v>3591</v>
      </c>
      <c r="J858" s="70" t="str">
        <f>IF(shinsei_sekkei05_JIMU_NAME="","",shinsei_sekkei05_JIMU_NAME)</f>
        <v/>
      </c>
      <c r="K858" s="60"/>
    </row>
    <row r="859" spans="1:11" s="61" customFormat="1" ht="18" customHeight="1">
      <c r="A859" s="58"/>
      <c r="B859" s="12" t="s">
        <v>3592</v>
      </c>
      <c r="C859" s="58"/>
      <c r="D859" s="58"/>
      <c r="E859" s="58"/>
      <c r="F859" s="58"/>
      <c r="G859" s="62" t="s">
        <v>3593</v>
      </c>
      <c r="H859" s="20"/>
      <c r="I859" s="18" t="s">
        <v>3594</v>
      </c>
      <c r="J859" s="70" t="str">
        <f>IF(shinsei_sekkei05_POST_CODE="","",shinsei_sekkei05_POST_CODE)</f>
        <v/>
      </c>
      <c r="K859" s="60"/>
    </row>
    <row r="860" spans="1:11" s="61" customFormat="1" ht="18" customHeight="1">
      <c r="A860" s="58"/>
      <c r="B860" s="12" t="s">
        <v>3320</v>
      </c>
      <c r="C860" s="58"/>
      <c r="D860" s="58"/>
      <c r="E860" s="58"/>
      <c r="F860" s="58"/>
      <c r="G860" s="62" t="s">
        <v>3595</v>
      </c>
      <c r="H860" s="20"/>
      <c r="I860" s="18" t="s">
        <v>3596</v>
      </c>
      <c r="J860" s="70" t="str">
        <f>IF(shinsei_sekkei05__address="","",shinsei_sekkei05__address)</f>
        <v/>
      </c>
      <c r="K860" s="60"/>
    </row>
    <row r="861" spans="1:11" s="61" customFormat="1" ht="18" customHeight="1">
      <c r="A861" s="58"/>
      <c r="B861" s="12" t="s">
        <v>3323</v>
      </c>
      <c r="C861" s="58"/>
      <c r="D861" s="58"/>
      <c r="E861" s="58"/>
      <c r="F861" s="58"/>
      <c r="G861" s="62" t="s">
        <v>3597</v>
      </c>
      <c r="H861" s="20"/>
      <c r="I861" s="18" t="s">
        <v>3598</v>
      </c>
      <c r="J861" s="70" t="str">
        <f>IF(shinsei_sekkei05_TEL="","",shinsei_sekkei05_TEL)</f>
        <v/>
      </c>
      <c r="K861" s="60"/>
    </row>
    <row r="862" spans="1:11" s="61" customFormat="1" ht="18" customHeight="1">
      <c r="A862" s="58"/>
      <c r="B862" s="58"/>
      <c r="C862" s="58"/>
      <c r="D862" s="58"/>
      <c r="E862" s="58"/>
      <c r="F862" s="58"/>
      <c r="G862" s="62"/>
      <c r="H862" s="62"/>
      <c r="I862" s="18"/>
      <c r="J862" s="18"/>
      <c r="K862" s="60"/>
    </row>
    <row r="863" spans="1:11" s="61" customFormat="1" ht="18" customHeight="1">
      <c r="A863" s="58"/>
      <c r="B863" s="58" t="s">
        <v>3599</v>
      </c>
      <c r="C863" s="58"/>
      <c r="D863" s="58"/>
      <c r="E863" s="58"/>
      <c r="F863" s="58"/>
      <c r="G863" s="62"/>
      <c r="H863" s="62"/>
      <c r="I863" s="18"/>
      <c r="J863" s="18"/>
      <c r="K863" s="60"/>
    </row>
    <row r="864" spans="1:11" s="61" customFormat="1" ht="18" customHeight="1">
      <c r="A864" s="58"/>
      <c r="B864" s="12" t="s">
        <v>3301</v>
      </c>
      <c r="C864" s="58"/>
      <c r="D864" s="58"/>
      <c r="E864" s="58"/>
      <c r="F864" s="58"/>
      <c r="G864" s="62"/>
      <c r="H864" s="62"/>
      <c r="I864" s="18"/>
      <c r="J864" s="18"/>
      <c r="K864" s="60"/>
    </row>
    <row r="865" spans="1:11" s="61" customFormat="1" ht="18" customHeight="1">
      <c r="A865" s="58"/>
      <c r="B865" s="12"/>
      <c r="C865" s="12" t="s">
        <v>3302</v>
      </c>
      <c r="D865" s="58"/>
      <c r="E865" s="58"/>
      <c r="F865" s="58"/>
      <c r="G865" s="62" t="s">
        <v>3600</v>
      </c>
      <c r="H865" s="20"/>
      <c r="I865" s="18" t="s">
        <v>3601</v>
      </c>
      <c r="J865" s="70" t="str">
        <f>IF(shinsei_sekkei06_SIKAKU="","",shinsei_sekkei06_SIKAKU)</f>
        <v/>
      </c>
      <c r="K865" s="60"/>
    </row>
    <row r="866" spans="1:11" s="61" customFormat="1" ht="18" customHeight="1">
      <c r="A866" s="58"/>
      <c r="B866" s="12"/>
      <c r="C866" s="12" t="s">
        <v>3304</v>
      </c>
      <c r="D866" s="58"/>
      <c r="E866" s="58"/>
      <c r="F866" s="58"/>
      <c r="G866" s="62" t="s">
        <v>3602</v>
      </c>
      <c r="H866" s="20"/>
      <c r="I866" s="18" t="s">
        <v>3603</v>
      </c>
      <c r="J866" s="70" t="str">
        <f>IF(shinsei_sekkei06_TOUROKU_KIKAN="","",shinsei_sekkei06_TOUROKU_KIKAN)</f>
        <v/>
      </c>
      <c r="K866" s="60"/>
    </row>
    <row r="867" spans="1:11" s="61" customFormat="1" ht="18" customHeight="1">
      <c r="A867" s="58"/>
      <c r="B867" s="12"/>
      <c r="C867" s="12" t="s">
        <v>3604</v>
      </c>
      <c r="D867" s="58"/>
      <c r="E867" s="58"/>
      <c r="F867" s="58"/>
      <c r="G867" s="62" t="s">
        <v>3605</v>
      </c>
      <c r="H867" s="20"/>
      <c r="I867" s="18" t="s">
        <v>3606</v>
      </c>
      <c r="J867" s="70" t="str">
        <f>IF(shinsei_sekkei06_KENSETUSI_NO="","",shinsei_sekkei06_KENSETUSI_NO)</f>
        <v/>
      </c>
      <c r="K867" s="60"/>
    </row>
    <row r="868" spans="1:11" s="61" customFormat="1" ht="18" customHeight="1">
      <c r="A868" s="58"/>
      <c r="B868" s="12" t="s">
        <v>3308</v>
      </c>
      <c r="C868" s="12"/>
      <c r="D868" s="58"/>
      <c r="E868" s="58"/>
      <c r="F868" s="58"/>
      <c r="G868" s="62" t="s">
        <v>3607</v>
      </c>
      <c r="H868" s="20"/>
      <c r="I868" s="18" t="s">
        <v>3608</v>
      </c>
      <c r="J868" s="70" t="str">
        <f>IF(shinsei_sekkei06_NAME="","",shinsei_sekkei06_NAME)</f>
        <v/>
      </c>
      <c r="K868" s="60"/>
    </row>
    <row r="869" spans="1:11" s="61" customFormat="1" ht="18" customHeight="1">
      <c r="A869" s="58"/>
      <c r="B869" s="12" t="s">
        <v>3311</v>
      </c>
      <c r="C869" s="12"/>
      <c r="D869" s="58"/>
      <c r="E869" s="58"/>
      <c r="F869" s="58"/>
      <c r="G869" s="62"/>
      <c r="H869" s="62"/>
      <c r="I869" s="18"/>
      <c r="J869" s="18"/>
      <c r="K869" s="60"/>
    </row>
    <row r="870" spans="1:11" s="61" customFormat="1" ht="18" customHeight="1">
      <c r="A870" s="58"/>
      <c r="B870" s="12"/>
      <c r="C870" s="12" t="s">
        <v>3302</v>
      </c>
      <c r="D870" s="58"/>
      <c r="E870" s="58"/>
      <c r="F870" s="58"/>
      <c r="G870" s="62" t="s">
        <v>3609</v>
      </c>
      <c r="H870" s="20"/>
      <c r="I870" s="18" t="s">
        <v>3610</v>
      </c>
      <c r="J870" s="70" t="str">
        <f>IF(shinsei_sekkei06_JIMU_SIKAKU="","",shinsei_sekkei06_JIMU_SIKAKU)</f>
        <v/>
      </c>
      <c r="K870" s="60"/>
    </row>
    <row r="871" spans="1:11" s="61" customFormat="1" ht="18" customHeight="1">
      <c r="A871" s="58"/>
      <c r="B871" s="12"/>
      <c r="C871" s="12" t="s">
        <v>3611</v>
      </c>
      <c r="D871" s="58"/>
      <c r="E871" s="58"/>
      <c r="F871" s="58"/>
      <c r="G871" s="62" t="s">
        <v>3612</v>
      </c>
      <c r="H871" s="20"/>
      <c r="I871" s="18" t="s">
        <v>3613</v>
      </c>
      <c r="J871" s="70" t="str">
        <f>IF(shinsei_sekkei06_JIMU_TOUROKU_KIKAN="","",shinsei_sekkei06_JIMU_TOUROKU_KIKAN)</f>
        <v/>
      </c>
      <c r="K871" s="60"/>
    </row>
    <row r="872" spans="1:11" s="61" customFormat="1" ht="18" customHeight="1">
      <c r="A872" s="58"/>
      <c r="B872" s="12"/>
      <c r="C872" s="12" t="s">
        <v>3614</v>
      </c>
      <c r="D872" s="58"/>
      <c r="E872" s="58"/>
      <c r="F872" s="58"/>
      <c r="G872" s="62" t="s">
        <v>3615</v>
      </c>
      <c r="H872" s="20"/>
      <c r="I872" s="18" t="s">
        <v>3616</v>
      </c>
      <c r="J872" s="70" t="str">
        <f>IF(shinsei_sekkei06_JIMU_NO="","",shinsei_sekkei06_JIMU_NO)</f>
        <v/>
      </c>
      <c r="K872" s="60"/>
    </row>
    <row r="873" spans="1:11" s="61" customFormat="1" ht="18" customHeight="1">
      <c r="A873" s="58"/>
      <c r="B873" s="12" t="s">
        <v>3315</v>
      </c>
      <c r="C873" s="58"/>
      <c r="D873" s="58"/>
      <c r="E873" s="58"/>
      <c r="F873" s="58"/>
      <c r="G873" s="62" t="s">
        <v>3617</v>
      </c>
      <c r="H873" s="20"/>
      <c r="I873" s="18" t="s">
        <v>3618</v>
      </c>
      <c r="J873" s="70" t="str">
        <f>IF(shinsei_sekkei06_JIMU_NAME="","",shinsei_sekkei06_JIMU_NAME)</f>
        <v/>
      </c>
      <c r="K873" s="60"/>
    </row>
    <row r="874" spans="1:11" s="61" customFormat="1" ht="18" customHeight="1">
      <c r="A874" s="58"/>
      <c r="B874" s="12" t="s">
        <v>3318</v>
      </c>
      <c r="C874" s="58"/>
      <c r="D874" s="58"/>
      <c r="E874" s="58"/>
      <c r="F874" s="58"/>
      <c r="G874" s="62" t="s">
        <v>3619</v>
      </c>
      <c r="H874" s="20"/>
      <c r="I874" s="18" t="s">
        <v>3620</v>
      </c>
      <c r="J874" s="70" t="str">
        <f>IF(shinsei_sekkei06_POST_CODE="","",shinsei_sekkei06_POST_CODE)</f>
        <v/>
      </c>
      <c r="K874" s="60"/>
    </row>
    <row r="875" spans="1:11" s="61" customFormat="1" ht="18" customHeight="1">
      <c r="A875" s="58"/>
      <c r="B875" s="12" t="s">
        <v>3621</v>
      </c>
      <c r="C875" s="58"/>
      <c r="D875" s="58"/>
      <c r="E875" s="58"/>
      <c r="F875" s="58"/>
      <c r="G875" s="62" t="s">
        <v>3622</v>
      </c>
      <c r="H875" s="20"/>
      <c r="I875" s="18" t="s">
        <v>3623</v>
      </c>
      <c r="J875" s="70" t="str">
        <f>IF(shinsei_sekkei06__address="","",shinsei_sekkei06__address)</f>
        <v/>
      </c>
      <c r="K875" s="60"/>
    </row>
    <row r="876" spans="1:11" s="61" customFormat="1" ht="18" customHeight="1">
      <c r="A876" s="58"/>
      <c r="B876" s="12" t="s">
        <v>3624</v>
      </c>
      <c r="C876" s="58"/>
      <c r="D876" s="58"/>
      <c r="E876" s="58"/>
      <c r="F876" s="58"/>
      <c r="G876" s="62" t="s">
        <v>3625</v>
      </c>
      <c r="H876" s="20"/>
      <c r="I876" s="18" t="s">
        <v>3626</v>
      </c>
      <c r="J876" s="70" t="str">
        <f>IF(shinsei_sekkei06_TEL="","",shinsei_sekkei06_TEL)</f>
        <v/>
      </c>
      <c r="K876" s="60"/>
    </row>
    <row r="877" spans="1:11" s="61" customFormat="1" ht="18" customHeight="1">
      <c r="A877" s="58"/>
      <c r="B877" s="58"/>
      <c r="C877" s="58"/>
      <c r="D877" s="58"/>
      <c r="E877" s="58"/>
      <c r="F877" s="58"/>
      <c r="G877" s="62"/>
      <c r="H877" s="62"/>
      <c r="I877" s="18"/>
      <c r="J877" s="18"/>
      <c r="K877" s="60"/>
    </row>
    <row r="878" spans="1:11" s="61" customFormat="1" ht="18" customHeight="1">
      <c r="A878" s="58"/>
      <c r="B878" s="58" t="s">
        <v>3627</v>
      </c>
      <c r="C878" s="58"/>
      <c r="D878" s="58"/>
      <c r="E878" s="58"/>
      <c r="F878" s="58"/>
      <c r="G878" s="62"/>
      <c r="H878" s="62"/>
      <c r="I878" s="18"/>
      <c r="J878" s="18"/>
      <c r="K878" s="60"/>
    </row>
    <row r="879" spans="1:11" s="61" customFormat="1" ht="18" customHeight="1">
      <c r="A879" s="58"/>
      <c r="B879" s="12" t="s">
        <v>3628</v>
      </c>
      <c r="C879" s="58"/>
      <c r="D879" s="58"/>
      <c r="E879" s="58"/>
      <c r="F879" s="58"/>
      <c r="G879" s="62"/>
      <c r="H879" s="62"/>
      <c r="I879" s="18"/>
      <c r="J879" s="18"/>
      <c r="K879" s="60"/>
    </row>
    <row r="880" spans="1:11" s="61" customFormat="1" ht="18" customHeight="1">
      <c r="A880" s="58"/>
      <c r="B880" s="12"/>
      <c r="C880" s="12" t="s">
        <v>3629</v>
      </c>
      <c r="D880" s="58"/>
      <c r="E880" s="58"/>
      <c r="F880" s="58"/>
      <c r="G880" s="62" t="s">
        <v>3630</v>
      </c>
      <c r="H880" s="20"/>
      <c r="I880" s="18" t="s">
        <v>3631</v>
      </c>
      <c r="J880" s="70" t="str">
        <f>IF(shinsei_sekkei07_SIKAKU="","",shinsei_sekkei07_SIKAKU)</f>
        <v/>
      </c>
      <c r="K880" s="60"/>
    </row>
    <row r="881" spans="1:11" s="61" customFormat="1" ht="18" customHeight="1">
      <c r="A881" s="58"/>
      <c r="B881" s="12"/>
      <c r="C881" s="12" t="s">
        <v>3632</v>
      </c>
      <c r="D881" s="58"/>
      <c r="E881" s="58"/>
      <c r="F881" s="58"/>
      <c r="G881" s="62" t="s">
        <v>3633</v>
      </c>
      <c r="H881" s="20"/>
      <c r="I881" s="18" t="s">
        <v>3634</v>
      </c>
      <c r="J881" s="70" t="str">
        <f>IF(shinsei_sekkei07_TOUROKU_KIKAN="","",shinsei_sekkei07_TOUROKU_KIKAN)</f>
        <v/>
      </c>
      <c r="K881" s="60"/>
    </row>
    <row r="882" spans="1:11" s="61" customFormat="1" ht="18" customHeight="1">
      <c r="A882" s="58"/>
      <c r="B882" s="12"/>
      <c r="C882" s="12" t="s">
        <v>3306</v>
      </c>
      <c r="D882" s="58"/>
      <c r="E882" s="58"/>
      <c r="F882" s="58"/>
      <c r="G882" s="62" t="s">
        <v>3635</v>
      </c>
      <c r="H882" s="20"/>
      <c r="I882" s="18" t="s">
        <v>3636</v>
      </c>
      <c r="J882" s="70" t="str">
        <f>IF(shinsei_sekkei07_KENSETUSI_NO="","",shinsei_sekkei07_KENSETUSI_NO)</f>
        <v/>
      </c>
      <c r="K882" s="60"/>
    </row>
    <row r="883" spans="1:11" s="61" customFormat="1" ht="18" customHeight="1">
      <c r="A883" s="58"/>
      <c r="B883" s="12" t="s">
        <v>3308</v>
      </c>
      <c r="C883" s="12"/>
      <c r="D883" s="58"/>
      <c r="E883" s="58"/>
      <c r="F883" s="58"/>
      <c r="G883" s="62" t="s">
        <v>3637</v>
      </c>
      <c r="H883" s="20"/>
      <c r="I883" s="18" t="s">
        <v>3638</v>
      </c>
      <c r="J883" s="70" t="str">
        <f>IF(shinsei_sekkei07_NAME="","",shinsei_sekkei07_NAME)</f>
        <v/>
      </c>
      <c r="K883" s="60"/>
    </row>
    <row r="884" spans="1:11" s="61" customFormat="1" ht="18" customHeight="1">
      <c r="A884" s="58"/>
      <c r="B884" s="12" t="s">
        <v>3639</v>
      </c>
      <c r="C884" s="12"/>
      <c r="D884" s="58"/>
      <c r="E884" s="58"/>
      <c r="F884" s="58"/>
      <c r="G884" s="62"/>
      <c r="H884" s="62"/>
      <c r="I884" s="18"/>
      <c r="J884" s="18"/>
      <c r="K884" s="60"/>
    </row>
    <row r="885" spans="1:11" s="61" customFormat="1" ht="18" customHeight="1">
      <c r="A885" s="58"/>
      <c r="B885" s="12"/>
      <c r="C885" s="12" t="s">
        <v>3640</v>
      </c>
      <c r="D885" s="58"/>
      <c r="E885" s="58"/>
      <c r="F885" s="58"/>
      <c r="G885" s="62" t="s">
        <v>3641</v>
      </c>
      <c r="H885" s="20"/>
      <c r="I885" s="18" t="s">
        <v>3642</v>
      </c>
      <c r="J885" s="70" t="str">
        <f>IF(shinsei_sekkei07_JIMU_SIKAKU="","",shinsei_sekkei07_JIMU_SIKAKU)</f>
        <v/>
      </c>
      <c r="K885" s="60"/>
    </row>
    <row r="886" spans="1:11" s="61" customFormat="1" ht="18" customHeight="1">
      <c r="A886" s="58"/>
      <c r="B886" s="12"/>
      <c r="C886" s="12" t="s">
        <v>3304</v>
      </c>
      <c r="D886" s="58"/>
      <c r="E886" s="58"/>
      <c r="F886" s="58"/>
      <c r="G886" s="62" t="s">
        <v>3643</v>
      </c>
      <c r="H886" s="20"/>
      <c r="I886" s="18" t="s">
        <v>3644</v>
      </c>
      <c r="J886" s="70" t="str">
        <f>IF(shinsei_sekkei07_JIMU_TOUROKU_KIKAN="","",shinsei_sekkei07_JIMU_TOUROKU_KIKAN)</f>
        <v/>
      </c>
      <c r="K886" s="60"/>
    </row>
    <row r="887" spans="1:11" s="61" customFormat="1" ht="18" customHeight="1">
      <c r="A887" s="58"/>
      <c r="B887" s="12"/>
      <c r="C887" s="12" t="s">
        <v>3604</v>
      </c>
      <c r="D887" s="58"/>
      <c r="E887" s="58"/>
      <c r="F887" s="58"/>
      <c r="G887" s="62" t="s">
        <v>3645</v>
      </c>
      <c r="H887" s="20"/>
      <c r="I887" s="18" t="s">
        <v>3646</v>
      </c>
      <c r="J887" s="70" t="str">
        <f>IF(shinsei_sekkei07_JIMU_NO="","",shinsei_sekkei07_JIMU_NO)</f>
        <v/>
      </c>
      <c r="K887" s="60"/>
    </row>
    <row r="888" spans="1:11" s="61" customFormat="1" ht="18" customHeight="1">
      <c r="A888" s="58"/>
      <c r="B888" s="12" t="s">
        <v>3647</v>
      </c>
      <c r="C888" s="58"/>
      <c r="D888" s="58"/>
      <c r="E888" s="58"/>
      <c r="F888" s="58"/>
      <c r="G888" s="62" t="s">
        <v>3648</v>
      </c>
      <c r="H888" s="20"/>
      <c r="I888" s="18" t="s">
        <v>3649</v>
      </c>
      <c r="J888" s="70" t="str">
        <f>IF(shinsei_sekkei07_JIMU_NAME="","",shinsei_sekkei07_JIMU_NAME)</f>
        <v/>
      </c>
      <c r="K888" s="60"/>
    </row>
    <row r="889" spans="1:11" s="61" customFormat="1" ht="18" customHeight="1">
      <c r="A889" s="58"/>
      <c r="B889" s="12" t="s">
        <v>3318</v>
      </c>
      <c r="C889" s="58"/>
      <c r="D889" s="58"/>
      <c r="E889" s="58"/>
      <c r="F889" s="58"/>
      <c r="G889" s="62" t="s">
        <v>3650</v>
      </c>
      <c r="H889" s="20"/>
      <c r="I889" s="18" t="s">
        <v>3651</v>
      </c>
      <c r="J889" s="70" t="str">
        <f>IF(shinsei_sekkei07_POST_CODE="","",shinsei_sekkei07_POST_CODE)</f>
        <v/>
      </c>
      <c r="K889" s="60"/>
    </row>
    <row r="890" spans="1:11" s="61" customFormat="1" ht="18" customHeight="1">
      <c r="A890" s="58"/>
      <c r="B890" s="12" t="s">
        <v>3621</v>
      </c>
      <c r="C890" s="58"/>
      <c r="D890" s="58"/>
      <c r="E890" s="58"/>
      <c r="F890" s="58"/>
      <c r="G890" s="62" t="s">
        <v>3652</v>
      </c>
      <c r="H890" s="20"/>
      <c r="I890" s="18" t="s">
        <v>3653</v>
      </c>
      <c r="J890" s="70" t="str">
        <f>IF(shinsei_sekkei07__address="","",shinsei_sekkei07__address)</f>
        <v/>
      </c>
      <c r="K890" s="60"/>
    </row>
    <row r="891" spans="1:11" s="61" customFormat="1" ht="18" customHeight="1">
      <c r="A891" s="58"/>
      <c r="B891" s="12" t="s">
        <v>3624</v>
      </c>
      <c r="C891" s="58"/>
      <c r="D891" s="58"/>
      <c r="E891" s="58"/>
      <c r="F891" s="58"/>
      <c r="G891" s="62" t="s">
        <v>3654</v>
      </c>
      <c r="H891" s="20"/>
      <c r="I891" s="18" t="s">
        <v>3655</v>
      </c>
      <c r="J891" s="70" t="str">
        <f>IF(shinsei_sekkei07_TEL="","",shinsei_sekkei07_TEL)</f>
        <v/>
      </c>
      <c r="K891" s="60"/>
    </row>
    <row r="892" spans="1:11" s="61" customFormat="1" ht="18" customHeight="1">
      <c r="A892" s="58"/>
      <c r="B892" s="58"/>
      <c r="C892" s="58"/>
      <c r="D892" s="58"/>
      <c r="E892" s="58"/>
      <c r="F892" s="58"/>
      <c r="G892" s="62"/>
      <c r="H892" s="62"/>
      <c r="I892" s="18"/>
      <c r="J892" s="18"/>
      <c r="K892" s="60"/>
    </row>
    <row r="893" spans="1:11" s="61" customFormat="1" ht="18" customHeight="1">
      <c r="A893" s="58"/>
      <c r="B893" s="58" t="s">
        <v>3656</v>
      </c>
      <c r="C893" s="58"/>
      <c r="D893" s="58"/>
      <c r="E893" s="58"/>
      <c r="F893" s="58"/>
      <c r="G893" s="62"/>
      <c r="H893" s="62"/>
      <c r="I893" s="18"/>
      <c r="J893" s="18"/>
      <c r="K893" s="60"/>
    </row>
    <row r="894" spans="1:11" s="61" customFormat="1" ht="18" customHeight="1">
      <c r="A894" s="58"/>
      <c r="B894" s="12" t="s">
        <v>3301</v>
      </c>
      <c r="C894" s="58"/>
      <c r="D894" s="58"/>
      <c r="E894" s="58"/>
      <c r="F894" s="58"/>
      <c r="G894" s="62"/>
      <c r="H894" s="62"/>
      <c r="I894" s="18"/>
      <c r="J894" s="18"/>
      <c r="K894" s="60"/>
    </row>
    <row r="895" spans="1:11" s="61" customFormat="1" ht="18" customHeight="1">
      <c r="A895" s="58"/>
      <c r="B895" s="12"/>
      <c r="C895" s="12" t="s">
        <v>3302</v>
      </c>
      <c r="D895" s="58"/>
      <c r="E895" s="58"/>
      <c r="F895" s="58"/>
      <c r="G895" s="62" t="s">
        <v>3657</v>
      </c>
      <c r="H895" s="20"/>
      <c r="I895" s="18" t="s">
        <v>3658</v>
      </c>
      <c r="J895" s="70" t="str">
        <f>IF(shinsei_sekkei08_SIKAKU="","",shinsei_sekkei08_SIKAKU)</f>
        <v/>
      </c>
      <c r="K895" s="60"/>
    </row>
    <row r="896" spans="1:11" s="61" customFormat="1" ht="18" customHeight="1">
      <c r="A896" s="58"/>
      <c r="B896" s="12"/>
      <c r="C896" s="12" t="s">
        <v>3659</v>
      </c>
      <c r="D896" s="58"/>
      <c r="E896" s="58"/>
      <c r="F896" s="58"/>
      <c r="G896" s="62" t="s">
        <v>3660</v>
      </c>
      <c r="H896" s="20"/>
      <c r="I896" s="18" t="s">
        <v>3661</v>
      </c>
      <c r="J896" s="70" t="str">
        <f>IF(shinsei_sekkei08_TOUROKU_KIKAN="","",shinsei_sekkei08_TOUROKU_KIKAN)</f>
        <v/>
      </c>
      <c r="K896" s="60"/>
    </row>
    <row r="897" spans="1:11" s="61" customFormat="1" ht="18" customHeight="1">
      <c r="A897" s="58"/>
      <c r="B897" s="12"/>
      <c r="C897" s="12" t="s">
        <v>3662</v>
      </c>
      <c r="D897" s="58"/>
      <c r="E897" s="58"/>
      <c r="F897" s="58"/>
      <c r="G897" s="62" t="s">
        <v>3663</v>
      </c>
      <c r="H897" s="20"/>
      <c r="I897" s="18" t="s">
        <v>3664</v>
      </c>
      <c r="J897" s="70" t="str">
        <f>IF(shinsei_sekkei08_KENSETUSI_NO="","",shinsei_sekkei08_KENSETUSI_NO)</f>
        <v/>
      </c>
      <c r="K897" s="60"/>
    </row>
    <row r="898" spans="1:11" s="61" customFormat="1" ht="18" customHeight="1">
      <c r="A898" s="58"/>
      <c r="B898" s="12" t="s">
        <v>3308</v>
      </c>
      <c r="C898" s="12"/>
      <c r="D898" s="58"/>
      <c r="E898" s="58"/>
      <c r="F898" s="58"/>
      <c r="G898" s="62" t="s">
        <v>3665</v>
      </c>
      <c r="H898" s="20"/>
      <c r="I898" s="18" t="s">
        <v>3666</v>
      </c>
      <c r="J898" s="70" t="str">
        <f>IF(shinsei_sekkei08_NAME="","",shinsei_sekkei08_NAME)</f>
        <v/>
      </c>
      <c r="K898" s="60"/>
    </row>
    <row r="899" spans="1:11" s="61" customFormat="1" ht="18" customHeight="1">
      <c r="A899" s="58"/>
      <c r="B899" s="12" t="s">
        <v>3639</v>
      </c>
      <c r="C899" s="12"/>
      <c r="D899" s="58"/>
      <c r="E899" s="58"/>
      <c r="F899" s="58"/>
      <c r="G899" s="62"/>
      <c r="H899" s="62"/>
      <c r="I899" s="18"/>
      <c r="J899" s="18"/>
      <c r="K899" s="60"/>
    </row>
    <row r="900" spans="1:11" s="61" customFormat="1" ht="18" customHeight="1">
      <c r="A900" s="58"/>
      <c r="B900" s="12"/>
      <c r="C900" s="12" t="s">
        <v>3640</v>
      </c>
      <c r="D900" s="58"/>
      <c r="E900" s="58"/>
      <c r="F900" s="58"/>
      <c r="G900" s="62" t="s">
        <v>3667</v>
      </c>
      <c r="H900" s="20"/>
      <c r="I900" s="18" t="s">
        <v>3668</v>
      </c>
      <c r="J900" s="70" t="str">
        <f>IF(shinsei_sekkei08_JIMU_SIKAKU="","",shinsei_sekkei08_JIMU_SIKAKU)</f>
        <v/>
      </c>
      <c r="K900" s="60"/>
    </row>
    <row r="901" spans="1:11" s="61" customFormat="1" ht="18" customHeight="1">
      <c r="A901" s="58"/>
      <c r="B901" s="12"/>
      <c r="C901" s="12" t="s">
        <v>3632</v>
      </c>
      <c r="D901" s="58"/>
      <c r="E901" s="58"/>
      <c r="F901" s="58"/>
      <c r="G901" s="62" t="s">
        <v>3669</v>
      </c>
      <c r="H901" s="20"/>
      <c r="I901" s="18" t="s">
        <v>3670</v>
      </c>
      <c r="J901" s="70" t="str">
        <f>IF(shinsei_sekkei08_JIMU_TOUROKU_KIKAN="","",shinsei_sekkei08_JIMU_TOUROKU_KIKAN)</f>
        <v/>
      </c>
      <c r="K901" s="60"/>
    </row>
    <row r="902" spans="1:11" s="61" customFormat="1" ht="18" customHeight="1">
      <c r="A902" s="58"/>
      <c r="B902" s="12"/>
      <c r="C902" s="12" t="s">
        <v>3671</v>
      </c>
      <c r="D902" s="58"/>
      <c r="E902" s="58"/>
      <c r="F902" s="58"/>
      <c r="G902" s="62" t="s">
        <v>3672</v>
      </c>
      <c r="H902" s="20"/>
      <c r="I902" s="18" t="s">
        <v>3673</v>
      </c>
      <c r="J902" s="70" t="str">
        <f>IF(shinsei_sekkei08_JIMU_NO="","",shinsei_sekkei08_JIMU_NO)</f>
        <v/>
      </c>
      <c r="K902" s="60"/>
    </row>
    <row r="903" spans="1:11" s="61" customFormat="1" ht="18" customHeight="1">
      <c r="A903" s="58"/>
      <c r="B903" s="12" t="s">
        <v>3315</v>
      </c>
      <c r="C903" s="58"/>
      <c r="D903" s="58"/>
      <c r="E903" s="58"/>
      <c r="F903" s="58"/>
      <c r="G903" s="62" t="s">
        <v>3674</v>
      </c>
      <c r="H903" s="20"/>
      <c r="I903" s="18" t="s">
        <v>3675</v>
      </c>
      <c r="J903" s="70" t="str">
        <f>IF(shinsei_sekkei08_JIMU_NAME="","",shinsei_sekkei08_JIMU_NAME)</f>
        <v/>
      </c>
      <c r="K903" s="60"/>
    </row>
    <row r="904" spans="1:11" s="61" customFormat="1" ht="18" customHeight="1">
      <c r="A904" s="58"/>
      <c r="B904" s="12" t="s">
        <v>3318</v>
      </c>
      <c r="C904" s="58"/>
      <c r="D904" s="58"/>
      <c r="E904" s="58"/>
      <c r="F904" s="58"/>
      <c r="G904" s="62" t="s">
        <v>3676</v>
      </c>
      <c r="H904" s="20"/>
      <c r="I904" s="18" t="s">
        <v>3677</v>
      </c>
      <c r="J904" s="70" t="str">
        <f>IF(shinsei_sekkei08_POST_CODE="","",shinsei_sekkei08_POST_CODE)</f>
        <v/>
      </c>
      <c r="K904" s="60"/>
    </row>
    <row r="905" spans="1:11" s="61" customFormat="1" ht="18" customHeight="1">
      <c r="A905" s="58"/>
      <c r="B905" s="12" t="s">
        <v>3678</v>
      </c>
      <c r="C905" s="58"/>
      <c r="D905" s="58"/>
      <c r="E905" s="58"/>
      <c r="F905" s="58"/>
      <c r="G905" s="62" t="s">
        <v>3679</v>
      </c>
      <c r="H905" s="20"/>
      <c r="I905" s="18" t="s">
        <v>3680</v>
      </c>
      <c r="J905" s="70" t="str">
        <f>IF(shinsei_sekkei08__address="","",shinsei_sekkei08__address)</f>
        <v/>
      </c>
      <c r="K905" s="60"/>
    </row>
    <row r="906" spans="1:11" s="61" customFormat="1" ht="18" customHeight="1">
      <c r="A906" s="58"/>
      <c r="B906" s="12" t="s">
        <v>3624</v>
      </c>
      <c r="C906" s="58"/>
      <c r="D906" s="58"/>
      <c r="E906" s="58"/>
      <c r="F906" s="58"/>
      <c r="G906" s="62" t="s">
        <v>3681</v>
      </c>
      <c r="H906" s="20"/>
      <c r="I906" s="18" t="s">
        <v>3682</v>
      </c>
      <c r="J906" s="70" t="str">
        <f>IF(shinsei_sekkei08_TEL="","",shinsei_sekkei08_TEL)</f>
        <v/>
      </c>
      <c r="K906" s="60"/>
    </row>
    <row r="907" spans="1:11" s="61" customFormat="1" ht="18" customHeight="1">
      <c r="A907" s="58"/>
      <c r="B907" s="58"/>
      <c r="C907" s="58"/>
      <c r="D907" s="58"/>
      <c r="E907" s="58"/>
      <c r="F907" s="58"/>
      <c r="G907" s="62"/>
      <c r="H907" s="62"/>
      <c r="I907" s="18"/>
      <c r="J907" s="18"/>
      <c r="K907" s="60"/>
    </row>
    <row r="908" spans="1:11" s="61" customFormat="1" ht="18" customHeight="1">
      <c r="A908" s="58"/>
      <c r="B908" s="58" t="s">
        <v>3683</v>
      </c>
      <c r="C908" s="58"/>
      <c r="D908" s="58"/>
      <c r="E908" s="58"/>
      <c r="F908" s="58"/>
      <c r="G908" s="62"/>
      <c r="H908" s="62"/>
      <c r="I908" s="18"/>
      <c r="J908" s="18"/>
      <c r="K908" s="60"/>
    </row>
    <row r="909" spans="1:11" s="61" customFormat="1" ht="18" customHeight="1">
      <c r="A909" s="58"/>
      <c r="B909" s="12" t="s">
        <v>3301</v>
      </c>
      <c r="C909" s="58"/>
      <c r="D909" s="58"/>
      <c r="E909" s="58"/>
      <c r="F909" s="58"/>
      <c r="G909" s="62"/>
      <c r="H909" s="62"/>
      <c r="I909" s="18"/>
      <c r="J909" s="18"/>
      <c r="K909" s="60"/>
    </row>
    <row r="910" spans="1:11" s="61" customFormat="1" ht="18" customHeight="1">
      <c r="A910" s="58"/>
      <c r="B910" s="12"/>
      <c r="C910" s="12" t="s">
        <v>3302</v>
      </c>
      <c r="D910" s="58"/>
      <c r="E910" s="58"/>
      <c r="F910" s="58"/>
      <c r="G910" s="62" t="s">
        <v>3684</v>
      </c>
      <c r="H910" s="20"/>
      <c r="I910" s="18" t="s">
        <v>3685</v>
      </c>
      <c r="J910" s="70" t="str">
        <f>IF(shinsei_sekkei09_SIKAKU="","",shinsei_sekkei09_SIKAKU)</f>
        <v/>
      </c>
      <c r="K910" s="60"/>
    </row>
    <row r="911" spans="1:11" s="61" customFormat="1" ht="18" customHeight="1">
      <c r="A911" s="58"/>
      <c r="B911" s="12"/>
      <c r="C911" s="12" t="s">
        <v>3686</v>
      </c>
      <c r="D911" s="58"/>
      <c r="E911" s="58"/>
      <c r="F911" s="58"/>
      <c r="G911" s="62" t="s">
        <v>3687</v>
      </c>
      <c r="H911" s="20"/>
      <c r="I911" s="18" t="s">
        <v>3688</v>
      </c>
      <c r="J911" s="70" t="str">
        <f>IF(shinsei_sekkei09_TOUROKU_KIKAN="","",shinsei_sekkei09_TOUROKU_KIKAN)</f>
        <v/>
      </c>
      <c r="K911" s="60"/>
    </row>
    <row r="912" spans="1:11" s="61" customFormat="1" ht="18" customHeight="1">
      <c r="A912" s="58"/>
      <c r="B912" s="12"/>
      <c r="C912" s="12" t="s">
        <v>3306</v>
      </c>
      <c r="D912" s="58"/>
      <c r="E912" s="58"/>
      <c r="F912" s="58"/>
      <c r="G912" s="62" t="s">
        <v>3689</v>
      </c>
      <c r="H912" s="20"/>
      <c r="I912" s="18" t="s">
        <v>3690</v>
      </c>
      <c r="J912" s="70" t="str">
        <f>IF(shinsei_sekkei09_KENSETUSI_NO="","",shinsei_sekkei09_KENSETUSI_NO)</f>
        <v/>
      </c>
      <c r="K912" s="60"/>
    </row>
    <row r="913" spans="1:11" s="61" customFormat="1" ht="18" customHeight="1">
      <c r="A913" s="58"/>
      <c r="B913" s="12" t="s">
        <v>3691</v>
      </c>
      <c r="C913" s="12"/>
      <c r="D913" s="58"/>
      <c r="E913" s="58"/>
      <c r="F913" s="58"/>
      <c r="G913" s="62" t="s">
        <v>3692</v>
      </c>
      <c r="H913" s="20"/>
      <c r="I913" s="18" t="s">
        <v>2127</v>
      </c>
      <c r="J913" s="70" t="str">
        <f>IF(shinsei_sekkei09_NAME="","",shinsei_sekkei09_NAME)</f>
        <v/>
      </c>
      <c r="K913" s="60"/>
    </row>
    <row r="914" spans="1:11" s="61" customFormat="1" ht="18" customHeight="1">
      <c r="A914" s="58"/>
      <c r="B914" s="12" t="s">
        <v>3311</v>
      </c>
      <c r="C914" s="12"/>
      <c r="D914" s="58"/>
      <c r="E914" s="58"/>
      <c r="F914" s="58"/>
      <c r="G914" s="62"/>
      <c r="H914" s="62"/>
      <c r="I914" s="18"/>
      <c r="J914" s="18"/>
      <c r="K914" s="60"/>
    </row>
    <row r="915" spans="1:11" s="61" customFormat="1" ht="18" customHeight="1">
      <c r="A915" s="58"/>
      <c r="B915" s="12"/>
      <c r="C915" s="12" t="s">
        <v>3302</v>
      </c>
      <c r="D915" s="58"/>
      <c r="E915" s="58"/>
      <c r="F915" s="58"/>
      <c r="G915" s="62" t="s">
        <v>2128</v>
      </c>
      <c r="H915" s="20"/>
      <c r="I915" s="18" t="s">
        <v>2129</v>
      </c>
      <c r="J915" s="70" t="str">
        <f>IF(shinsei_sekkei09_JIMU_SIKAKU="","",shinsei_sekkei09_JIMU_SIKAKU)</f>
        <v/>
      </c>
      <c r="K915" s="60"/>
    </row>
    <row r="916" spans="1:11" s="61" customFormat="1" ht="18" customHeight="1">
      <c r="A916" s="58"/>
      <c r="B916" s="12"/>
      <c r="C916" s="12" t="s">
        <v>3304</v>
      </c>
      <c r="D916" s="58"/>
      <c r="E916" s="58"/>
      <c r="F916" s="58"/>
      <c r="G916" s="62" t="s">
        <v>2130</v>
      </c>
      <c r="H916" s="20"/>
      <c r="I916" s="18" t="s">
        <v>2131</v>
      </c>
      <c r="J916" s="70" t="str">
        <f>IF(shinsei_sekkei09_JIMU_TOUROKU_KIKAN="","",shinsei_sekkei09_JIMU_TOUROKU_KIKAN)</f>
        <v/>
      </c>
      <c r="K916" s="60"/>
    </row>
    <row r="917" spans="1:11" s="61" customFormat="1" ht="18" customHeight="1">
      <c r="A917" s="58"/>
      <c r="B917" s="12"/>
      <c r="C917" s="12" t="s">
        <v>3604</v>
      </c>
      <c r="D917" s="58"/>
      <c r="E917" s="58"/>
      <c r="F917" s="58"/>
      <c r="G917" s="62" t="s">
        <v>2132</v>
      </c>
      <c r="H917" s="20"/>
      <c r="I917" s="18" t="s">
        <v>2133</v>
      </c>
      <c r="J917" s="70" t="str">
        <f>IF(shinsei_sekkei09_JIMU_NO="","",shinsei_sekkei09_JIMU_NO)</f>
        <v/>
      </c>
      <c r="K917" s="60"/>
    </row>
    <row r="918" spans="1:11" s="61" customFormat="1" ht="18" customHeight="1">
      <c r="A918" s="58"/>
      <c r="B918" s="12" t="s">
        <v>3315</v>
      </c>
      <c r="C918" s="58"/>
      <c r="D918" s="58"/>
      <c r="E918" s="58"/>
      <c r="F918" s="58"/>
      <c r="G918" s="62" t="s">
        <v>2134</v>
      </c>
      <c r="H918" s="20"/>
      <c r="I918" s="18" t="s">
        <v>2135</v>
      </c>
      <c r="J918" s="70" t="str">
        <f>IF(shinsei_sekkei09_JIMU_NAME="","",shinsei_sekkei09_JIMU_NAME)</f>
        <v/>
      </c>
      <c r="K918" s="60"/>
    </row>
    <row r="919" spans="1:11" s="61" customFormat="1" ht="18" customHeight="1">
      <c r="A919" s="58"/>
      <c r="B919" s="12" t="s">
        <v>2136</v>
      </c>
      <c r="C919" s="58"/>
      <c r="D919" s="58"/>
      <c r="E919" s="58"/>
      <c r="F919" s="58"/>
      <c r="G919" s="62" t="s">
        <v>2137</v>
      </c>
      <c r="H919" s="20"/>
      <c r="I919" s="18" t="s">
        <v>2138</v>
      </c>
      <c r="J919" s="70" t="str">
        <f>IF(shinsei_sekkei09_POST_CODE="","",shinsei_sekkei09_POST_CODE)</f>
        <v/>
      </c>
      <c r="K919" s="60"/>
    </row>
    <row r="920" spans="1:11" s="61" customFormat="1" ht="18" customHeight="1">
      <c r="A920" s="58"/>
      <c r="B920" s="12" t="s">
        <v>2139</v>
      </c>
      <c r="C920" s="58"/>
      <c r="D920" s="58"/>
      <c r="E920" s="58"/>
      <c r="F920" s="58"/>
      <c r="G920" s="62" t="s">
        <v>2140</v>
      </c>
      <c r="H920" s="20"/>
      <c r="I920" s="18" t="s">
        <v>2141</v>
      </c>
      <c r="J920" s="70" t="str">
        <f>IF(shinsei_sekkei09__address="","",shinsei_sekkei09__address)</f>
        <v/>
      </c>
      <c r="K920" s="60"/>
    </row>
    <row r="921" spans="1:11" s="61" customFormat="1" ht="18" customHeight="1">
      <c r="A921" s="58"/>
      <c r="B921" s="12" t="s">
        <v>3624</v>
      </c>
      <c r="C921" s="58"/>
      <c r="D921" s="58"/>
      <c r="E921" s="58"/>
      <c r="F921" s="58"/>
      <c r="G921" s="62" t="s">
        <v>2142</v>
      </c>
      <c r="H921" s="20"/>
      <c r="I921" s="18" t="s">
        <v>2143</v>
      </c>
      <c r="J921" s="70" t="str">
        <f>IF(shinsei_sekkei09_TEL="","",shinsei_sekkei09_TEL)</f>
        <v/>
      </c>
      <c r="K921" s="60"/>
    </row>
    <row r="922" spans="1:11" s="61" customFormat="1" ht="18" customHeight="1">
      <c r="A922" s="58"/>
      <c r="B922" s="58"/>
      <c r="C922" s="58"/>
      <c r="D922" s="58"/>
      <c r="E922" s="58"/>
      <c r="F922" s="58"/>
      <c r="G922" s="62"/>
      <c r="H922" s="62"/>
      <c r="I922" s="18"/>
      <c r="J922" s="18"/>
      <c r="K922" s="60"/>
    </row>
    <row r="923" spans="1:11" s="61" customFormat="1" ht="18" customHeight="1">
      <c r="A923" s="58"/>
      <c r="B923" s="58" t="s">
        <v>2144</v>
      </c>
      <c r="C923" s="58"/>
      <c r="D923" s="58"/>
      <c r="E923" s="58"/>
      <c r="F923" s="58"/>
      <c r="G923" s="62"/>
      <c r="H923" s="62"/>
      <c r="I923" s="18"/>
      <c r="J923" s="18"/>
      <c r="K923" s="60"/>
    </row>
    <row r="924" spans="1:11" s="61" customFormat="1" ht="18" customHeight="1">
      <c r="A924" s="58"/>
      <c r="B924" s="12" t="s">
        <v>3301</v>
      </c>
      <c r="C924" s="58"/>
      <c r="D924" s="58"/>
      <c r="E924" s="58"/>
      <c r="F924" s="58"/>
      <c r="G924" s="62"/>
      <c r="H924" s="62"/>
      <c r="I924" s="18"/>
      <c r="J924" s="18"/>
      <c r="K924" s="60"/>
    </row>
    <row r="925" spans="1:11" s="61" customFormat="1" ht="18" customHeight="1">
      <c r="A925" s="58"/>
      <c r="B925" s="12"/>
      <c r="C925" s="12" t="s">
        <v>3302</v>
      </c>
      <c r="D925" s="58"/>
      <c r="E925" s="58"/>
      <c r="F925" s="58"/>
      <c r="G925" s="62" t="s">
        <v>2145</v>
      </c>
      <c r="H925" s="20"/>
      <c r="I925" s="18" t="s">
        <v>2146</v>
      </c>
      <c r="J925" s="70" t="str">
        <f>IF(shinsei_sekkei10_SIKAKU="","",shinsei_sekkei10_SIKAKU)</f>
        <v/>
      </c>
      <c r="K925" s="60"/>
    </row>
    <row r="926" spans="1:11" s="61" customFormat="1" ht="18" customHeight="1">
      <c r="A926" s="58"/>
      <c r="B926" s="12"/>
      <c r="C926" s="12" t="s">
        <v>2147</v>
      </c>
      <c r="D926" s="58"/>
      <c r="E926" s="58"/>
      <c r="F926" s="58"/>
      <c r="G926" s="62" t="s">
        <v>2148</v>
      </c>
      <c r="H926" s="20"/>
      <c r="I926" s="18" t="s">
        <v>2149</v>
      </c>
      <c r="J926" s="70" t="str">
        <f>IF(shinsei_sekkei10_TOUROKU_KIKAN="","",shinsei_sekkei10_TOUROKU_KIKAN)</f>
        <v/>
      </c>
      <c r="K926" s="60"/>
    </row>
    <row r="927" spans="1:11" s="61" customFormat="1" ht="18" customHeight="1">
      <c r="A927" s="58"/>
      <c r="B927" s="12"/>
      <c r="C927" s="12" t="s">
        <v>3604</v>
      </c>
      <c r="D927" s="58"/>
      <c r="E927" s="58"/>
      <c r="F927" s="58"/>
      <c r="G927" s="62" t="s">
        <v>2150</v>
      </c>
      <c r="H927" s="20"/>
      <c r="I927" s="18" t="s">
        <v>2151</v>
      </c>
      <c r="J927" s="70" t="str">
        <f>IF(shinsei_sekkei10_KENSETUSI_NO="","",shinsei_sekkei10_KENSETUSI_NO)</f>
        <v/>
      </c>
      <c r="K927" s="60"/>
    </row>
    <row r="928" spans="1:11" s="61" customFormat="1" ht="18" customHeight="1">
      <c r="A928" s="58"/>
      <c r="B928" s="12" t="s">
        <v>3691</v>
      </c>
      <c r="C928" s="12"/>
      <c r="D928" s="58"/>
      <c r="E928" s="58"/>
      <c r="F928" s="58"/>
      <c r="G928" s="62" t="s">
        <v>2152</v>
      </c>
      <c r="H928" s="20"/>
      <c r="I928" s="18" t="s">
        <v>2153</v>
      </c>
      <c r="J928" s="70" t="str">
        <f>IF(shinsei_sekkei10_NAME="","",shinsei_sekkei10_NAME)</f>
        <v/>
      </c>
      <c r="K928" s="60"/>
    </row>
    <row r="929" spans="1:11" s="61" customFormat="1" ht="18" customHeight="1">
      <c r="A929" s="58"/>
      <c r="B929" s="12" t="s">
        <v>3583</v>
      </c>
      <c r="C929" s="12"/>
      <c r="D929" s="58"/>
      <c r="E929" s="58"/>
      <c r="F929" s="58"/>
      <c r="G929" s="62"/>
      <c r="H929" s="62"/>
      <c r="I929" s="18"/>
      <c r="J929" s="18"/>
      <c r="K929" s="60"/>
    </row>
    <row r="930" spans="1:11" s="61" customFormat="1" ht="18" customHeight="1">
      <c r="A930" s="58"/>
      <c r="B930" s="12"/>
      <c r="C930" s="12" t="s">
        <v>3629</v>
      </c>
      <c r="D930" s="58"/>
      <c r="E930" s="58"/>
      <c r="F930" s="58"/>
      <c r="G930" s="62" t="s">
        <v>2154</v>
      </c>
      <c r="H930" s="20"/>
      <c r="I930" s="18" t="s">
        <v>2155</v>
      </c>
      <c r="J930" s="70" t="str">
        <f>IF(shinsei_sekkei10_JIMU_SIKAKU="","",shinsei_sekkei10_JIMU_SIKAKU)</f>
        <v/>
      </c>
      <c r="K930" s="60"/>
    </row>
    <row r="931" spans="1:11" s="61" customFormat="1" ht="18" customHeight="1">
      <c r="A931" s="58"/>
      <c r="B931" s="12"/>
      <c r="C931" s="12" t="s">
        <v>2156</v>
      </c>
      <c r="D931" s="58"/>
      <c r="E931" s="58"/>
      <c r="F931" s="58"/>
      <c r="G931" s="62" t="s">
        <v>2157</v>
      </c>
      <c r="H931" s="20"/>
      <c r="I931" s="18" t="s">
        <v>2158</v>
      </c>
      <c r="J931" s="70" t="str">
        <f>IF(shinsei_sekkei10_JIMU_TOUROKU_KIKAN="","",shinsei_sekkei10_JIMU_TOUROKU_KIKAN)</f>
        <v/>
      </c>
      <c r="K931" s="60"/>
    </row>
    <row r="932" spans="1:11" s="61" customFormat="1" ht="18" customHeight="1">
      <c r="A932" s="58"/>
      <c r="B932" s="12"/>
      <c r="C932" s="12" t="s">
        <v>3306</v>
      </c>
      <c r="D932" s="58"/>
      <c r="E932" s="58"/>
      <c r="F932" s="58"/>
      <c r="G932" s="62" t="s">
        <v>2159</v>
      </c>
      <c r="H932" s="20"/>
      <c r="I932" s="18" t="s">
        <v>2160</v>
      </c>
      <c r="J932" s="70" t="str">
        <f>IF(shinsei_sekkei10_JIMU_NO="","",shinsei_sekkei10_JIMU_NO)</f>
        <v/>
      </c>
      <c r="K932" s="60"/>
    </row>
    <row r="933" spans="1:11" s="61" customFormat="1" ht="18" customHeight="1">
      <c r="A933" s="58"/>
      <c r="B933" s="12" t="s">
        <v>3315</v>
      </c>
      <c r="C933" s="58"/>
      <c r="D933" s="58"/>
      <c r="E933" s="58"/>
      <c r="F933" s="58"/>
      <c r="G933" s="62" t="s">
        <v>2161</v>
      </c>
      <c r="H933" s="20"/>
      <c r="I933" s="18" t="s">
        <v>2162</v>
      </c>
      <c r="J933" s="70" t="str">
        <f>IF(shinsei_sekkei10_JIMU_NAME="","",shinsei_sekkei10_JIMU_NAME)</f>
        <v/>
      </c>
      <c r="K933" s="60"/>
    </row>
    <row r="934" spans="1:11" s="61" customFormat="1" ht="18" customHeight="1">
      <c r="A934" s="58"/>
      <c r="B934" s="12" t="s">
        <v>3318</v>
      </c>
      <c r="C934" s="58"/>
      <c r="D934" s="58"/>
      <c r="E934" s="58"/>
      <c r="F934" s="58"/>
      <c r="G934" s="62" t="s">
        <v>2163</v>
      </c>
      <c r="H934" s="20"/>
      <c r="I934" s="18" t="s">
        <v>2164</v>
      </c>
      <c r="J934" s="70" t="str">
        <f>IF(shinsei_sekkei10_POST_CODE="","",shinsei_sekkei10_POST_CODE)</f>
        <v/>
      </c>
      <c r="K934" s="60"/>
    </row>
    <row r="935" spans="1:11" s="61" customFormat="1" ht="18" customHeight="1">
      <c r="A935" s="58"/>
      <c r="B935" s="12" t="s">
        <v>3320</v>
      </c>
      <c r="C935" s="58"/>
      <c r="D935" s="58"/>
      <c r="E935" s="58"/>
      <c r="F935" s="58"/>
      <c r="G935" s="62" t="s">
        <v>2165</v>
      </c>
      <c r="H935" s="20"/>
      <c r="I935" s="18" t="s">
        <v>2166</v>
      </c>
      <c r="J935" s="70" t="str">
        <f>IF(shinsei_sekkei10__address="","",shinsei_sekkei10__address)</f>
        <v/>
      </c>
      <c r="K935" s="60"/>
    </row>
    <row r="936" spans="1:11" s="61" customFormat="1" ht="18" customHeight="1">
      <c r="A936" s="58"/>
      <c r="B936" s="12" t="s">
        <v>2167</v>
      </c>
      <c r="C936" s="58"/>
      <c r="D936" s="58"/>
      <c r="E936" s="58"/>
      <c r="F936" s="58"/>
      <c r="G936" s="62" t="s">
        <v>2168</v>
      </c>
      <c r="H936" s="20"/>
      <c r="I936" s="18" t="s">
        <v>2169</v>
      </c>
      <c r="J936" s="70" t="str">
        <f>IF(shinsei_sekkei10_TEL="","",shinsei_sekkei10_TEL)</f>
        <v/>
      </c>
      <c r="K936" s="60"/>
    </row>
    <row r="937" spans="1:11" s="61" customFormat="1" ht="18" customHeight="1">
      <c r="A937" s="58"/>
      <c r="B937" s="58"/>
      <c r="C937" s="58"/>
      <c r="D937" s="58"/>
      <c r="E937" s="58"/>
      <c r="F937" s="58"/>
      <c r="G937" s="62"/>
      <c r="H937" s="62"/>
      <c r="I937" s="18"/>
      <c r="J937" s="18"/>
      <c r="K937" s="60"/>
    </row>
    <row r="938" spans="1:11" s="61" customFormat="1" ht="18" customHeight="1">
      <c r="A938" s="58"/>
      <c r="B938" s="58" t="s">
        <v>2170</v>
      </c>
      <c r="C938" s="58"/>
      <c r="D938" s="58"/>
      <c r="E938" s="58"/>
      <c r="F938" s="58"/>
      <c r="G938" s="62"/>
      <c r="H938" s="62"/>
      <c r="I938" s="18"/>
      <c r="J938" s="18"/>
      <c r="K938" s="60"/>
    </row>
    <row r="939" spans="1:11" s="61" customFormat="1" ht="18" customHeight="1">
      <c r="A939" s="58"/>
      <c r="B939" s="12" t="s">
        <v>3628</v>
      </c>
      <c r="C939" s="58"/>
      <c r="D939" s="58"/>
      <c r="E939" s="58"/>
      <c r="F939" s="58"/>
      <c r="G939" s="62"/>
      <c r="H939" s="62"/>
      <c r="I939" s="18"/>
      <c r="J939" s="18"/>
      <c r="K939" s="60"/>
    </row>
    <row r="940" spans="1:11" s="61" customFormat="1" ht="18" customHeight="1">
      <c r="A940" s="58"/>
      <c r="B940" s="12"/>
      <c r="C940" s="12" t="s">
        <v>3629</v>
      </c>
      <c r="D940" s="58"/>
      <c r="E940" s="58"/>
      <c r="F940" s="58"/>
      <c r="G940" s="62" t="s">
        <v>2171</v>
      </c>
      <c r="H940" s="20"/>
      <c r="I940" s="18" t="s">
        <v>2172</v>
      </c>
      <c r="J940" s="70" t="str">
        <f>IF(shinsei_sekkei11_SIKAKU="","",shinsei_sekkei11_SIKAKU)</f>
        <v/>
      </c>
      <c r="K940" s="60"/>
    </row>
    <row r="941" spans="1:11" s="61" customFormat="1" ht="18" customHeight="1">
      <c r="A941" s="58"/>
      <c r="B941" s="12"/>
      <c r="C941" s="12" t="s">
        <v>3659</v>
      </c>
      <c r="D941" s="58"/>
      <c r="E941" s="58"/>
      <c r="F941" s="58"/>
      <c r="G941" s="62" t="s">
        <v>2173</v>
      </c>
      <c r="H941" s="20"/>
      <c r="I941" s="18" t="s">
        <v>2174</v>
      </c>
      <c r="J941" s="70" t="str">
        <f>IF(shinsei_sekkei11_TOUROKU_KIKAN="","",shinsei_sekkei11_TOUROKU_KIKAN)</f>
        <v/>
      </c>
      <c r="K941" s="60"/>
    </row>
    <row r="942" spans="1:11" s="61" customFormat="1" ht="18" customHeight="1">
      <c r="A942" s="58"/>
      <c r="B942" s="12"/>
      <c r="C942" s="12" t="s">
        <v>3306</v>
      </c>
      <c r="D942" s="58"/>
      <c r="E942" s="58"/>
      <c r="F942" s="58"/>
      <c r="G942" s="62" t="s">
        <v>2175</v>
      </c>
      <c r="H942" s="20"/>
      <c r="I942" s="18" t="s">
        <v>2176</v>
      </c>
      <c r="J942" s="70" t="str">
        <f>IF(shinsei_sekkei11_KENSETUSI_NO="","",shinsei_sekkei11_KENSETUSI_NO)</f>
        <v/>
      </c>
      <c r="K942" s="60"/>
    </row>
    <row r="943" spans="1:11" s="61" customFormat="1" ht="18" customHeight="1">
      <c r="A943" s="58"/>
      <c r="B943" s="12" t="s">
        <v>3308</v>
      </c>
      <c r="C943" s="12"/>
      <c r="D943" s="58"/>
      <c r="E943" s="58"/>
      <c r="F943" s="58"/>
      <c r="G943" s="62" t="s">
        <v>782</v>
      </c>
      <c r="H943" s="20"/>
      <c r="I943" s="18" t="s">
        <v>783</v>
      </c>
      <c r="J943" s="70" t="str">
        <f>IF(shinsei_sekkei11_NAME="","",shinsei_sekkei11_NAME)</f>
        <v/>
      </c>
      <c r="K943" s="60"/>
    </row>
    <row r="944" spans="1:11" s="61" customFormat="1" ht="18" customHeight="1">
      <c r="A944" s="58"/>
      <c r="B944" s="12" t="s">
        <v>3311</v>
      </c>
      <c r="C944" s="12"/>
      <c r="D944" s="58"/>
      <c r="E944" s="58"/>
      <c r="F944" s="58"/>
      <c r="G944" s="62"/>
      <c r="H944" s="62"/>
      <c r="I944" s="18"/>
      <c r="J944" s="18"/>
      <c r="K944" s="60"/>
    </row>
    <row r="945" spans="1:11" s="61" customFormat="1" ht="18" customHeight="1">
      <c r="A945" s="58"/>
      <c r="B945" s="12"/>
      <c r="C945" s="12" t="s">
        <v>3302</v>
      </c>
      <c r="D945" s="58"/>
      <c r="E945" s="58"/>
      <c r="F945" s="58"/>
      <c r="G945" s="62" t="s">
        <v>784</v>
      </c>
      <c r="H945" s="20"/>
      <c r="I945" s="18" t="s">
        <v>785</v>
      </c>
      <c r="J945" s="70" t="str">
        <f>IF(shinsei_sekkei11_JIMU_SIKAKU="","",shinsei_sekkei11_JIMU_SIKAKU)</f>
        <v/>
      </c>
      <c r="K945" s="60"/>
    </row>
    <row r="946" spans="1:11" s="61" customFormat="1" ht="18" customHeight="1">
      <c r="A946" s="58"/>
      <c r="B946" s="12"/>
      <c r="C946" s="12" t="s">
        <v>3632</v>
      </c>
      <c r="D946" s="58"/>
      <c r="E946" s="58"/>
      <c r="F946" s="58"/>
      <c r="G946" s="62" t="s">
        <v>786</v>
      </c>
      <c r="H946" s="20"/>
      <c r="I946" s="18" t="s">
        <v>787</v>
      </c>
      <c r="J946" s="70" t="str">
        <f>IF(shinsei_sekkei11_JIMU_TOUROKU_KIKAN="","",shinsei_sekkei11_JIMU_TOUROKU_KIKAN)</f>
        <v/>
      </c>
      <c r="K946" s="60"/>
    </row>
    <row r="947" spans="1:11" s="61" customFormat="1" ht="18" customHeight="1">
      <c r="A947" s="58"/>
      <c r="B947" s="12"/>
      <c r="C947" s="12" t="s">
        <v>3671</v>
      </c>
      <c r="D947" s="58"/>
      <c r="E947" s="58"/>
      <c r="F947" s="58"/>
      <c r="G947" s="62" t="s">
        <v>788</v>
      </c>
      <c r="H947" s="20"/>
      <c r="I947" s="18" t="s">
        <v>789</v>
      </c>
      <c r="J947" s="70" t="str">
        <f>IF(shinsei_sekkei11_JIMU_NO="","",shinsei_sekkei11_JIMU_NO)</f>
        <v/>
      </c>
      <c r="K947" s="60"/>
    </row>
    <row r="948" spans="1:11" s="61" customFormat="1" ht="18" customHeight="1">
      <c r="A948" s="58"/>
      <c r="B948" s="12" t="s">
        <v>790</v>
      </c>
      <c r="C948" s="58"/>
      <c r="D948" s="58"/>
      <c r="E948" s="58"/>
      <c r="F948" s="58"/>
      <c r="G948" s="62" t="s">
        <v>791</v>
      </c>
      <c r="H948" s="20"/>
      <c r="I948" s="18" t="s">
        <v>792</v>
      </c>
      <c r="J948" s="70" t="str">
        <f>IF(shinsei_sekkei11_JIMU_NAME="","",shinsei_sekkei11_JIMU_NAME)</f>
        <v/>
      </c>
      <c r="K948" s="60"/>
    </row>
    <row r="949" spans="1:11" s="61" customFormat="1" ht="18" customHeight="1">
      <c r="A949" s="58"/>
      <c r="B949" s="12" t="s">
        <v>3318</v>
      </c>
      <c r="C949" s="58"/>
      <c r="D949" s="58"/>
      <c r="E949" s="58"/>
      <c r="F949" s="58"/>
      <c r="G949" s="62" t="s">
        <v>793</v>
      </c>
      <c r="H949" s="20"/>
      <c r="I949" s="18" t="s">
        <v>794</v>
      </c>
      <c r="J949" s="70" t="str">
        <f>IF(shinsei_sekkei11_POST_CODE="","",shinsei_sekkei11_POST_CODE)</f>
        <v/>
      </c>
      <c r="K949" s="60"/>
    </row>
    <row r="950" spans="1:11" s="61" customFormat="1" ht="18" customHeight="1">
      <c r="A950" s="58"/>
      <c r="B950" s="12" t="s">
        <v>3320</v>
      </c>
      <c r="C950" s="58"/>
      <c r="D950" s="58"/>
      <c r="E950" s="58"/>
      <c r="F950" s="58"/>
      <c r="G950" s="62" t="s">
        <v>795</v>
      </c>
      <c r="H950" s="20"/>
      <c r="I950" s="18" t="s">
        <v>796</v>
      </c>
      <c r="J950" s="70" t="str">
        <f>IF(shinsei_sekkei11__address="","",shinsei_sekkei11__address)</f>
        <v/>
      </c>
      <c r="K950" s="60"/>
    </row>
    <row r="951" spans="1:11" s="61" customFormat="1" ht="18" customHeight="1">
      <c r="A951" s="58"/>
      <c r="B951" s="12" t="s">
        <v>797</v>
      </c>
      <c r="C951" s="58"/>
      <c r="D951" s="58"/>
      <c r="E951" s="58"/>
      <c r="F951" s="58"/>
      <c r="G951" s="62" t="s">
        <v>798</v>
      </c>
      <c r="H951" s="20"/>
      <c r="I951" s="18" t="s">
        <v>799</v>
      </c>
      <c r="J951" s="70" t="str">
        <f>IF(shinsei_sekkei11_TEL="","",shinsei_sekkei11_TEL)</f>
        <v/>
      </c>
      <c r="K951" s="60"/>
    </row>
    <row r="952" spans="1:11" s="61" customFormat="1" ht="18" customHeight="1">
      <c r="A952" s="58"/>
      <c r="B952" s="58"/>
      <c r="C952" s="58"/>
      <c r="D952" s="58"/>
      <c r="E952" s="58"/>
      <c r="F952" s="58"/>
      <c r="G952" s="62"/>
      <c r="H952" s="62"/>
      <c r="I952" s="18"/>
      <c r="J952" s="18"/>
      <c r="K952" s="60"/>
    </row>
    <row r="953" spans="1:11" s="61" customFormat="1" ht="18" customHeight="1">
      <c r="A953" s="58"/>
      <c r="B953" s="58"/>
      <c r="C953" s="58"/>
      <c r="D953" s="58"/>
      <c r="E953" s="58"/>
      <c r="F953" s="58"/>
      <c r="G953" s="62"/>
      <c r="H953" s="62"/>
      <c r="I953" s="18"/>
      <c r="J953" s="18"/>
      <c r="K953" s="60"/>
    </row>
    <row r="954" spans="1:11" s="61" customFormat="1" ht="18" customHeight="1">
      <c r="A954" s="58"/>
      <c r="B954" s="58" t="s">
        <v>800</v>
      </c>
      <c r="C954" s="58"/>
      <c r="D954" s="58"/>
      <c r="E954" s="58"/>
      <c r="F954" s="58"/>
      <c r="G954" s="62"/>
      <c r="H954" s="62"/>
      <c r="I954" s="18"/>
      <c r="J954" s="18"/>
      <c r="K954" s="60"/>
    </row>
    <row r="955" spans="1:11" s="61" customFormat="1" ht="18" customHeight="1">
      <c r="A955" s="58"/>
      <c r="B955" s="12" t="s">
        <v>801</v>
      </c>
      <c r="C955" s="58"/>
      <c r="D955" s="58"/>
      <c r="E955" s="58"/>
      <c r="F955" s="58"/>
      <c r="G955" s="62"/>
      <c r="H955" s="62"/>
      <c r="I955" s="18"/>
      <c r="J955" s="18"/>
      <c r="K955" s="60"/>
    </row>
    <row r="956" spans="1:11" s="61" customFormat="1" ht="18" customHeight="1">
      <c r="A956" s="58"/>
      <c r="B956" s="12"/>
      <c r="C956" s="12" t="s">
        <v>3302</v>
      </c>
      <c r="D956" s="58"/>
      <c r="E956" s="58"/>
      <c r="F956" s="58"/>
      <c r="G956" s="62" t="s">
        <v>1802</v>
      </c>
      <c r="H956" s="20" t="s">
        <v>11830</v>
      </c>
      <c r="I956" s="18" t="s">
        <v>802</v>
      </c>
      <c r="J956" s="70" t="str">
        <f>IF(shinsei_KANRI_SIKAKU="","",shinsei_KANRI_SIKAKU)</f>
        <v>一級</v>
      </c>
      <c r="K956" s="60"/>
    </row>
    <row r="957" spans="1:11" s="61" customFormat="1" ht="18" customHeight="1">
      <c r="A957" s="58"/>
      <c r="B957" s="12"/>
      <c r="C957" s="12" t="s">
        <v>3632</v>
      </c>
      <c r="D957" s="58"/>
      <c r="E957" s="58"/>
      <c r="F957" s="58"/>
      <c r="G957" s="62" t="s">
        <v>1803</v>
      </c>
      <c r="H957" s="20" t="s">
        <v>11836</v>
      </c>
      <c r="I957" s="18" t="s">
        <v>803</v>
      </c>
      <c r="J957" s="70" t="str">
        <f>IF(shinsei_KANRI_TOUROKU_KIKAN="","",shinsei_KANRI_TOUROKU_KIKAN)</f>
        <v>大臣</v>
      </c>
      <c r="K957" s="60"/>
    </row>
    <row r="958" spans="1:11" s="61" customFormat="1" ht="18" customHeight="1">
      <c r="A958" s="58"/>
      <c r="B958" s="12"/>
      <c r="C958" s="12" t="s">
        <v>804</v>
      </c>
      <c r="D958" s="58"/>
      <c r="E958" s="58"/>
      <c r="F958" s="58"/>
      <c r="G958" s="62" t="s">
        <v>1804</v>
      </c>
      <c r="H958" s="20">
        <v>239574</v>
      </c>
      <c r="I958" s="18" t="s">
        <v>805</v>
      </c>
      <c r="J958" s="70">
        <f>IF(shinsei_KANRI_KENSETUSI_NO="","",shinsei_KANRI_KENSETUSI_NO)</f>
        <v>239574</v>
      </c>
      <c r="K958" s="60"/>
    </row>
    <row r="959" spans="1:11" s="61" customFormat="1" ht="18" customHeight="1">
      <c r="A959" s="58"/>
      <c r="B959" s="12" t="s">
        <v>806</v>
      </c>
      <c r="C959" s="12"/>
      <c r="D959" s="58"/>
      <c r="E959" s="58"/>
      <c r="F959" s="58"/>
      <c r="G959" s="62" t="s">
        <v>1805</v>
      </c>
      <c r="H959" s="20" t="s">
        <v>11831</v>
      </c>
      <c r="I959" s="18" t="s">
        <v>807</v>
      </c>
      <c r="J959" s="70" t="str">
        <f>IF(shinsei_KANRI_NAME="","",shinsei_KANRI_NAME)</f>
        <v>青木　雅祐</v>
      </c>
      <c r="K959" s="60"/>
    </row>
    <row r="960" spans="1:11" s="61" customFormat="1" ht="18" customHeight="1">
      <c r="A960" s="58"/>
      <c r="B960" s="12" t="s">
        <v>3311</v>
      </c>
      <c r="C960" s="12"/>
      <c r="D960" s="58"/>
      <c r="E960" s="58"/>
      <c r="F960" s="58"/>
      <c r="G960" s="62"/>
      <c r="H960" s="62"/>
      <c r="I960" s="18"/>
      <c r="J960" s="18"/>
      <c r="K960" s="60"/>
    </row>
    <row r="961" spans="1:11" s="61" customFormat="1" ht="18" customHeight="1">
      <c r="A961" s="58"/>
      <c r="B961" s="12"/>
      <c r="C961" s="12" t="s">
        <v>3302</v>
      </c>
      <c r="D961" s="58"/>
      <c r="E961" s="58"/>
      <c r="F961" s="58"/>
      <c r="G961" s="62" t="s">
        <v>1806</v>
      </c>
      <c r="H961" s="20" t="s">
        <v>11830</v>
      </c>
      <c r="I961" s="18" t="s">
        <v>808</v>
      </c>
      <c r="J961" s="70" t="str">
        <f>IF(shinsei_KANRI_JIMU_SIKAKU="","",shinsei_KANRI_JIMU_SIKAKU)</f>
        <v>一級</v>
      </c>
      <c r="K961" s="60"/>
    </row>
    <row r="962" spans="1:11" s="61" customFormat="1" ht="18" customHeight="1">
      <c r="A962" s="58"/>
      <c r="B962" s="12"/>
      <c r="C962" s="12" t="s">
        <v>3304</v>
      </c>
      <c r="D962" s="58"/>
      <c r="E962" s="58"/>
      <c r="F962" s="58"/>
      <c r="G962" s="62" t="s">
        <v>1807</v>
      </c>
      <c r="H962" s="20" t="s">
        <v>11796</v>
      </c>
      <c r="I962" s="18" t="s">
        <v>809</v>
      </c>
      <c r="J962" s="70" t="str">
        <f>IF(shinsei_KANRI_JIMU_TOUROKU_KIKAN="","",shinsei_KANRI_JIMU_TOUROKU_KIKAN)</f>
        <v>大阪府</v>
      </c>
      <c r="K962" s="60"/>
    </row>
    <row r="963" spans="1:11" s="61" customFormat="1" ht="18" customHeight="1">
      <c r="A963" s="58"/>
      <c r="B963" s="12"/>
      <c r="C963" s="12" t="s">
        <v>804</v>
      </c>
      <c r="D963" s="58"/>
      <c r="E963" s="58"/>
      <c r="F963" s="58"/>
      <c r="G963" s="62" t="s">
        <v>1808</v>
      </c>
      <c r="H963" s="20" t="s">
        <v>11829</v>
      </c>
      <c r="I963" s="18" t="s">
        <v>810</v>
      </c>
      <c r="J963" s="70" t="str">
        <f>IF(shinsei_KANRI_JIMU_NO="","",shinsei_KANRI_JIMU_NO)</f>
        <v>ホ-17519</v>
      </c>
      <c r="K963" s="60"/>
    </row>
    <row r="964" spans="1:11" s="61" customFormat="1" ht="18" customHeight="1">
      <c r="A964" s="58"/>
      <c r="B964" s="12" t="s">
        <v>812</v>
      </c>
      <c r="C964" s="58"/>
      <c r="D964" s="58"/>
      <c r="E964" s="58"/>
      <c r="F964" s="58"/>
      <c r="G964" s="62" t="s">
        <v>1809</v>
      </c>
      <c r="H964" s="20" t="s">
        <v>11827</v>
      </c>
      <c r="I964" s="18" t="s">
        <v>813</v>
      </c>
      <c r="J964" s="70" t="str">
        <f>IF(shinsei_KANRI_JIMU_NAME="","",shinsei_KANRI_JIMU_NAME)</f>
        <v>一級建築士事務所　株式会社　アフェクションウォーク</v>
      </c>
      <c r="K964" s="60"/>
    </row>
    <row r="965" spans="1:11" s="61" customFormat="1" ht="18" customHeight="1">
      <c r="A965" s="58"/>
      <c r="B965" s="12" t="s">
        <v>814</v>
      </c>
      <c r="C965" s="58"/>
      <c r="D965" s="58"/>
      <c r="E965" s="58"/>
      <c r="F965" s="58"/>
      <c r="G965" s="62" t="s">
        <v>1810</v>
      </c>
      <c r="H965" s="20" t="s">
        <v>11833</v>
      </c>
      <c r="I965" s="18" t="s">
        <v>815</v>
      </c>
      <c r="J965" s="70" t="str">
        <f>IF(shinsei_KANRI_POST_CODE="","",shinsei_KANRI_POST_CODE)</f>
        <v>530-0052</v>
      </c>
      <c r="K965" s="60"/>
    </row>
    <row r="966" spans="1:11" s="61" customFormat="1" ht="18" customHeight="1">
      <c r="A966" s="58"/>
      <c r="B966" s="12" t="s">
        <v>817</v>
      </c>
      <c r="C966" s="58"/>
      <c r="D966" s="58"/>
      <c r="E966" s="58"/>
      <c r="F966" s="58"/>
      <c r="G966" s="62" t="s">
        <v>1811</v>
      </c>
      <c r="H966" s="20" t="s">
        <v>11824</v>
      </c>
      <c r="I966" s="18" t="s">
        <v>818</v>
      </c>
      <c r="J966" s="70" t="str">
        <f>IF(shinsei_KANRI__address="","",shinsei_KANRI__address)</f>
        <v>大阪府大阪市北区南扇町1番5号</v>
      </c>
      <c r="K966" s="60"/>
    </row>
    <row r="967" spans="1:11" s="61" customFormat="1" ht="18" customHeight="1">
      <c r="A967" s="58"/>
      <c r="B967" s="12" t="s">
        <v>819</v>
      </c>
      <c r="C967" s="58"/>
      <c r="D967" s="58"/>
      <c r="E967" s="58"/>
      <c r="F967" s="58"/>
      <c r="G967" s="62" t="s">
        <v>1812</v>
      </c>
      <c r="H967" s="20" t="s">
        <v>11835</v>
      </c>
      <c r="I967" s="18" t="s">
        <v>820</v>
      </c>
      <c r="J967" s="70" t="str">
        <f>IF(shinsei_KANRI_TEL="","",shinsei_KANRI_TEL)</f>
        <v>06-6311-3412</v>
      </c>
      <c r="K967" s="60"/>
    </row>
    <row r="968" spans="1:11" s="61" customFormat="1" ht="18" customHeight="1">
      <c r="A968" s="58"/>
      <c r="B968" s="58"/>
      <c r="C968" s="58"/>
      <c r="D968" s="58"/>
      <c r="E968" s="58"/>
      <c r="F968" s="58"/>
      <c r="G968" s="62"/>
      <c r="H968" s="62"/>
      <c r="I968" s="18"/>
      <c r="J968" s="18"/>
      <c r="K968" s="60"/>
    </row>
    <row r="969" spans="1:11" s="61" customFormat="1" ht="18" customHeight="1">
      <c r="A969" s="58"/>
      <c r="B969" s="58" t="s">
        <v>821</v>
      </c>
      <c r="C969" s="58"/>
      <c r="D969" s="58"/>
      <c r="E969" s="58"/>
      <c r="F969" s="58"/>
      <c r="G969" s="62"/>
      <c r="H969" s="62"/>
      <c r="I969" s="18"/>
      <c r="J969" s="18"/>
      <c r="K969" s="60"/>
    </row>
    <row r="970" spans="1:11" s="61" customFormat="1" ht="18" customHeight="1">
      <c r="A970" s="58"/>
      <c r="B970" s="12" t="s">
        <v>801</v>
      </c>
      <c r="C970" s="58"/>
      <c r="D970" s="58"/>
      <c r="E970" s="58"/>
      <c r="F970" s="58"/>
      <c r="G970" s="62"/>
      <c r="H970" s="62"/>
      <c r="I970" s="18"/>
      <c r="J970" s="18"/>
      <c r="K970" s="60"/>
    </row>
    <row r="971" spans="1:11" s="61" customFormat="1" ht="18" customHeight="1">
      <c r="A971" s="58"/>
      <c r="B971" s="12"/>
      <c r="C971" s="12" t="s">
        <v>3302</v>
      </c>
      <c r="D971" s="58"/>
      <c r="E971" s="58"/>
      <c r="F971" s="58"/>
      <c r="G971" s="62" t="s">
        <v>822</v>
      </c>
      <c r="H971" s="20"/>
      <c r="I971" s="18" t="s">
        <v>823</v>
      </c>
      <c r="J971" s="70" t="str">
        <f>IF(shinsei_KANRI1_SIKAKU="","",shinsei_KANRI1_SIKAKU)</f>
        <v/>
      </c>
      <c r="K971" s="60"/>
    </row>
    <row r="972" spans="1:11" s="61" customFormat="1" ht="18" customHeight="1">
      <c r="A972" s="58"/>
      <c r="B972" s="12"/>
      <c r="C972" s="12" t="s">
        <v>3686</v>
      </c>
      <c r="D972" s="58"/>
      <c r="E972" s="58"/>
      <c r="F972" s="58"/>
      <c r="G972" s="62" t="s">
        <v>824</v>
      </c>
      <c r="H972" s="20"/>
      <c r="I972" s="18" t="s">
        <v>825</v>
      </c>
      <c r="J972" s="70" t="str">
        <f>IF(shinsei_KANRI1_TOUROKU_KIKAN="","",shinsei_KANRI1_TOUROKU_KIKAN)</f>
        <v/>
      </c>
      <c r="K972" s="60"/>
    </row>
    <row r="973" spans="1:11" s="61" customFormat="1" ht="18" customHeight="1">
      <c r="A973" s="58"/>
      <c r="B973" s="12"/>
      <c r="C973" s="12" t="s">
        <v>3604</v>
      </c>
      <c r="D973" s="58"/>
      <c r="E973" s="58"/>
      <c r="F973" s="58"/>
      <c r="G973" s="62" t="s">
        <v>826</v>
      </c>
      <c r="H973" s="20"/>
      <c r="I973" s="18" t="s">
        <v>827</v>
      </c>
      <c r="J973" s="70" t="str">
        <f>IF(shinsei_KANRI1_KENSETUSI_NO="","",shinsei_KANRI1_KENSETUSI_NO)</f>
        <v/>
      </c>
      <c r="K973" s="60"/>
    </row>
    <row r="974" spans="1:11" s="61" customFormat="1" ht="18" customHeight="1">
      <c r="A974" s="58"/>
      <c r="B974" s="12" t="s">
        <v>806</v>
      </c>
      <c r="C974" s="12"/>
      <c r="D974" s="58"/>
      <c r="E974" s="58"/>
      <c r="F974" s="58"/>
      <c r="G974" s="62" t="s">
        <v>828</v>
      </c>
      <c r="H974" s="20"/>
      <c r="I974" s="18" t="s">
        <v>829</v>
      </c>
      <c r="J974" s="70" t="str">
        <f>IF(shinsei_KANRI1_NAME="","",shinsei_KANRI1_NAME)</f>
        <v/>
      </c>
      <c r="K974" s="60"/>
    </row>
    <row r="975" spans="1:11" s="61" customFormat="1" ht="18" customHeight="1">
      <c r="A975" s="58"/>
      <c r="B975" s="12" t="s">
        <v>3311</v>
      </c>
      <c r="C975" s="12"/>
      <c r="D975" s="58"/>
      <c r="E975" s="58"/>
      <c r="F975" s="58"/>
      <c r="G975" s="62"/>
      <c r="H975" s="62"/>
      <c r="I975" s="18"/>
      <c r="J975" s="18"/>
      <c r="K975" s="60"/>
    </row>
    <row r="976" spans="1:11" s="61" customFormat="1" ht="18" customHeight="1">
      <c r="A976" s="58"/>
      <c r="B976" s="12"/>
      <c r="C976" s="12" t="s">
        <v>3302</v>
      </c>
      <c r="D976" s="58"/>
      <c r="E976" s="58"/>
      <c r="F976" s="58"/>
      <c r="G976" s="62" t="s">
        <v>830</v>
      </c>
      <c r="H976" s="20"/>
      <c r="I976" s="18" t="s">
        <v>831</v>
      </c>
      <c r="J976" s="70" t="str">
        <f>IF(shinsei_KANRI1_JIMU_SIKAKU="","",shinsei_KANRI1_JIMU_SIKAKU)</f>
        <v/>
      </c>
      <c r="K976" s="60"/>
    </row>
    <row r="977" spans="1:11" s="61" customFormat="1" ht="18" customHeight="1">
      <c r="A977" s="58"/>
      <c r="B977" s="12"/>
      <c r="C977" s="12" t="s">
        <v>3304</v>
      </c>
      <c r="D977" s="58"/>
      <c r="E977" s="58"/>
      <c r="F977" s="58"/>
      <c r="G977" s="62" t="s">
        <v>832</v>
      </c>
      <c r="H977" s="20"/>
      <c r="I977" s="18" t="s">
        <v>833</v>
      </c>
      <c r="J977" s="70" t="str">
        <f>IF(shinsei_KANRI1_JIMU_TOUROKU_KIKAN="","",shinsei_KANRI1_JIMU_TOUROKU_KIKAN)</f>
        <v/>
      </c>
      <c r="K977" s="60"/>
    </row>
    <row r="978" spans="1:11" s="61" customFormat="1" ht="18" customHeight="1">
      <c r="A978" s="58"/>
      <c r="B978" s="12"/>
      <c r="C978" s="12" t="s">
        <v>3306</v>
      </c>
      <c r="D978" s="58"/>
      <c r="E978" s="58"/>
      <c r="F978" s="58"/>
      <c r="G978" s="62" t="s">
        <v>834</v>
      </c>
      <c r="H978" s="20"/>
      <c r="I978" s="18" t="s">
        <v>835</v>
      </c>
      <c r="J978" s="70" t="str">
        <f>IF(shinsei_KANRI1_JIMU_NO="","",shinsei_KANRI1_JIMU_NO)</f>
        <v/>
      </c>
      <c r="K978" s="60"/>
    </row>
    <row r="979" spans="1:11" s="61" customFormat="1" ht="18" customHeight="1">
      <c r="A979" s="58"/>
      <c r="B979" s="12" t="s">
        <v>836</v>
      </c>
      <c r="C979" s="58"/>
      <c r="D979" s="58"/>
      <c r="E979" s="58"/>
      <c r="F979" s="58"/>
      <c r="G979" s="62" t="s">
        <v>837</v>
      </c>
      <c r="H979" s="20"/>
      <c r="I979" s="18" t="s">
        <v>838</v>
      </c>
      <c r="J979" s="70" t="str">
        <f>IF(shinsei_KANRI1_JIMU_NAME="","",shinsei_KANRI1_JIMU_NAME)</f>
        <v/>
      </c>
      <c r="K979" s="60"/>
    </row>
    <row r="980" spans="1:11" s="61" customFormat="1" ht="18" customHeight="1">
      <c r="A980" s="58"/>
      <c r="B980" s="12" t="s">
        <v>2782</v>
      </c>
      <c r="C980" s="58"/>
      <c r="D980" s="58"/>
      <c r="E980" s="58"/>
      <c r="F980" s="58"/>
      <c r="G980" s="62" t="s">
        <v>839</v>
      </c>
      <c r="H980" s="20"/>
      <c r="I980" s="18" t="s">
        <v>840</v>
      </c>
      <c r="J980" s="70" t="str">
        <f>IF(shinsei_KANRI1_POST_CODE="","",shinsei_KANRI1_POST_CODE)</f>
        <v/>
      </c>
      <c r="K980" s="60"/>
    </row>
    <row r="981" spans="1:11" s="61" customFormat="1" ht="18" customHeight="1">
      <c r="A981" s="58"/>
      <c r="B981" s="12" t="s">
        <v>816</v>
      </c>
      <c r="C981" s="58"/>
      <c r="D981" s="58"/>
      <c r="E981" s="58"/>
      <c r="F981" s="58"/>
      <c r="G981" s="62" t="s">
        <v>841</v>
      </c>
      <c r="H981" s="20"/>
      <c r="I981" s="18" t="s">
        <v>842</v>
      </c>
      <c r="J981" s="70" t="str">
        <f>IF(shinsei_KANRI1__address="","",shinsei_KANRI1__address)</f>
        <v/>
      </c>
      <c r="K981" s="60"/>
    </row>
    <row r="982" spans="1:11" s="61" customFormat="1" ht="18" customHeight="1">
      <c r="A982" s="58"/>
      <c r="B982" s="12" t="s">
        <v>843</v>
      </c>
      <c r="C982" s="58"/>
      <c r="D982" s="58"/>
      <c r="E982" s="58"/>
      <c r="F982" s="58"/>
      <c r="G982" s="62" t="s">
        <v>844</v>
      </c>
      <c r="H982" s="20"/>
      <c r="I982" s="18" t="s">
        <v>845</v>
      </c>
      <c r="J982" s="70" t="str">
        <f>IF(shinsei_KANRI1_TEL="","",shinsei_KANRI1_TEL)</f>
        <v/>
      </c>
      <c r="K982" s="60"/>
    </row>
    <row r="983" spans="1:11" s="61" customFormat="1" ht="18" customHeight="1">
      <c r="A983" s="58"/>
      <c r="B983" s="58"/>
      <c r="C983" s="58"/>
      <c r="D983" s="58"/>
      <c r="E983" s="58"/>
      <c r="F983" s="58"/>
      <c r="G983" s="62"/>
      <c r="H983" s="62"/>
      <c r="I983" s="18"/>
      <c r="J983" s="18"/>
      <c r="K983" s="60"/>
    </row>
    <row r="984" spans="1:11" s="61" customFormat="1" ht="18" customHeight="1">
      <c r="A984" s="58"/>
      <c r="B984" s="58" t="s">
        <v>846</v>
      </c>
      <c r="C984" s="58"/>
      <c r="D984" s="58"/>
      <c r="E984" s="58"/>
      <c r="F984" s="58"/>
      <c r="G984" s="62"/>
      <c r="H984" s="62"/>
      <c r="I984" s="18"/>
      <c r="J984" s="18"/>
      <c r="K984" s="60"/>
    </row>
    <row r="985" spans="1:11" s="61" customFormat="1" ht="18" customHeight="1">
      <c r="A985" s="58"/>
      <c r="B985" s="12" t="s">
        <v>801</v>
      </c>
      <c r="C985" s="58"/>
      <c r="D985" s="58"/>
      <c r="E985" s="58"/>
      <c r="F985" s="58"/>
      <c r="G985" s="62"/>
      <c r="H985" s="62"/>
      <c r="I985" s="18"/>
      <c r="J985" s="18"/>
      <c r="K985" s="60"/>
    </row>
    <row r="986" spans="1:11" s="61" customFormat="1" ht="18" customHeight="1">
      <c r="A986" s="58"/>
      <c r="B986" s="12"/>
      <c r="C986" s="12" t="s">
        <v>3302</v>
      </c>
      <c r="D986" s="58"/>
      <c r="E986" s="58"/>
      <c r="F986" s="58"/>
      <c r="G986" s="62" t="s">
        <v>847</v>
      </c>
      <c r="H986" s="20"/>
      <c r="I986" s="18" t="s">
        <v>848</v>
      </c>
      <c r="J986" s="70" t="str">
        <f>IF(shinsei_KANRI2_SIKAKU="","",shinsei_KANRI2_SIKAKU)</f>
        <v/>
      </c>
      <c r="K986" s="60"/>
    </row>
    <row r="987" spans="1:11" s="61" customFormat="1" ht="18" customHeight="1">
      <c r="A987" s="58"/>
      <c r="B987" s="12"/>
      <c r="C987" s="12" t="s">
        <v>3304</v>
      </c>
      <c r="D987" s="58"/>
      <c r="E987" s="58"/>
      <c r="F987" s="58"/>
      <c r="G987" s="62" t="s">
        <v>849</v>
      </c>
      <c r="H987" s="20"/>
      <c r="I987" s="18" t="s">
        <v>850</v>
      </c>
      <c r="J987" s="70" t="str">
        <f>IF(shinsei_KANRI2_TOUROKU_KIKAN="","",shinsei_KANRI2_TOUROKU_KIKAN)</f>
        <v/>
      </c>
      <c r="K987" s="60"/>
    </row>
    <row r="988" spans="1:11" s="61" customFormat="1" ht="18" customHeight="1">
      <c r="A988" s="58"/>
      <c r="B988" s="12"/>
      <c r="C988" s="12" t="s">
        <v>851</v>
      </c>
      <c r="D988" s="58"/>
      <c r="E988" s="58"/>
      <c r="F988" s="58"/>
      <c r="G988" s="62" t="s">
        <v>852</v>
      </c>
      <c r="H988" s="20"/>
      <c r="I988" s="18" t="s">
        <v>853</v>
      </c>
      <c r="J988" s="70" t="str">
        <f>IF(shinsei_KANRI2_KENSETUSI_NO="","",shinsei_KANRI2_KENSETUSI_NO)</f>
        <v/>
      </c>
      <c r="K988" s="60"/>
    </row>
    <row r="989" spans="1:11" s="61" customFormat="1" ht="18" customHeight="1">
      <c r="A989" s="58"/>
      <c r="B989" s="12" t="s">
        <v>806</v>
      </c>
      <c r="C989" s="12"/>
      <c r="D989" s="58"/>
      <c r="E989" s="58"/>
      <c r="F989" s="58"/>
      <c r="G989" s="62" t="s">
        <v>854</v>
      </c>
      <c r="H989" s="20"/>
      <c r="I989" s="18" t="s">
        <v>855</v>
      </c>
      <c r="J989" s="70" t="str">
        <f>IF(shinsei_KANRI2_NAME="","",shinsei_KANRI2_NAME)</f>
        <v/>
      </c>
      <c r="K989" s="60"/>
    </row>
    <row r="990" spans="1:11" s="61" customFormat="1" ht="18" customHeight="1">
      <c r="A990" s="58"/>
      <c r="B990" s="12" t="s">
        <v>3311</v>
      </c>
      <c r="C990" s="12"/>
      <c r="D990" s="58"/>
      <c r="E990" s="58"/>
      <c r="F990" s="58"/>
      <c r="G990" s="62"/>
      <c r="H990" s="62"/>
      <c r="I990" s="18"/>
      <c r="J990" s="18"/>
      <c r="K990" s="60"/>
    </row>
    <row r="991" spans="1:11" s="61" customFormat="1" ht="18" customHeight="1">
      <c r="A991" s="58"/>
      <c r="B991" s="12"/>
      <c r="C991" s="12" t="s">
        <v>3302</v>
      </c>
      <c r="D991" s="58"/>
      <c r="E991" s="58"/>
      <c r="F991" s="58"/>
      <c r="G991" s="62" t="s">
        <v>856</v>
      </c>
      <c r="H991" s="20"/>
      <c r="I991" s="18" t="s">
        <v>857</v>
      </c>
      <c r="J991" s="70" t="str">
        <f>IF(shinsei_KANRI2_JIMU_SIKAKU="","",shinsei_KANRI2_JIMU_SIKAKU)</f>
        <v/>
      </c>
      <c r="K991" s="60"/>
    </row>
    <row r="992" spans="1:11" s="61" customFormat="1" ht="18" customHeight="1">
      <c r="A992" s="58"/>
      <c r="B992" s="12"/>
      <c r="C992" s="12" t="s">
        <v>2156</v>
      </c>
      <c r="D992" s="58"/>
      <c r="E992" s="58"/>
      <c r="F992" s="58"/>
      <c r="G992" s="62" t="s">
        <v>858</v>
      </c>
      <c r="H992" s="20"/>
      <c r="I992" s="18" t="s">
        <v>859</v>
      </c>
      <c r="J992" s="70" t="str">
        <f>IF(shinsei_KANRI2_JIMU_TOUROKU_KIKAN="","",shinsei_KANRI2_JIMU_TOUROKU_KIKAN)</f>
        <v/>
      </c>
      <c r="K992" s="60"/>
    </row>
    <row r="993" spans="1:11" s="61" customFormat="1" ht="18" customHeight="1">
      <c r="A993" s="58"/>
      <c r="B993" s="12"/>
      <c r="C993" s="12" t="s">
        <v>3306</v>
      </c>
      <c r="D993" s="58"/>
      <c r="E993" s="58"/>
      <c r="F993" s="58"/>
      <c r="G993" s="62" t="s">
        <v>860</v>
      </c>
      <c r="H993" s="20"/>
      <c r="I993" s="18" t="s">
        <v>861</v>
      </c>
      <c r="J993" s="70" t="str">
        <f>IF(shinsei_KANRI2_JIMU_NO="","",shinsei_KANRI2_JIMU_NO)</f>
        <v/>
      </c>
      <c r="K993" s="60"/>
    </row>
    <row r="994" spans="1:11" s="61" customFormat="1" ht="18" customHeight="1">
      <c r="A994" s="58"/>
      <c r="B994" s="12" t="s">
        <v>862</v>
      </c>
      <c r="C994" s="58"/>
      <c r="D994" s="58"/>
      <c r="E994" s="58"/>
      <c r="F994" s="58"/>
      <c r="G994" s="62" t="s">
        <v>863</v>
      </c>
      <c r="H994" s="20"/>
      <c r="I994" s="18" t="s">
        <v>864</v>
      </c>
      <c r="J994" s="70" t="str">
        <f>IF(shinsei_KANRI2_JIMU_NAME="","",shinsei_KANRI2_JIMU_NAME)</f>
        <v/>
      </c>
      <c r="K994" s="60"/>
    </row>
    <row r="995" spans="1:11" s="61" customFormat="1" ht="18" customHeight="1">
      <c r="A995" s="58"/>
      <c r="B995" s="12" t="s">
        <v>2782</v>
      </c>
      <c r="C995" s="58"/>
      <c r="D995" s="58"/>
      <c r="E995" s="58"/>
      <c r="F995" s="58"/>
      <c r="G995" s="62" t="s">
        <v>865</v>
      </c>
      <c r="H995" s="20"/>
      <c r="I995" s="18" t="s">
        <v>866</v>
      </c>
      <c r="J995" s="70" t="str">
        <f>IF(shinsei_KANRI2_POST_CODE="","",shinsei_KANRI2_POST_CODE)</f>
        <v/>
      </c>
      <c r="K995" s="60"/>
    </row>
    <row r="996" spans="1:11" s="61" customFormat="1" ht="18" customHeight="1">
      <c r="A996" s="58"/>
      <c r="B996" s="12" t="s">
        <v>817</v>
      </c>
      <c r="C996" s="58"/>
      <c r="D996" s="58"/>
      <c r="E996" s="58"/>
      <c r="F996" s="58"/>
      <c r="G996" s="62" t="s">
        <v>867</v>
      </c>
      <c r="H996" s="20"/>
      <c r="I996" s="18" t="s">
        <v>868</v>
      </c>
      <c r="J996" s="70" t="str">
        <f>IF(shinsei_KANRI2__address="","",shinsei_KANRI2__address)</f>
        <v/>
      </c>
      <c r="K996" s="60"/>
    </row>
    <row r="997" spans="1:11" s="61" customFormat="1" ht="18" customHeight="1">
      <c r="A997" s="58"/>
      <c r="B997" s="12" t="s">
        <v>2785</v>
      </c>
      <c r="C997" s="58"/>
      <c r="D997" s="58"/>
      <c r="E997" s="58"/>
      <c r="F997" s="58"/>
      <c r="G997" s="62" t="s">
        <v>869</v>
      </c>
      <c r="H997" s="20"/>
      <c r="I997" s="18" t="s">
        <v>870</v>
      </c>
      <c r="J997" s="70" t="str">
        <f>IF(shinsei_KANRI2_TEL="","",shinsei_KANRI2_TEL)</f>
        <v/>
      </c>
      <c r="K997" s="60"/>
    </row>
    <row r="998" spans="1:11" s="61" customFormat="1" ht="18" customHeight="1">
      <c r="A998" s="58"/>
      <c r="B998" s="58"/>
      <c r="C998" s="58"/>
      <c r="D998" s="58"/>
      <c r="E998" s="58"/>
      <c r="F998" s="58"/>
      <c r="G998" s="62"/>
      <c r="H998" s="62"/>
      <c r="I998" s="18"/>
      <c r="J998" s="18"/>
      <c r="K998" s="60"/>
    </row>
    <row r="999" spans="1:11" s="61" customFormat="1" ht="18" customHeight="1">
      <c r="A999" s="58"/>
      <c r="B999" s="58" t="s">
        <v>871</v>
      </c>
      <c r="C999" s="58"/>
      <c r="D999" s="58"/>
      <c r="E999" s="58"/>
      <c r="F999" s="58"/>
      <c r="G999" s="62"/>
      <c r="H999" s="62"/>
      <c r="I999" s="18"/>
      <c r="J999" s="18"/>
      <c r="K999" s="60"/>
    </row>
    <row r="1000" spans="1:11" s="61" customFormat="1" ht="18" customHeight="1">
      <c r="A1000" s="58"/>
      <c r="B1000" s="12" t="s">
        <v>801</v>
      </c>
      <c r="C1000" s="58"/>
      <c r="D1000" s="58"/>
      <c r="E1000" s="58"/>
      <c r="F1000" s="58"/>
      <c r="G1000" s="62"/>
      <c r="H1000" s="62"/>
      <c r="I1000" s="18"/>
      <c r="J1000" s="18"/>
      <c r="K1000" s="60"/>
    </row>
    <row r="1001" spans="1:11" s="61" customFormat="1" ht="18" customHeight="1">
      <c r="A1001" s="58"/>
      <c r="B1001" s="12"/>
      <c r="C1001" s="12" t="s">
        <v>3302</v>
      </c>
      <c r="D1001" s="58"/>
      <c r="E1001" s="58"/>
      <c r="F1001" s="58"/>
      <c r="G1001" s="62" t="s">
        <v>872</v>
      </c>
      <c r="H1001" s="20"/>
      <c r="I1001" s="18" t="s">
        <v>873</v>
      </c>
      <c r="J1001" s="70" t="str">
        <f>IF(shinsei_KANRI3_SIKAKU="","",shinsei_KANRI3_SIKAKU)</f>
        <v/>
      </c>
      <c r="K1001" s="60"/>
    </row>
    <row r="1002" spans="1:11" s="61" customFormat="1" ht="18" customHeight="1">
      <c r="A1002" s="58"/>
      <c r="B1002" s="12"/>
      <c r="C1002" s="12" t="s">
        <v>3686</v>
      </c>
      <c r="D1002" s="58"/>
      <c r="E1002" s="58"/>
      <c r="F1002" s="58"/>
      <c r="G1002" s="62" t="s">
        <v>874</v>
      </c>
      <c r="H1002" s="20"/>
      <c r="I1002" s="18" t="s">
        <v>875</v>
      </c>
      <c r="J1002" s="70" t="str">
        <f>IF(shinsei_KANRI3_TOUROKU_KIKAN="","",shinsei_KANRI3_TOUROKU_KIKAN)</f>
        <v/>
      </c>
      <c r="K1002" s="60"/>
    </row>
    <row r="1003" spans="1:11" s="61" customFormat="1" ht="18" customHeight="1">
      <c r="A1003" s="58"/>
      <c r="B1003" s="12"/>
      <c r="C1003" s="12" t="s">
        <v>876</v>
      </c>
      <c r="D1003" s="58"/>
      <c r="E1003" s="58"/>
      <c r="F1003" s="58"/>
      <c r="G1003" s="62" t="s">
        <v>877</v>
      </c>
      <c r="H1003" s="20"/>
      <c r="I1003" s="18" t="s">
        <v>878</v>
      </c>
      <c r="J1003" s="70" t="str">
        <f>IF(shinsei_KANRI3_KENSETUSI_NO="","",shinsei_KANRI3_KENSETUSI_NO)</f>
        <v/>
      </c>
      <c r="K1003" s="60"/>
    </row>
    <row r="1004" spans="1:11" s="61" customFormat="1" ht="18" customHeight="1">
      <c r="A1004" s="58"/>
      <c r="B1004" s="12" t="s">
        <v>879</v>
      </c>
      <c r="C1004" s="12"/>
      <c r="D1004" s="58"/>
      <c r="E1004" s="58"/>
      <c r="F1004" s="58"/>
      <c r="G1004" s="62" t="s">
        <v>880</v>
      </c>
      <c r="H1004" s="20"/>
      <c r="I1004" s="18" t="s">
        <v>881</v>
      </c>
      <c r="J1004" s="70" t="str">
        <f>IF(shinsei_KANRI3_NAME="","",shinsei_KANRI3_NAME)</f>
        <v/>
      </c>
      <c r="K1004" s="60"/>
    </row>
    <row r="1005" spans="1:11" s="61" customFormat="1" ht="18" customHeight="1">
      <c r="A1005" s="58"/>
      <c r="B1005" s="12" t="s">
        <v>882</v>
      </c>
      <c r="C1005" s="12"/>
      <c r="D1005" s="58"/>
      <c r="E1005" s="58"/>
      <c r="F1005" s="58"/>
      <c r="G1005" s="62"/>
      <c r="H1005" s="62"/>
      <c r="I1005" s="18"/>
      <c r="J1005" s="18"/>
      <c r="K1005" s="60"/>
    </row>
    <row r="1006" spans="1:11" s="61" customFormat="1" ht="18" customHeight="1">
      <c r="A1006" s="58"/>
      <c r="B1006" s="12"/>
      <c r="C1006" s="12" t="s">
        <v>883</v>
      </c>
      <c r="D1006" s="58"/>
      <c r="E1006" s="58"/>
      <c r="F1006" s="58"/>
      <c r="G1006" s="62" t="s">
        <v>884</v>
      </c>
      <c r="H1006" s="20"/>
      <c r="I1006" s="18" t="s">
        <v>885</v>
      </c>
      <c r="J1006" s="70" t="str">
        <f>IF(shinsei_KANRI3_JIMU_SIKAKU="","",shinsei_KANRI3_JIMU_SIKAKU)</f>
        <v/>
      </c>
      <c r="K1006" s="60"/>
    </row>
    <row r="1007" spans="1:11" s="61" customFormat="1" ht="18" customHeight="1">
      <c r="A1007" s="58"/>
      <c r="B1007" s="12"/>
      <c r="C1007" s="12" t="s">
        <v>3304</v>
      </c>
      <c r="D1007" s="58"/>
      <c r="E1007" s="58"/>
      <c r="F1007" s="58"/>
      <c r="G1007" s="62" t="s">
        <v>886</v>
      </c>
      <c r="H1007" s="20"/>
      <c r="I1007" s="18" t="s">
        <v>887</v>
      </c>
      <c r="J1007" s="70" t="str">
        <f>IF(shinsei_KANRI3_JIMU_TOUROKU_KIKAN="","",shinsei_KANRI3_JIMU_TOUROKU_KIKAN)</f>
        <v/>
      </c>
      <c r="K1007" s="60"/>
    </row>
    <row r="1008" spans="1:11" s="61" customFormat="1" ht="18" customHeight="1">
      <c r="A1008" s="58"/>
      <c r="B1008" s="12"/>
      <c r="C1008" s="12" t="s">
        <v>3306</v>
      </c>
      <c r="D1008" s="58"/>
      <c r="E1008" s="58"/>
      <c r="F1008" s="58"/>
      <c r="G1008" s="62" t="s">
        <v>888</v>
      </c>
      <c r="H1008" s="20"/>
      <c r="I1008" s="18" t="s">
        <v>889</v>
      </c>
      <c r="J1008" s="70" t="str">
        <f>IF(shinsei_KANRI3_JIMU_NO="","",shinsei_KANRI3_JIMU_NO)</f>
        <v/>
      </c>
      <c r="K1008" s="60"/>
    </row>
    <row r="1009" spans="1:11" s="61" customFormat="1" ht="18" customHeight="1">
      <c r="A1009" s="58"/>
      <c r="B1009" s="12" t="s">
        <v>836</v>
      </c>
      <c r="C1009" s="58"/>
      <c r="D1009" s="58"/>
      <c r="E1009" s="58"/>
      <c r="F1009" s="58"/>
      <c r="G1009" s="62" t="s">
        <v>890</v>
      </c>
      <c r="H1009" s="20"/>
      <c r="I1009" s="18" t="s">
        <v>891</v>
      </c>
      <c r="J1009" s="70" t="str">
        <f>IF(shinsei_KANRI3_JIMU_NAME="","",shinsei_KANRI3_JIMU_NAME)</f>
        <v/>
      </c>
      <c r="K1009" s="60"/>
    </row>
    <row r="1010" spans="1:11" s="61" customFormat="1" ht="18" customHeight="1">
      <c r="A1010" s="58"/>
      <c r="B1010" s="12" t="s">
        <v>892</v>
      </c>
      <c r="C1010" s="58"/>
      <c r="D1010" s="58"/>
      <c r="E1010" s="58"/>
      <c r="F1010" s="58"/>
      <c r="G1010" s="62" t="s">
        <v>893</v>
      </c>
      <c r="H1010" s="20"/>
      <c r="I1010" s="18" t="s">
        <v>894</v>
      </c>
      <c r="J1010" s="70" t="str">
        <f>IF(shinsei_KANRI3_POST_CODE="","",shinsei_KANRI3_POST_CODE)</f>
        <v/>
      </c>
      <c r="K1010" s="60"/>
    </row>
    <row r="1011" spans="1:11" s="61" customFormat="1" ht="18" customHeight="1">
      <c r="A1011" s="58"/>
      <c r="B1011" s="12" t="s">
        <v>895</v>
      </c>
      <c r="C1011" s="58"/>
      <c r="D1011" s="58"/>
      <c r="E1011" s="58"/>
      <c r="F1011" s="58"/>
      <c r="G1011" s="62" t="s">
        <v>896</v>
      </c>
      <c r="H1011" s="20"/>
      <c r="I1011" s="18" t="s">
        <v>897</v>
      </c>
      <c r="J1011" s="70" t="str">
        <f>IF(shinsei_KANRI3__address="","",shinsei_KANRI3__address)</f>
        <v/>
      </c>
      <c r="K1011" s="60"/>
    </row>
    <row r="1012" spans="1:11" s="61" customFormat="1" ht="18" customHeight="1">
      <c r="A1012" s="58"/>
      <c r="B1012" s="12" t="s">
        <v>2785</v>
      </c>
      <c r="C1012" s="58"/>
      <c r="D1012" s="58"/>
      <c r="E1012" s="58"/>
      <c r="F1012" s="58"/>
      <c r="G1012" s="62" t="s">
        <v>898</v>
      </c>
      <c r="H1012" s="20"/>
      <c r="I1012" s="18" t="s">
        <v>899</v>
      </c>
      <c r="J1012" s="70" t="str">
        <f>IF(shinsei_KANRI3_TEL="","",shinsei_KANRI3_TEL)</f>
        <v/>
      </c>
      <c r="K1012" s="60"/>
    </row>
    <row r="1013" spans="1:11" s="61" customFormat="1" ht="18" customHeight="1">
      <c r="A1013" s="58"/>
      <c r="B1013" s="58"/>
      <c r="C1013" s="58"/>
      <c r="D1013" s="58"/>
      <c r="E1013" s="58"/>
      <c r="F1013" s="58"/>
      <c r="G1013" s="62"/>
      <c r="H1013" s="62"/>
      <c r="I1013" s="18"/>
      <c r="J1013" s="18"/>
      <c r="K1013" s="60"/>
    </row>
    <row r="1014" spans="1:11" s="61" customFormat="1" ht="18" customHeight="1">
      <c r="A1014" s="58"/>
      <c r="B1014" s="58" t="s">
        <v>900</v>
      </c>
      <c r="C1014" s="58"/>
      <c r="D1014" s="58"/>
      <c r="E1014" s="58"/>
      <c r="F1014" s="58"/>
      <c r="G1014" s="62"/>
      <c r="H1014" s="62"/>
      <c r="I1014" s="18"/>
      <c r="J1014" s="18"/>
      <c r="K1014" s="60"/>
    </row>
    <row r="1015" spans="1:11" s="61" customFormat="1" ht="18" customHeight="1">
      <c r="A1015" s="58"/>
      <c r="B1015" s="12" t="s">
        <v>801</v>
      </c>
      <c r="C1015" s="58"/>
      <c r="D1015" s="58"/>
      <c r="E1015" s="58"/>
      <c r="F1015" s="58"/>
      <c r="G1015" s="62"/>
      <c r="H1015" s="62"/>
      <c r="I1015" s="18"/>
      <c r="J1015" s="18"/>
      <c r="K1015" s="60"/>
    </row>
    <row r="1016" spans="1:11" s="61" customFormat="1" ht="18" customHeight="1">
      <c r="A1016" s="58"/>
      <c r="B1016" s="12"/>
      <c r="C1016" s="12" t="s">
        <v>3302</v>
      </c>
      <c r="D1016" s="58"/>
      <c r="E1016" s="58"/>
      <c r="F1016" s="58"/>
      <c r="G1016" s="62" t="s">
        <v>901</v>
      </c>
      <c r="H1016" s="20"/>
      <c r="I1016" s="18" t="s">
        <v>902</v>
      </c>
      <c r="J1016" s="70" t="str">
        <f>IF(shinsei_kanri04_SIKAKU="","",shinsei_kanri04_SIKAKU)</f>
        <v/>
      </c>
      <c r="K1016" s="60"/>
    </row>
    <row r="1017" spans="1:11" s="61" customFormat="1" ht="18" customHeight="1">
      <c r="A1017" s="58"/>
      <c r="B1017" s="12"/>
      <c r="C1017" s="12" t="s">
        <v>3304</v>
      </c>
      <c r="D1017" s="58"/>
      <c r="E1017" s="58"/>
      <c r="F1017" s="58"/>
      <c r="G1017" s="62" t="s">
        <v>903</v>
      </c>
      <c r="H1017" s="20"/>
      <c r="I1017" s="18" t="s">
        <v>904</v>
      </c>
      <c r="J1017" s="70" t="str">
        <f>IF(shinsei_kanri04_TOUROKU_KIKAN="","",shinsei_kanri04_TOUROKU_KIKAN)</f>
        <v/>
      </c>
      <c r="K1017" s="60"/>
    </row>
    <row r="1018" spans="1:11" s="61" customFormat="1" ht="18" customHeight="1">
      <c r="A1018" s="58"/>
      <c r="B1018" s="12"/>
      <c r="C1018" s="12" t="s">
        <v>3306</v>
      </c>
      <c r="D1018" s="58"/>
      <c r="E1018" s="58"/>
      <c r="F1018" s="58"/>
      <c r="G1018" s="62" t="s">
        <v>905</v>
      </c>
      <c r="H1018" s="20"/>
      <c r="I1018" s="18" t="s">
        <v>906</v>
      </c>
      <c r="J1018" s="70" t="str">
        <f>IF(shinsei_kanri04_KENSETUSI_NO="","",shinsei_kanri04_KENSETUSI_NO)</f>
        <v/>
      </c>
      <c r="K1018" s="60"/>
    </row>
    <row r="1019" spans="1:11" s="61" customFormat="1" ht="18" customHeight="1">
      <c r="A1019" s="58"/>
      <c r="B1019" s="12" t="s">
        <v>806</v>
      </c>
      <c r="C1019" s="12"/>
      <c r="D1019" s="58"/>
      <c r="E1019" s="58"/>
      <c r="F1019" s="58"/>
      <c r="G1019" s="62" t="s">
        <v>907</v>
      </c>
      <c r="H1019" s="20"/>
      <c r="I1019" s="18" t="s">
        <v>908</v>
      </c>
      <c r="J1019" s="70" t="str">
        <f>IF(shinsei_kanri04_NAME="","",shinsei_kanri04_NAME)</f>
        <v/>
      </c>
      <c r="K1019" s="60"/>
    </row>
    <row r="1020" spans="1:11" s="61" customFormat="1" ht="18" customHeight="1">
      <c r="A1020" s="58"/>
      <c r="B1020" s="12" t="s">
        <v>909</v>
      </c>
      <c r="C1020" s="12"/>
      <c r="D1020" s="58"/>
      <c r="E1020" s="58"/>
      <c r="F1020" s="58"/>
      <c r="G1020" s="62"/>
      <c r="H1020" s="62"/>
      <c r="I1020" s="18"/>
      <c r="J1020" s="18"/>
      <c r="K1020" s="60"/>
    </row>
    <row r="1021" spans="1:11" s="61" customFormat="1" ht="18" customHeight="1">
      <c r="A1021" s="58"/>
      <c r="B1021" s="12"/>
      <c r="C1021" s="12" t="s">
        <v>910</v>
      </c>
      <c r="D1021" s="58"/>
      <c r="E1021" s="58"/>
      <c r="F1021" s="58"/>
      <c r="G1021" s="62" t="s">
        <v>911</v>
      </c>
      <c r="H1021" s="20"/>
      <c r="I1021" s="18" t="s">
        <v>912</v>
      </c>
      <c r="J1021" s="70" t="str">
        <f>IF(shinsei_kanri04_JIMU_SIKAKU="","",shinsei_kanri04_JIMU_SIKAKU)</f>
        <v/>
      </c>
      <c r="K1021" s="60"/>
    </row>
    <row r="1022" spans="1:11" s="61" customFormat="1" ht="18" customHeight="1">
      <c r="A1022" s="58"/>
      <c r="B1022" s="12"/>
      <c r="C1022" s="12" t="s">
        <v>3304</v>
      </c>
      <c r="D1022" s="58"/>
      <c r="E1022" s="58"/>
      <c r="F1022" s="58"/>
      <c r="G1022" s="62" t="s">
        <v>913</v>
      </c>
      <c r="H1022" s="20"/>
      <c r="I1022" s="18" t="s">
        <v>914</v>
      </c>
      <c r="J1022" s="70" t="str">
        <f>IF(shinsei_kanri04_JIMU_TOUROKU_KIKAN="","",shinsei_kanri04_JIMU_TOUROKU_KIKAN)</f>
        <v/>
      </c>
      <c r="K1022" s="60"/>
    </row>
    <row r="1023" spans="1:11" s="61" customFormat="1" ht="18" customHeight="1">
      <c r="A1023" s="58"/>
      <c r="B1023" s="12"/>
      <c r="C1023" s="12" t="s">
        <v>3604</v>
      </c>
      <c r="D1023" s="58"/>
      <c r="E1023" s="58"/>
      <c r="F1023" s="58"/>
      <c r="G1023" s="62" t="s">
        <v>915</v>
      </c>
      <c r="H1023" s="20"/>
      <c r="I1023" s="18" t="s">
        <v>916</v>
      </c>
      <c r="J1023" s="70" t="str">
        <f>IF(shinsei_kanri04_JIMU_NO="","",shinsei_kanri04_JIMU_NO)</f>
        <v/>
      </c>
      <c r="K1023" s="60"/>
    </row>
    <row r="1024" spans="1:11" s="61" customFormat="1" ht="18" customHeight="1">
      <c r="A1024" s="58"/>
      <c r="B1024" s="12" t="s">
        <v>811</v>
      </c>
      <c r="C1024" s="58"/>
      <c r="D1024" s="58"/>
      <c r="E1024" s="58"/>
      <c r="F1024" s="58"/>
      <c r="G1024" s="62" t="s">
        <v>917</v>
      </c>
      <c r="H1024" s="20"/>
      <c r="I1024" s="18" t="s">
        <v>918</v>
      </c>
      <c r="J1024" s="70" t="str">
        <f>IF(shinsei_kanri04_JIMU_NAME="","",shinsei_kanri04_JIMU_NAME)</f>
        <v/>
      </c>
      <c r="K1024" s="60"/>
    </row>
    <row r="1025" spans="1:11" s="61" customFormat="1" ht="18" customHeight="1">
      <c r="A1025" s="58"/>
      <c r="B1025" s="12" t="s">
        <v>2782</v>
      </c>
      <c r="C1025" s="58"/>
      <c r="D1025" s="58"/>
      <c r="E1025" s="58"/>
      <c r="F1025" s="58"/>
      <c r="G1025" s="62" t="s">
        <v>919</v>
      </c>
      <c r="H1025" s="20"/>
      <c r="I1025" s="18" t="s">
        <v>920</v>
      </c>
      <c r="J1025" s="70" t="str">
        <f>IF(shinsei_kanri04_POST_CODE="","",shinsei_kanri04_POST_CODE)</f>
        <v/>
      </c>
      <c r="K1025" s="60"/>
    </row>
    <row r="1026" spans="1:11" s="61" customFormat="1" ht="18" customHeight="1">
      <c r="A1026" s="58"/>
      <c r="B1026" s="12" t="s">
        <v>895</v>
      </c>
      <c r="C1026" s="58"/>
      <c r="D1026" s="58"/>
      <c r="E1026" s="58"/>
      <c r="F1026" s="58"/>
      <c r="G1026" s="62" t="s">
        <v>921</v>
      </c>
      <c r="H1026" s="20"/>
      <c r="I1026" s="18" t="s">
        <v>922</v>
      </c>
      <c r="J1026" s="70" t="str">
        <f>IF(shinsei_kanri04__address="","",shinsei_kanri04__address)</f>
        <v/>
      </c>
      <c r="K1026" s="60"/>
    </row>
    <row r="1027" spans="1:11" s="61" customFormat="1" ht="18" customHeight="1">
      <c r="A1027" s="58"/>
      <c r="B1027" s="12" t="s">
        <v>923</v>
      </c>
      <c r="C1027" s="58"/>
      <c r="D1027" s="58"/>
      <c r="E1027" s="58"/>
      <c r="F1027" s="58"/>
      <c r="G1027" s="62" t="s">
        <v>924</v>
      </c>
      <c r="H1027" s="20"/>
      <c r="I1027" s="18" t="s">
        <v>925</v>
      </c>
      <c r="J1027" s="70" t="str">
        <f>IF(shinsei_kanri04_TEL="","",shinsei_kanri04_TEL)</f>
        <v/>
      </c>
      <c r="K1027" s="60"/>
    </row>
    <row r="1028" spans="1:11" s="61" customFormat="1" ht="18" customHeight="1">
      <c r="A1028" s="58"/>
      <c r="B1028" s="58"/>
      <c r="C1028" s="58"/>
      <c r="D1028" s="58"/>
      <c r="E1028" s="58"/>
      <c r="F1028" s="58"/>
      <c r="G1028" s="62"/>
      <c r="H1028" s="62"/>
      <c r="I1028" s="18"/>
      <c r="J1028" s="18"/>
      <c r="K1028" s="60"/>
    </row>
    <row r="1029" spans="1:11" s="61" customFormat="1" ht="18" customHeight="1">
      <c r="A1029" s="58"/>
      <c r="B1029" s="58" t="s">
        <v>926</v>
      </c>
      <c r="C1029" s="58"/>
      <c r="D1029" s="58"/>
      <c r="E1029" s="58"/>
      <c r="F1029" s="58"/>
      <c r="G1029" s="62"/>
      <c r="H1029" s="62"/>
      <c r="I1029" s="18"/>
      <c r="J1029" s="18"/>
      <c r="K1029" s="60"/>
    </row>
    <row r="1030" spans="1:11" s="61" customFormat="1" ht="18" customHeight="1">
      <c r="A1030" s="58"/>
      <c r="B1030" s="12" t="s">
        <v>927</v>
      </c>
      <c r="C1030" s="58"/>
      <c r="D1030" s="58"/>
      <c r="E1030" s="58"/>
      <c r="F1030" s="58"/>
      <c r="G1030" s="62"/>
      <c r="H1030" s="62"/>
      <c r="I1030" s="18"/>
      <c r="J1030" s="18"/>
      <c r="K1030" s="60"/>
    </row>
    <row r="1031" spans="1:11" s="61" customFormat="1" ht="18" customHeight="1">
      <c r="A1031" s="58"/>
      <c r="B1031" s="12"/>
      <c r="C1031" s="12" t="s">
        <v>928</v>
      </c>
      <c r="D1031" s="58"/>
      <c r="E1031" s="58"/>
      <c r="F1031" s="58"/>
      <c r="G1031" s="62" t="s">
        <v>929</v>
      </c>
      <c r="H1031" s="20"/>
      <c r="I1031" s="18" t="s">
        <v>930</v>
      </c>
      <c r="J1031" s="70" t="str">
        <f>IF(shinsei_kanri05_SIKAKU="","",shinsei_kanri05_SIKAKU)</f>
        <v/>
      </c>
      <c r="K1031" s="60"/>
    </row>
    <row r="1032" spans="1:11" s="61" customFormat="1" ht="18" customHeight="1">
      <c r="A1032" s="58"/>
      <c r="B1032" s="12"/>
      <c r="C1032" s="12" t="s">
        <v>931</v>
      </c>
      <c r="D1032" s="58"/>
      <c r="E1032" s="58"/>
      <c r="F1032" s="58"/>
      <c r="G1032" s="62" t="s">
        <v>932</v>
      </c>
      <c r="H1032" s="20"/>
      <c r="I1032" s="18" t="s">
        <v>933</v>
      </c>
      <c r="J1032" s="70" t="str">
        <f>IF(shinsei_kanri05_TOUROKU_KIKAN="","",shinsei_kanri05_TOUROKU_KIKAN)</f>
        <v/>
      </c>
      <c r="K1032" s="60"/>
    </row>
    <row r="1033" spans="1:11" s="61" customFormat="1" ht="18" customHeight="1">
      <c r="A1033" s="58"/>
      <c r="B1033" s="12"/>
      <c r="C1033" s="12" t="s">
        <v>3306</v>
      </c>
      <c r="D1033" s="58"/>
      <c r="E1033" s="58"/>
      <c r="F1033" s="58"/>
      <c r="G1033" s="62" t="s">
        <v>934</v>
      </c>
      <c r="H1033" s="20"/>
      <c r="I1033" s="18" t="s">
        <v>935</v>
      </c>
      <c r="J1033" s="70" t="str">
        <f>IF(shinsei_kanri05_KENSETUSI_NO="","",shinsei_kanri05_KENSETUSI_NO)</f>
        <v/>
      </c>
      <c r="K1033" s="60"/>
    </row>
    <row r="1034" spans="1:11" s="61" customFormat="1" ht="18" customHeight="1">
      <c r="A1034" s="58"/>
      <c r="B1034" s="12" t="s">
        <v>806</v>
      </c>
      <c r="C1034" s="12"/>
      <c r="D1034" s="58"/>
      <c r="E1034" s="58"/>
      <c r="F1034" s="58"/>
      <c r="G1034" s="62" t="s">
        <v>936</v>
      </c>
      <c r="H1034" s="20"/>
      <c r="I1034" s="18" t="s">
        <v>937</v>
      </c>
      <c r="J1034" s="70" t="str">
        <f>IF(shinsei_kanri05_NAME="","",shinsei_kanri05_NAME)</f>
        <v/>
      </c>
      <c r="K1034" s="60"/>
    </row>
    <row r="1035" spans="1:11" s="61" customFormat="1" ht="18" customHeight="1">
      <c r="A1035" s="58"/>
      <c r="B1035" s="12" t="s">
        <v>3311</v>
      </c>
      <c r="C1035" s="12"/>
      <c r="D1035" s="58"/>
      <c r="E1035" s="58"/>
      <c r="F1035" s="58"/>
      <c r="G1035" s="62"/>
      <c r="H1035" s="62"/>
      <c r="I1035" s="18"/>
      <c r="J1035" s="18"/>
      <c r="K1035" s="60"/>
    </row>
    <row r="1036" spans="1:11" s="61" customFormat="1" ht="18" customHeight="1">
      <c r="A1036" s="58"/>
      <c r="B1036" s="12"/>
      <c r="C1036" s="12" t="s">
        <v>3302</v>
      </c>
      <c r="D1036" s="58"/>
      <c r="E1036" s="58"/>
      <c r="F1036" s="58"/>
      <c r="G1036" s="62" t="s">
        <v>938</v>
      </c>
      <c r="H1036" s="20"/>
      <c r="I1036" s="18" t="s">
        <v>939</v>
      </c>
      <c r="J1036" s="70" t="str">
        <f>IF(shinsei_kanri05_JIMU_SIKAKU="","",shinsei_kanri05_JIMU_SIKAKU)</f>
        <v/>
      </c>
      <c r="K1036" s="60"/>
    </row>
    <row r="1037" spans="1:11" s="61" customFormat="1" ht="18" customHeight="1">
      <c r="A1037" s="58"/>
      <c r="B1037" s="12"/>
      <c r="C1037" s="12" t="s">
        <v>3304</v>
      </c>
      <c r="D1037" s="58"/>
      <c r="E1037" s="58"/>
      <c r="F1037" s="58"/>
      <c r="G1037" s="62" t="s">
        <v>940</v>
      </c>
      <c r="H1037" s="20"/>
      <c r="I1037" s="18" t="s">
        <v>941</v>
      </c>
      <c r="J1037" s="70" t="str">
        <f>IF(shinsei_kanri05_JIMU_TOUROKU_KIKAN="","",shinsei_kanri05_JIMU_TOUROKU_KIKAN)</f>
        <v/>
      </c>
      <c r="K1037" s="60"/>
    </row>
    <row r="1038" spans="1:11" s="61" customFormat="1" ht="18" customHeight="1">
      <c r="A1038" s="58"/>
      <c r="B1038" s="12"/>
      <c r="C1038" s="12" t="s">
        <v>942</v>
      </c>
      <c r="D1038" s="58"/>
      <c r="E1038" s="58"/>
      <c r="F1038" s="58"/>
      <c r="G1038" s="62" t="s">
        <v>943</v>
      </c>
      <c r="H1038" s="20"/>
      <c r="I1038" s="18" t="s">
        <v>944</v>
      </c>
      <c r="J1038" s="70" t="str">
        <f>IF(shinsei_kanri05_JIMU_NO="","",shinsei_kanri05_JIMU_NO)</f>
        <v/>
      </c>
      <c r="K1038" s="60"/>
    </row>
    <row r="1039" spans="1:11" s="61" customFormat="1" ht="18" customHeight="1">
      <c r="A1039" s="58"/>
      <c r="B1039" s="12" t="s">
        <v>945</v>
      </c>
      <c r="C1039" s="58"/>
      <c r="D1039" s="58"/>
      <c r="E1039" s="58"/>
      <c r="F1039" s="58"/>
      <c r="G1039" s="62" t="s">
        <v>946</v>
      </c>
      <c r="H1039" s="20"/>
      <c r="I1039" s="18" t="s">
        <v>947</v>
      </c>
      <c r="J1039" s="70" t="str">
        <f>IF(shinsei_kanri05_JIMU_NAME="","",shinsei_kanri05_JIMU_NAME)</f>
        <v/>
      </c>
      <c r="K1039" s="60"/>
    </row>
    <row r="1040" spans="1:11" s="61" customFormat="1" ht="18" customHeight="1">
      <c r="A1040" s="58"/>
      <c r="B1040" s="12" t="s">
        <v>948</v>
      </c>
      <c r="C1040" s="58"/>
      <c r="D1040" s="58"/>
      <c r="E1040" s="58"/>
      <c r="F1040" s="58"/>
      <c r="G1040" s="62" t="s">
        <v>949</v>
      </c>
      <c r="H1040" s="20"/>
      <c r="I1040" s="18" t="s">
        <v>950</v>
      </c>
      <c r="J1040" s="70" t="str">
        <f>IF(shinsei_kanri05_POST_CODE="","",shinsei_kanri05_POST_CODE)</f>
        <v/>
      </c>
      <c r="K1040" s="60"/>
    </row>
    <row r="1041" spans="1:11" s="61" customFormat="1" ht="18" customHeight="1">
      <c r="A1041" s="58"/>
      <c r="B1041" s="12" t="s">
        <v>951</v>
      </c>
      <c r="C1041" s="58"/>
      <c r="D1041" s="58"/>
      <c r="E1041" s="58"/>
      <c r="F1041" s="58"/>
      <c r="G1041" s="62" t="s">
        <v>952</v>
      </c>
      <c r="H1041" s="20"/>
      <c r="I1041" s="18" t="s">
        <v>953</v>
      </c>
      <c r="J1041" s="70" t="str">
        <f>IF(shinsei_kanri05__address="","",shinsei_kanri05__address)</f>
        <v/>
      </c>
      <c r="K1041" s="60"/>
    </row>
    <row r="1042" spans="1:11" s="61" customFormat="1" ht="18" customHeight="1">
      <c r="A1042" s="58"/>
      <c r="B1042" s="12" t="s">
        <v>2785</v>
      </c>
      <c r="C1042" s="58"/>
      <c r="D1042" s="58"/>
      <c r="E1042" s="58"/>
      <c r="F1042" s="58"/>
      <c r="G1042" s="62" t="s">
        <v>954</v>
      </c>
      <c r="H1042" s="20"/>
      <c r="I1042" s="18" t="s">
        <v>955</v>
      </c>
      <c r="J1042" s="70" t="str">
        <f>IF(shinsei_kanri05_TEL="","",shinsei_kanri05_TEL)</f>
        <v/>
      </c>
      <c r="K1042" s="60"/>
    </row>
    <row r="1043" spans="1:11" s="61" customFormat="1" ht="18" customHeight="1">
      <c r="A1043" s="58"/>
      <c r="B1043" s="58"/>
      <c r="C1043" s="58"/>
      <c r="D1043" s="58"/>
      <c r="E1043" s="58"/>
      <c r="F1043" s="58"/>
      <c r="G1043" s="62"/>
      <c r="H1043" s="62"/>
      <c r="I1043" s="18"/>
      <c r="J1043" s="18"/>
      <c r="K1043" s="60"/>
    </row>
    <row r="1044" spans="1:11" s="61" customFormat="1" ht="18" customHeight="1">
      <c r="A1044" s="58"/>
      <c r="B1044" s="58" t="s">
        <v>956</v>
      </c>
      <c r="C1044" s="58"/>
      <c r="D1044" s="58"/>
      <c r="E1044" s="58"/>
      <c r="F1044" s="58"/>
      <c r="G1044" s="62"/>
      <c r="H1044" s="62"/>
      <c r="I1044" s="18"/>
      <c r="J1044" s="18"/>
      <c r="K1044" s="60"/>
    </row>
    <row r="1045" spans="1:11" s="61" customFormat="1" ht="18" customHeight="1">
      <c r="A1045" s="58"/>
      <c r="B1045" s="12" t="s">
        <v>801</v>
      </c>
      <c r="C1045" s="58"/>
      <c r="D1045" s="58"/>
      <c r="E1045" s="58"/>
      <c r="F1045" s="58"/>
      <c r="G1045" s="62"/>
      <c r="H1045" s="62"/>
      <c r="I1045" s="18"/>
      <c r="J1045" s="18"/>
      <c r="K1045" s="60"/>
    </row>
    <row r="1046" spans="1:11" s="61" customFormat="1" ht="18" customHeight="1">
      <c r="A1046" s="58"/>
      <c r="B1046" s="12"/>
      <c r="C1046" s="12" t="s">
        <v>3302</v>
      </c>
      <c r="D1046" s="58"/>
      <c r="E1046" s="58"/>
      <c r="F1046" s="58"/>
      <c r="G1046" s="62" t="s">
        <v>957</v>
      </c>
      <c r="H1046" s="20"/>
      <c r="I1046" s="18" t="s">
        <v>958</v>
      </c>
      <c r="J1046" s="70" t="str">
        <f>IF(shinsei_kanri06_SIKAKU="","",shinsei_kanri06_SIKAKU)</f>
        <v/>
      </c>
      <c r="K1046" s="60"/>
    </row>
    <row r="1047" spans="1:11" s="61" customFormat="1" ht="18" customHeight="1">
      <c r="A1047" s="58"/>
      <c r="B1047" s="12"/>
      <c r="C1047" s="12" t="s">
        <v>959</v>
      </c>
      <c r="D1047" s="58"/>
      <c r="E1047" s="58"/>
      <c r="F1047" s="58"/>
      <c r="G1047" s="62" t="s">
        <v>960</v>
      </c>
      <c r="H1047" s="20"/>
      <c r="I1047" s="18" t="s">
        <v>961</v>
      </c>
      <c r="J1047" s="70" t="str">
        <f>IF(shinsei_kanri06_TOUROKU_KIKAN="","",shinsei_kanri06_TOUROKU_KIKAN)</f>
        <v/>
      </c>
      <c r="K1047" s="60"/>
    </row>
    <row r="1048" spans="1:11" s="61" customFormat="1" ht="18" customHeight="1">
      <c r="A1048" s="58"/>
      <c r="B1048" s="12"/>
      <c r="C1048" s="12" t="s">
        <v>962</v>
      </c>
      <c r="D1048" s="58"/>
      <c r="E1048" s="58"/>
      <c r="F1048" s="58"/>
      <c r="G1048" s="62" t="s">
        <v>963</v>
      </c>
      <c r="H1048" s="20"/>
      <c r="I1048" s="18" t="s">
        <v>964</v>
      </c>
      <c r="J1048" s="70" t="str">
        <f>IF(shinsei_kanri06_KENSETUSI_NO="","",shinsei_kanri06_KENSETUSI_NO)</f>
        <v/>
      </c>
      <c r="K1048" s="60"/>
    </row>
    <row r="1049" spans="1:11" s="61" customFormat="1" ht="18" customHeight="1">
      <c r="A1049" s="58"/>
      <c r="B1049" s="12" t="s">
        <v>806</v>
      </c>
      <c r="C1049" s="12"/>
      <c r="D1049" s="58"/>
      <c r="E1049" s="58"/>
      <c r="F1049" s="58"/>
      <c r="G1049" s="62" t="s">
        <v>965</v>
      </c>
      <c r="H1049" s="20"/>
      <c r="I1049" s="18" t="s">
        <v>966</v>
      </c>
      <c r="J1049" s="70" t="str">
        <f>IF(shinsei_kanri06_NAME="","",shinsei_kanri06_NAME)</f>
        <v/>
      </c>
      <c r="K1049" s="60"/>
    </row>
    <row r="1050" spans="1:11" s="61" customFormat="1" ht="18" customHeight="1">
      <c r="A1050" s="58"/>
      <c r="B1050" s="12" t="s">
        <v>967</v>
      </c>
      <c r="C1050" s="12"/>
      <c r="D1050" s="58"/>
      <c r="E1050" s="58"/>
      <c r="F1050" s="58"/>
      <c r="G1050" s="62"/>
      <c r="H1050" s="62"/>
      <c r="I1050" s="18"/>
      <c r="J1050" s="18"/>
      <c r="K1050" s="60"/>
    </row>
    <row r="1051" spans="1:11" s="61" customFormat="1" ht="18" customHeight="1">
      <c r="A1051" s="58"/>
      <c r="B1051" s="12"/>
      <c r="C1051" s="12" t="s">
        <v>928</v>
      </c>
      <c r="D1051" s="58"/>
      <c r="E1051" s="58"/>
      <c r="F1051" s="58"/>
      <c r="G1051" s="62" t="s">
        <v>968</v>
      </c>
      <c r="H1051" s="20"/>
      <c r="I1051" s="18" t="s">
        <v>969</v>
      </c>
      <c r="J1051" s="70" t="str">
        <f>IF(shinsei_kanri06_JIMU_SIKAKU="","",shinsei_kanri06_JIMU_SIKAKU)</f>
        <v/>
      </c>
      <c r="K1051" s="60"/>
    </row>
    <row r="1052" spans="1:11" s="61" customFormat="1" ht="18" customHeight="1">
      <c r="A1052" s="58"/>
      <c r="B1052" s="12"/>
      <c r="C1052" s="12" t="s">
        <v>931</v>
      </c>
      <c r="D1052" s="58"/>
      <c r="E1052" s="58"/>
      <c r="F1052" s="58"/>
      <c r="G1052" s="62" t="s">
        <v>970</v>
      </c>
      <c r="H1052" s="20"/>
      <c r="I1052" s="18" t="s">
        <v>971</v>
      </c>
      <c r="J1052" s="70" t="str">
        <f>IF(shinsei_kanri06_JIMU_TOUROKU_KIKAN="","",shinsei_kanri06_JIMU_TOUROKU_KIKAN)</f>
        <v/>
      </c>
      <c r="K1052" s="60"/>
    </row>
    <row r="1053" spans="1:11" s="61" customFormat="1" ht="18" customHeight="1">
      <c r="A1053" s="58"/>
      <c r="B1053" s="12"/>
      <c r="C1053" s="12" t="s">
        <v>3306</v>
      </c>
      <c r="D1053" s="58"/>
      <c r="E1053" s="58"/>
      <c r="F1053" s="58"/>
      <c r="G1053" s="62" t="s">
        <v>972</v>
      </c>
      <c r="H1053" s="20"/>
      <c r="I1053" s="18" t="s">
        <v>973</v>
      </c>
      <c r="J1053" s="70" t="str">
        <f>IF(shinsei_kanri06_JIMU_NO="","",shinsei_kanri06_JIMU_NO)</f>
        <v/>
      </c>
      <c r="K1053" s="60"/>
    </row>
    <row r="1054" spans="1:11" s="61" customFormat="1" ht="18" customHeight="1">
      <c r="A1054" s="58"/>
      <c r="B1054" s="12" t="s">
        <v>811</v>
      </c>
      <c r="C1054" s="58"/>
      <c r="D1054" s="58"/>
      <c r="E1054" s="58"/>
      <c r="F1054" s="58"/>
      <c r="G1054" s="62" t="s">
        <v>974</v>
      </c>
      <c r="H1054" s="20"/>
      <c r="I1054" s="18" t="s">
        <v>975</v>
      </c>
      <c r="J1054" s="70" t="str">
        <f>IF(shinsei_kanri06_JIMU_NAME="","",shinsei_kanri06_JIMU_NAME)</f>
        <v/>
      </c>
      <c r="K1054" s="60"/>
    </row>
    <row r="1055" spans="1:11" s="61" customFormat="1" ht="18" customHeight="1">
      <c r="A1055" s="58"/>
      <c r="B1055" s="12" t="s">
        <v>2782</v>
      </c>
      <c r="C1055" s="58"/>
      <c r="D1055" s="58"/>
      <c r="E1055" s="58"/>
      <c r="F1055" s="58"/>
      <c r="G1055" s="62" t="s">
        <v>976</v>
      </c>
      <c r="H1055" s="20"/>
      <c r="I1055" s="18" t="s">
        <v>977</v>
      </c>
      <c r="J1055" s="70" t="str">
        <f>IF(shinsei_kanri06_POST_CODE="","",shinsei_kanri06_POST_CODE)</f>
        <v/>
      </c>
      <c r="K1055" s="60"/>
    </row>
    <row r="1056" spans="1:11" s="61" customFormat="1" ht="18" customHeight="1">
      <c r="A1056" s="58"/>
      <c r="B1056" s="12" t="s">
        <v>816</v>
      </c>
      <c r="C1056" s="58"/>
      <c r="D1056" s="58"/>
      <c r="E1056" s="58"/>
      <c r="F1056" s="58"/>
      <c r="G1056" s="62" t="s">
        <v>978</v>
      </c>
      <c r="H1056" s="20"/>
      <c r="I1056" s="18" t="s">
        <v>979</v>
      </c>
      <c r="J1056" s="70" t="str">
        <f>IF(shinsei_kanri06__address="","",shinsei_kanri06__address)</f>
        <v/>
      </c>
      <c r="K1056" s="60"/>
    </row>
    <row r="1057" spans="1:11" s="61" customFormat="1" ht="18" customHeight="1">
      <c r="A1057" s="58"/>
      <c r="B1057" s="12" t="s">
        <v>980</v>
      </c>
      <c r="C1057" s="58"/>
      <c r="D1057" s="58"/>
      <c r="E1057" s="58"/>
      <c r="F1057" s="58"/>
      <c r="G1057" s="62" t="s">
        <v>981</v>
      </c>
      <c r="H1057" s="20"/>
      <c r="I1057" s="18" t="s">
        <v>982</v>
      </c>
      <c r="J1057" s="70" t="str">
        <f>IF(shinsei_kanri06_TEL="","",shinsei_kanri06_TEL)</f>
        <v/>
      </c>
      <c r="K1057" s="60"/>
    </row>
    <row r="1058" spans="1:11" s="61" customFormat="1" ht="18" customHeight="1">
      <c r="A1058" s="58"/>
      <c r="B1058" s="58"/>
      <c r="C1058" s="58"/>
      <c r="D1058" s="58"/>
      <c r="E1058" s="58"/>
      <c r="F1058" s="58"/>
      <c r="G1058" s="62"/>
      <c r="H1058" s="62"/>
      <c r="I1058" s="18"/>
      <c r="J1058" s="18"/>
      <c r="K1058" s="60"/>
    </row>
    <row r="1059" spans="1:11" s="61" customFormat="1" ht="18" customHeight="1">
      <c r="A1059" s="58"/>
      <c r="B1059" s="58" t="s">
        <v>983</v>
      </c>
      <c r="C1059" s="58"/>
      <c r="D1059" s="58"/>
      <c r="E1059" s="58"/>
      <c r="F1059" s="58"/>
      <c r="G1059" s="62"/>
      <c r="H1059" s="62"/>
      <c r="I1059" s="18"/>
      <c r="J1059" s="18"/>
      <c r="K1059" s="60"/>
    </row>
    <row r="1060" spans="1:11" s="61" customFormat="1" ht="18" customHeight="1">
      <c r="A1060" s="58"/>
      <c r="B1060" s="12" t="s">
        <v>984</v>
      </c>
      <c r="C1060" s="58"/>
      <c r="D1060" s="58"/>
      <c r="E1060" s="58"/>
      <c r="F1060" s="58"/>
      <c r="G1060" s="62"/>
      <c r="H1060" s="62"/>
      <c r="I1060" s="18"/>
      <c r="J1060" s="18"/>
      <c r="K1060" s="60"/>
    </row>
    <row r="1061" spans="1:11" s="61" customFormat="1" ht="18" customHeight="1">
      <c r="A1061" s="58"/>
      <c r="B1061" s="12"/>
      <c r="C1061" s="12" t="s">
        <v>985</v>
      </c>
      <c r="D1061" s="58"/>
      <c r="E1061" s="58"/>
      <c r="F1061" s="58"/>
      <c r="G1061" s="62" t="s">
        <v>986</v>
      </c>
      <c r="H1061" s="20"/>
      <c r="I1061" s="18" t="s">
        <v>987</v>
      </c>
      <c r="J1061" s="70" t="str">
        <f>IF(shinsei_kanri07_SIKAKU="","",shinsei_kanri07_SIKAKU)</f>
        <v/>
      </c>
      <c r="K1061" s="60"/>
    </row>
    <row r="1062" spans="1:11" s="61" customFormat="1" ht="18" customHeight="1">
      <c r="A1062" s="58"/>
      <c r="B1062" s="12"/>
      <c r="C1062" s="12" t="s">
        <v>988</v>
      </c>
      <c r="D1062" s="58"/>
      <c r="E1062" s="58"/>
      <c r="F1062" s="58"/>
      <c r="G1062" s="62" t="s">
        <v>989</v>
      </c>
      <c r="H1062" s="20"/>
      <c r="I1062" s="18" t="s">
        <v>990</v>
      </c>
      <c r="J1062" s="70" t="str">
        <f>IF(shinsei_kanri07_TOUROKU_KIKAN="","",shinsei_kanri07_TOUROKU_KIKAN)</f>
        <v/>
      </c>
      <c r="K1062" s="60"/>
    </row>
    <row r="1063" spans="1:11" s="61" customFormat="1" ht="18" customHeight="1">
      <c r="A1063" s="58"/>
      <c r="B1063" s="12"/>
      <c r="C1063" s="12" t="s">
        <v>991</v>
      </c>
      <c r="D1063" s="58"/>
      <c r="E1063" s="58"/>
      <c r="F1063" s="58"/>
      <c r="G1063" s="62" t="s">
        <v>992</v>
      </c>
      <c r="H1063" s="20"/>
      <c r="I1063" s="18" t="s">
        <v>993</v>
      </c>
      <c r="J1063" s="70" t="str">
        <f>IF(shinsei_kanri07_KENSETUSI_NO="","",shinsei_kanri07_KENSETUSI_NO)</f>
        <v/>
      </c>
      <c r="K1063" s="60"/>
    </row>
    <row r="1064" spans="1:11" s="61" customFormat="1" ht="18" customHeight="1">
      <c r="A1064" s="58"/>
      <c r="B1064" s="12" t="s">
        <v>806</v>
      </c>
      <c r="C1064" s="12"/>
      <c r="D1064" s="58"/>
      <c r="E1064" s="58"/>
      <c r="F1064" s="58"/>
      <c r="G1064" s="62" t="s">
        <v>994</v>
      </c>
      <c r="H1064" s="20"/>
      <c r="I1064" s="18" t="s">
        <v>995</v>
      </c>
      <c r="J1064" s="70" t="str">
        <f>IF(shinsei_kanri07_NAME="","",shinsei_kanri07_NAME)</f>
        <v/>
      </c>
      <c r="K1064" s="60"/>
    </row>
    <row r="1065" spans="1:11" s="61" customFormat="1" ht="18" customHeight="1">
      <c r="A1065" s="58"/>
      <c r="B1065" s="12" t="s">
        <v>3311</v>
      </c>
      <c r="C1065" s="12"/>
      <c r="D1065" s="58"/>
      <c r="E1065" s="58"/>
      <c r="F1065" s="58"/>
      <c r="G1065" s="62"/>
      <c r="H1065" s="62"/>
      <c r="I1065" s="18"/>
      <c r="J1065" s="18"/>
      <c r="K1065" s="60"/>
    </row>
    <row r="1066" spans="1:11" s="61" customFormat="1" ht="18" customHeight="1">
      <c r="A1066" s="58"/>
      <c r="B1066" s="12"/>
      <c r="C1066" s="12" t="s">
        <v>3302</v>
      </c>
      <c r="D1066" s="58"/>
      <c r="E1066" s="58"/>
      <c r="F1066" s="58"/>
      <c r="G1066" s="62" t="s">
        <v>996</v>
      </c>
      <c r="H1066" s="20"/>
      <c r="I1066" s="18" t="s">
        <v>997</v>
      </c>
      <c r="J1066" s="70" t="str">
        <f>IF(shinsei_kanri07_JIMU_SIKAKU="","",shinsei_kanri07_JIMU_SIKAKU)</f>
        <v/>
      </c>
      <c r="K1066" s="60"/>
    </row>
    <row r="1067" spans="1:11" s="61" customFormat="1" ht="18" customHeight="1">
      <c r="A1067" s="58"/>
      <c r="B1067" s="12"/>
      <c r="C1067" s="12" t="s">
        <v>959</v>
      </c>
      <c r="D1067" s="58"/>
      <c r="E1067" s="58"/>
      <c r="F1067" s="58"/>
      <c r="G1067" s="62" t="s">
        <v>998</v>
      </c>
      <c r="H1067" s="20"/>
      <c r="I1067" s="18" t="s">
        <v>999</v>
      </c>
      <c r="J1067" s="70" t="str">
        <f>IF(shinsei_kanri07_JIMU_TOUROKU_KIKAN="","",shinsei_kanri07_JIMU_TOUROKU_KIKAN)</f>
        <v/>
      </c>
      <c r="K1067" s="60"/>
    </row>
    <row r="1068" spans="1:11" s="61" customFormat="1" ht="18" customHeight="1">
      <c r="A1068" s="58"/>
      <c r="B1068" s="12"/>
      <c r="C1068" s="12" t="s">
        <v>3306</v>
      </c>
      <c r="D1068" s="58"/>
      <c r="E1068" s="58"/>
      <c r="F1068" s="58"/>
      <c r="G1068" s="62" t="s">
        <v>1000</v>
      </c>
      <c r="H1068" s="20"/>
      <c r="I1068" s="18" t="s">
        <v>1001</v>
      </c>
      <c r="J1068" s="70" t="str">
        <f>IF(shinsei_kanri07_JIMU_NO="","",shinsei_kanri07_JIMU_NO)</f>
        <v/>
      </c>
      <c r="K1068" s="60"/>
    </row>
    <row r="1069" spans="1:11" s="61" customFormat="1" ht="18" customHeight="1">
      <c r="A1069" s="58"/>
      <c r="B1069" s="12" t="s">
        <v>811</v>
      </c>
      <c r="C1069" s="58"/>
      <c r="D1069" s="58"/>
      <c r="E1069" s="58"/>
      <c r="F1069" s="58"/>
      <c r="G1069" s="62" t="s">
        <v>1002</v>
      </c>
      <c r="H1069" s="20"/>
      <c r="I1069" s="18" t="s">
        <v>1003</v>
      </c>
      <c r="J1069" s="70" t="str">
        <f>IF(shinsei_kanri07_JIMU_NAME="","",shinsei_kanri07_JIMU_NAME)</f>
        <v/>
      </c>
      <c r="K1069" s="60"/>
    </row>
    <row r="1070" spans="1:11" s="61" customFormat="1" ht="18" customHeight="1">
      <c r="A1070" s="58"/>
      <c r="B1070" s="12" t="s">
        <v>1004</v>
      </c>
      <c r="C1070" s="58"/>
      <c r="D1070" s="58"/>
      <c r="E1070" s="58"/>
      <c r="F1070" s="58"/>
      <c r="G1070" s="62" t="s">
        <v>1005</v>
      </c>
      <c r="H1070" s="20"/>
      <c r="I1070" s="18" t="s">
        <v>1006</v>
      </c>
      <c r="J1070" s="70" t="str">
        <f>IF(shinsei_kanri07_POST_CODE="","",shinsei_kanri07_POST_CODE)</f>
        <v/>
      </c>
      <c r="K1070" s="60"/>
    </row>
    <row r="1071" spans="1:11" s="61" customFormat="1" ht="18" customHeight="1">
      <c r="A1071" s="58"/>
      <c r="B1071" s="12" t="s">
        <v>1007</v>
      </c>
      <c r="C1071" s="58"/>
      <c r="D1071" s="58"/>
      <c r="E1071" s="58"/>
      <c r="F1071" s="58"/>
      <c r="G1071" s="62" t="s">
        <v>1008</v>
      </c>
      <c r="H1071" s="20"/>
      <c r="I1071" s="18" t="s">
        <v>1009</v>
      </c>
      <c r="J1071" s="70" t="str">
        <f>IF(shinsei_kanri07__address="","",shinsei_kanri07__address)</f>
        <v/>
      </c>
      <c r="K1071" s="60"/>
    </row>
    <row r="1072" spans="1:11" s="61" customFormat="1" ht="18" customHeight="1">
      <c r="A1072" s="58"/>
      <c r="B1072" s="12" t="s">
        <v>2785</v>
      </c>
      <c r="C1072" s="58"/>
      <c r="D1072" s="58"/>
      <c r="E1072" s="58"/>
      <c r="F1072" s="58"/>
      <c r="G1072" s="62" t="s">
        <v>1010</v>
      </c>
      <c r="H1072" s="20"/>
      <c r="I1072" s="18" t="s">
        <v>1011</v>
      </c>
      <c r="J1072" s="70" t="str">
        <f>IF(shinsei_kanri07_TEL="","",shinsei_kanri07_TEL)</f>
        <v/>
      </c>
      <c r="K1072" s="60"/>
    </row>
    <row r="1073" spans="1:11" s="61" customFormat="1" ht="18" customHeight="1">
      <c r="A1073" s="58"/>
      <c r="B1073" s="58"/>
      <c r="C1073" s="58"/>
      <c r="D1073" s="58"/>
      <c r="E1073" s="58"/>
      <c r="F1073" s="58"/>
      <c r="G1073" s="62"/>
      <c r="H1073" s="62"/>
      <c r="I1073" s="18"/>
      <c r="J1073" s="18"/>
      <c r="K1073" s="60"/>
    </row>
    <row r="1074" spans="1:11" s="61" customFormat="1" ht="18" customHeight="1">
      <c r="A1074" s="58"/>
      <c r="B1074" s="58" t="s">
        <v>1012</v>
      </c>
      <c r="C1074" s="58"/>
      <c r="D1074" s="58"/>
      <c r="E1074" s="58"/>
      <c r="F1074" s="58"/>
      <c r="G1074" s="62"/>
      <c r="H1074" s="62"/>
      <c r="I1074" s="18"/>
      <c r="J1074" s="18"/>
      <c r="K1074" s="60"/>
    </row>
    <row r="1075" spans="1:11" s="61" customFormat="1" ht="18" customHeight="1">
      <c r="A1075" s="58"/>
      <c r="B1075" s="12" t="s">
        <v>801</v>
      </c>
      <c r="C1075" s="58"/>
      <c r="D1075" s="58"/>
      <c r="E1075" s="58"/>
      <c r="F1075" s="58"/>
      <c r="G1075" s="62"/>
      <c r="H1075" s="62"/>
      <c r="I1075" s="18"/>
      <c r="J1075" s="18"/>
      <c r="K1075" s="60"/>
    </row>
    <row r="1076" spans="1:11" s="61" customFormat="1" ht="18" customHeight="1">
      <c r="A1076" s="58"/>
      <c r="B1076" s="12"/>
      <c r="C1076" s="12" t="s">
        <v>3302</v>
      </c>
      <c r="D1076" s="58"/>
      <c r="E1076" s="58"/>
      <c r="F1076" s="58"/>
      <c r="G1076" s="62" t="s">
        <v>1013</v>
      </c>
      <c r="H1076" s="20"/>
      <c r="I1076" s="18" t="s">
        <v>1014</v>
      </c>
      <c r="J1076" s="70" t="str">
        <f>IF(shinsei_kanri08_SIKAKU="","",shinsei_kanri08_SIKAKU)</f>
        <v/>
      </c>
      <c r="K1076" s="60"/>
    </row>
    <row r="1077" spans="1:11" s="61" customFormat="1" ht="18" customHeight="1">
      <c r="A1077" s="58"/>
      <c r="B1077" s="12"/>
      <c r="C1077" s="12" t="s">
        <v>3304</v>
      </c>
      <c r="D1077" s="58"/>
      <c r="E1077" s="58"/>
      <c r="F1077" s="58"/>
      <c r="G1077" s="62" t="s">
        <v>1015</v>
      </c>
      <c r="H1077" s="20"/>
      <c r="I1077" s="18" t="s">
        <v>1016</v>
      </c>
      <c r="J1077" s="70" t="str">
        <f>IF(shinsei_kanri08_TOUROKU_KIKAN="","",shinsei_kanri08_TOUROKU_KIKAN)</f>
        <v/>
      </c>
      <c r="K1077" s="60"/>
    </row>
    <row r="1078" spans="1:11" s="61" customFormat="1" ht="18" customHeight="1">
      <c r="A1078" s="58"/>
      <c r="B1078" s="12"/>
      <c r="C1078" s="12" t="s">
        <v>3306</v>
      </c>
      <c r="D1078" s="58"/>
      <c r="E1078" s="58"/>
      <c r="F1078" s="58"/>
      <c r="G1078" s="62" t="s">
        <v>1017</v>
      </c>
      <c r="H1078" s="20"/>
      <c r="I1078" s="18" t="s">
        <v>1018</v>
      </c>
      <c r="J1078" s="70" t="str">
        <f>IF(shinsei_kanri08_KENSETUSI_NO="","",shinsei_kanri08_KENSETUSI_NO)</f>
        <v/>
      </c>
      <c r="K1078" s="60"/>
    </row>
    <row r="1079" spans="1:11" s="61" customFormat="1" ht="18" customHeight="1">
      <c r="A1079" s="58"/>
      <c r="B1079" s="12" t="s">
        <v>1019</v>
      </c>
      <c r="C1079" s="12"/>
      <c r="D1079" s="58"/>
      <c r="E1079" s="58"/>
      <c r="F1079" s="58"/>
      <c r="G1079" s="62" t="s">
        <v>1020</v>
      </c>
      <c r="H1079" s="20"/>
      <c r="I1079" s="18" t="s">
        <v>1021</v>
      </c>
      <c r="J1079" s="70" t="str">
        <f>IF(shinsei_kanri08_NAME="","",shinsei_kanri08_NAME)</f>
        <v/>
      </c>
      <c r="K1079" s="60"/>
    </row>
    <row r="1080" spans="1:11" s="61" customFormat="1" ht="18" customHeight="1">
      <c r="A1080" s="58"/>
      <c r="B1080" s="12" t="s">
        <v>1022</v>
      </c>
      <c r="C1080" s="12"/>
      <c r="D1080" s="58"/>
      <c r="E1080" s="58"/>
      <c r="F1080" s="58"/>
      <c r="G1080" s="62"/>
      <c r="H1080" s="62"/>
      <c r="I1080" s="18"/>
      <c r="J1080" s="18"/>
      <c r="K1080" s="60"/>
    </row>
    <row r="1081" spans="1:11" s="61" customFormat="1" ht="18" customHeight="1">
      <c r="A1081" s="58"/>
      <c r="B1081" s="12"/>
      <c r="C1081" s="12" t="s">
        <v>985</v>
      </c>
      <c r="D1081" s="58"/>
      <c r="E1081" s="58"/>
      <c r="F1081" s="58"/>
      <c r="G1081" s="62" t="s">
        <v>1023</v>
      </c>
      <c r="H1081" s="20"/>
      <c r="I1081" s="18" t="s">
        <v>1024</v>
      </c>
      <c r="J1081" s="70" t="str">
        <f>IF(shinsei_kanri08_JIMU_SIKAKU="","",shinsei_kanri08_JIMU_SIKAKU)</f>
        <v/>
      </c>
      <c r="K1081" s="60"/>
    </row>
    <row r="1082" spans="1:11" s="61" customFormat="1" ht="18" customHeight="1">
      <c r="A1082" s="58"/>
      <c r="B1082" s="12"/>
      <c r="C1082" s="12" t="s">
        <v>988</v>
      </c>
      <c r="D1082" s="58"/>
      <c r="E1082" s="58"/>
      <c r="F1082" s="58"/>
      <c r="G1082" s="62" t="s">
        <v>1025</v>
      </c>
      <c r="H1082" s="20"/>
      <c r="I1082" s="18" t="s">
        <v>1026</v>
      </c>
      <c r="J1082" s="70" t="str">
        <f>IF(shinsei_kanri08_JIMU_TOUROKU_KIKAN="","",shinsei_kanri08_JIMU_TOUROKU_KIKAN)</f>
        <v/>
      </c>
      <c r="K1082" s="60"/>
    </row>
    <row r="1083" spans="1:11" s="61" customFormat="1" ht="18" customHeight="1">
      <c r="A1083" s="58"/>
      <c r="B1083" s="12"/>
      <c r="C1083" s="12" t="s">
        <v>991</v>
      </c>
      <c r="D1083" s="58"/>
      <c r="E1083" s="58"/>
      <c r="F1083" s="58"/>
      <c r="G1083" s="62" t="s">
        <v>1027</v>
      </c>
      <c r="H1083" s="20"/>
      <c r="I1083" s="18" t="s">
        <v>1028</v>
      </c>
      <c r="J1083" s="70" t="str">
        <f>IF(shinsei_kanri08_JIMU_NO="","",shinsei_kanri08_JIMU_NO)</f>
        <v/>
      </c>
      <c r="K1083" s="60"/>
    </row>
    <row r="1084" spans="1:11" s="61" customFormat="1" ht="18" customHeight="1">
      <c r="A1084" s="58"/>
      <c r="B1084" s="12" t="s">
        <v>811</v>
      </c>
      <c r="C1084" s="58"/>
      <c r="D1084" s="58"/>
      <c r="E1084" s="58"/>
      <c r="F1084" s="58"/>
      <c r="G1084" s="62" t="s">
        <v>1029</v>
      </c>
      <c r="H1084" s="20"/>
      <c r="I1084" s="18" t="s">
        <v>1030</v>
      </c>
      <c r="J1084" s="70" t="str">
        <f>IF(shinsei_kanri08_JIMU_NAME="","",shinsei_kanri08_JIMU_NAME)</f>
        <v/>
      </c>
      <c r="K1084" s="60"/>
    </row>
    <row r="1085" spans="1:11" s="61" customFormat="1" ht="18" customHeight="1">
      <c r="A1085" s="58"/>
      <c r="B1085" s="12" t="s">
        <v>2782</v>
      </c>
      <c r="C1085" s="58"/>
      <c r="D1085" s="58"/>
      <c r="E1085" s="58"/>
      <c r="F1085" s="58"/>
      <c r="G1085" s="62" t="s">
        <v>1031</v>
      </c>
      <c r="H1085" s="20"/>
      <c r="I1085" s="18" t="s">
        <v>1032</v>
      </c>
      <c r="J1085" s="70" t="str">
        <f>IF(shinsei_kanri08_POST_CODE="","",shinsei_kanri08_POST_CODE)</f>
        <v/>
      </c>
      <c r="K1085" s="60"/>
    </row>
    <row r="1086" spans="1:11" s="61" customFormat="1" ht="18" customHeight="1">
      <c r="A1086" s="58"/>
      <c r="B1086" s="12" t="s">
        <v>1033</v>
      </c>
      <c r="C1086" s="58"/>
      <c r="D1086" s="58"/>
      <c r="E1086" s="58"/>
      <c r="F1086" s="58"/>
      <c r="G1086" s="62" t="s">
        <v>1034</v>
      </c>
      <c r="H1086" s="20"/>
      <c r="I1086" s="18" t="s">
        <v>1035</v>
      </c>
      <c r="J1086" s="70" t="str">
        <f>IF(shinsei_kanri08__address="","",shinsei_kanri08__address)</f>
        <v/>
      </c>
      <c r="K1086" s="60"/>
    </row>
    <row r="1087" spans="1:11" s="61" customFormat="1" ht="18" customHeight="1">
      <c r="A1087" s="58"/>
      <c r="B1087" s="12" t="s">
        <v>1036</v>
      </c>
      <c r="C1087" s="58"/>
      <c r="D1087" s="58"/>
      <c r="E1087" s="58"/>
      <c r="F1087" s="58"/>
      <c r="G1087" s="62" t="s">
        <v>1037</v>
      </c>
      <c r="H1087" s="20"/>
      <c r="I1087" s="18" t="s">
        <v>1038</v>
      </c>
      <c r="J1087" s="70" t="str">
        <f>IF(shinsei_kanri08_TEL="","",shinsei_kanri08_TEL)</f>
        <v/>
      </c>
      <c r="K1087" s="60"/>
    </row>
    <row r="1088" spans="1:11" s="61" customFormat="1" ht="18" customHeight="1">
      <c r="A1088" s="58"/>
      <c r="B1088" s="58"/>
      <c r="C1088" s="58"/>
      <c r="D1088" s="58"/>
      <c r="E1088" s="58"/>
      <c r="F1088" s="58"/>
      <c r="G1088" s="62"/>
      <c r="H1088" s="62"/>
      <c r="I1088" s="18"/>
      <c r="J1088" s="18"/>
      <c r="K1088" s="60"/>
    </row>
    <row r="1089" spans="1:11" s="61" customFormat="1" ht="18" customHeight="1">
      <c r="A1089" s="58"/>
      <c r="B1089" s="58" t="s">
        <v>1039</v>
      </c>
      <c r="C1089" s="58"/>
      <c r="D1089" s="58"/>
      <c r="E1089" s="58"/>
      <c r="F1089" s="58"/>
      <c r="G1089" s="62"/>
      <c r="H1089" s="62"/>
      <c r="I1089" s="18"/>
      <c r="J1089" s="18"/>
      <c r="K1089" s="60"/>
    </row>
    <row r="1090" spans="1:11" s="61" customFormat="1" ht="18" customHeight="1">
      <c r="A1090" s="58"/>
      <c r="B1090" s="12" t="s">
        <v>801</v>
      </c>
      <c r="C1090" s="58"/>
      <c r="D1090" s="58"/>
      <c r="E1090" s="58"/>
      <c r="F1090" s="58"/>
      <c r="G1090" s="62"/>
      <c r="H1090" s="62"/>
      <c r="I1090" s="18"/>
      <c r="J1090" s="18"/>
      <c r="K1090" s="60"/>
    </row>
    <row r="1091" spans="1:11" s="61" customFormat="1" ht="18" customHeight="1">
      <c r="A1091" s="58"/>
      <c r="B1091" s="12"/>
      <c r="C1091" s="12" t="s">
        <v>3302</v>
      </c>
      <c r="D1091" s="58"/>
      <c r="E1091" s="58"/>
      <c r="F1091" s="58"/>
      <c r="G1091" s="62" t="s">
        <v>1040</v>
      </c>
      <c r="H1091" s="20"/>
      <c r="I1091" s="18" t="s">
        <v>1041</v>
      </c>
      <c r="J1091" s="70" t="str">
        <f>IF(shinsei_kanri09_SIKAKU="","",shinsei_kanri09_SIKAKU)</f>
        <v/>
      </c>
      <c r="K1091" s="60"/>
    </row>
    <row r="1092" spans="1:11" s="61" customFormat="1" ht="18" customHeight="1">
      <c r="A1092" s="58"/>
      <c r="B1092" s="12"/>
      <c r="C1092" s="12" t="s">
        <v>1042</v>
      </c>
      <c r="D1092" s="58"/>
      <c r="E1092" s="58"/>
      <c r="F1092" s="58"/>
      <c r="G1092" s="62" t="s">
        <v>1043</v>
      </c>
      <c r="H1092" s="20"/>
      <c r="I1092" s="18" t="s">
        <v>1044</v>
      </c>
      <c r="J1092" s="70" t="str">
        <f>IF(shinsei_kanri09_TOUROKU_KIKAN="","",shinsei_kanri09_TOUROKU_KIKAN)</f>
        <v/>
      </c>
      <c r="K1092" s="60"/>
    </row>
    <row r="1093" spans="1:11" s="61" customFormat="1" ht="18" customHeight="1">
      <c r="A1093" s="58"/>
      <c r="B1093" s="12"/>
      <c r="C1093" s="12" t="s">
        <v>1045</v>
      </c>
      <c r="D1093" s="58"/>
      <c r="E1093" s="58"/>
      <c r="F1093" s="58"/>
      <c r="G1093" s="62" t="s">
        <v>1046</v>
      </c>
      <c r="H1093" s="20"/>
      <c r="I1093" s="18" t="s">
        <v>1047</v>
      </c>
      <c r="J1093" s="70" t="str">
        <f>IF(shinsei_kanri09_KENSETUSI_NO="","",shinsei_kanri09_KENSETUSI_NO)</f>
        <v/>
      </c>
      <c r="K1093" s="60"/>
    </row>
    <row r="1094" spans="1:11" s="61" customFormat="1" ht="18" customHeight="1">
      <c r="A1094" s="58"/>
      <c r="B1094" s="12" t="s">
        <v>806</v>
      </c>
      <c r="C1094" s="12"/>
      <c r="D1094" s="58"/>
      <c r="E1094" s="58"/>
      <c r="F1094" s="58"/>
      <c r="G1094" s="62" t="s">
        <v>1048</v>
      </c>
      <c r="H1094" s="20"/>
      <c r="I1094" s="18" t="s">
        <v>1049</v>
      </c>
      <c r="J1094" s="70" t="str">
        <f>IF(shinsei_kanri09_NAME="","",shinsei_kanri09_NAME)</f>
        <v/>
      </c>
      <c r="K1094" s="60"/>
    </row>
    <row r="1095" spans="1:11" s="61" customFormat="1" ht="18" customHeight="1">
      <c r="A1095" s="58"/>
      <c r="B1095" s="12" t="s">
        <v>3311</v>
      </c>
      <c r="C1095" s="12"/>
      <c r="D1095" s="58"/>
      <c r="E1095" s="58"/>
      <c r="F1095" s="58"/>
      <c r="G1095" s="62"/>
      <c r="H1095" s="62"/>
      <c r="I1095" s="18"/>
      <c r="J1095" s="18"/>
      <c r="K1095" s="60"/>
    </row>
    <row r="1096" spans="1:11" s="61" customFormat="1" ht="18" customHeight="1">
      <c r="A1096" s="58"/>
      <c r="B1096" s="12"/>
      <c r="C1096" s="12" t="s">
        <v>3302</v>
      </c>
      <c r="D1096" s="58"/>
      <c r="E1096" s="58"/>
      <c r="F1096" s="58"/>
      <c r="G1096" s="62" t="s">
        <v>1050</v>
      </c>
      <c r="H1096" s="20"/>
      <c r="I1096" s="18" t="s">
        <v>1051</v>
      </c>
      <c r="J1096" s="70" t="str">
        <f>IF(shinsei_kanri09_JIMU_SIKAKU="","",shinsei_kanri09_JIMU_SIKAKU)</f>
        <v/>
      </c>
      <c r="K1096" s="60"/>
    </row>
    <row r="1097" spans="1:11" s="61" customFormat="1" ht="18" customHeight="1">
      <c r="A1097" s="58"/>
      <c r="B1097" s="12"/>
      <c r="C1097" s="12" t="s">
        <v>3304</v>
      </c>
      <c r="D1097" s="58"/>
      <c r="E1097" s="58"/>
      <c r="F1097" s="58"/>
      <c r="G1097" s="62" t="s">
        <v>1052</v>
      </c>
      <c r="H1097" s="20"/>
      <c r="I1097" s="18" t="s">
        <v>1053</v>
      </c>
      <c r="J1097" s="70" t="str">
        <f>IF(shinsei_kanri09_JIMU_TOUROKU_KIKAN="","",shinsei_kanri09_JIMU_TOUROKU_KIKAN)</f>
        <v/>
      </c>
      <c r="K1097" s="60"/>
    </row>
    <row r="1098" spans="1:11" s="61" customFormat="1" ht="18" customHeight="1">
      <c r="A1098" s="58"/>
      <c r="B1098" s="12"/>
      <c r="C1098" s="12" t="s">
        <v>3306</v>
      </c>
      <c r="D1098" s="58"/>
      <c r="E1098" s="58"/>
      <c r="F1098" s="58"/>
      <c r="G1098" s="62" t="s">
        <v>1054</v>
      </c>
      <c r="H1098" s="20"/>
      <c r="I1098" s="18" t="s">
        <v>1055</v>
      </c>
      <c r="J1098" s="70" t="str">
        <f>IF(shinsei_kanri09_JIMU_NO="","",shinsei_kanri09_JIMU_NO)</f>
        <v/>
      </c>
      <c r="K1098" s="60"/>
    </row>
    <row r="1099" spans="1:11" s="61" customFormat="1" ht="18" customHeight="1">
      <c r="A1099" s="58"/>
      <c r="B1099" s="12" t="s">
        <v>1056</v>
      </c>
      <c r="C1099" s="58"/>
      <c r="D1099" s="58"/>
      <c r="E1099" s="58"/>
      <c r="F1099" s="58"/>
      <c r="G1099" s="62" t="s">
        <v>1057</v>
      </c>
      <c r="H1099" s="20"/>
      <c r="I1099" s="18" t="s">
        <v>1058</v>
      </c>
      <c r="J1099" s="70" t="str">
        <f>IF(shinsei_kanri09_JIMU_NAME="","",shinsei_kanri09_JIMU_NAME)</f>
        <v/>
      </c>
      <c r="K1099" s="60"/>
    </row>
    <row r="1100" spans="1:11" s="61" customFormat="1" ht="18" customHeight="1">
      <c r="A1100" s="58"/>
      <c r="B1100" s="12" t="s">
        <v>1059</v>
      </c>
      <c r="C1100" s="58"/>
      <c r="D1100" s="58"/>
      <c r="E1100" s="58"/>
      <c r="F1100" s="58"/>
      <c r="G1100" s="62" t="s">
        <v>1060</v>
      </c>
      <c r="H1100" s="20"/>
      <c r="I1100" s="18" t="s">
        <v>1061</v>
      </c>
      <c r="J1100" s="70" t="str">
        <f>IF(shinsei_kanri09_POST_CODE="","",shinsei_kanri09_POST_CODE)</f>
        <v/>
      </c>
      <c r="K1100" s="60"/>
    </row>
    <row r="1101" spans="1:11" s="61" customFormat="1" ht="18" customHeight="1">
      <c r="A1101" s="58"/>
      <c r="B1101" s="12" t="s">
        <v>1062</v>
      </c>
      <c r="C1101" s="58"/>
      <c r="D1101" s="58"/>
      <c r="E1101" s="58"/>
      <c r="F1101" s="58"/>
      <c r="G1101" s="62" t="s">
        <v>1063</v>
      </c>
      <c r="H1101" s="20"/>
      <c r="I1101" s="18" t="s">
        <v>1064</v>
      </c>
      <c r="J1101" s="70" t="str">
        <f>IF(shinsei_kanri09__address="","",shinsei_kanri09__address)</f>
        <v/>
      </c>
      <c r="K1101" s="60"/>
    </row>
    <row r="1102" spans="1:11" s="61" customFormat="1" ht="18" customHeight="1">
      <c r="A1102" s="58"/>
      <c r="B1102" s="12" t="s">
        <v>1065</v>
      </c>
      <c r="C1102" s="58"/>
      <c r="D1102" s="58"/>
      <c r="E1102" s="58"/>
      <c r="F1102" s="58"/>
      <c r="G1102" s="62" t="s">
        <v>1066</v>
      </c>
      <c r="H1102" s="20"/>
      <c r="I1102" s="18" t="s">
        <v>1067</v>
      </c>
      <c r="J1102" s="70" t="str">
        <f>IF(shinsei_kanri09_TEL="","",shinsei_kanri09_TEL)</f>
        <v/>
      </c>
      <c r="K1102" s="60"/>
    </row>
    <row r="1103" spans="1:11" s="61" customFormat="1" ht="18" customHeight="1">
      <c r="A1103" s="58"/>
      <c r="B1103" s="58"/>
      <c r="C1103" s="58"/>
      <c r="D1103" s="58"/>
      <c r="E1103" s="58"/>
      <c r="F1103" s="58"/>
      <c r="G1103" s="62"/>
      <c r="H1103" s="62"/>
      <c r="I1103" s="18"/>
      <c r="J1103" s="18"/>
      <c r="K1103" s="60"/>
    </row>
    <row r="1104" spans="1:11" s="61" customFormat="1" ht="18" customHeight="1">
      <c r="A1104" s="58"/>
      <c r="B1104" s="58" t="s">
        <v>1068</v>
      </c>
      <c r="C1104" s="58"/>
      <c r="D1104" s="58"/>
      <c r="E1104" s="58"/>
      <c r="F1104" s="58"/>
      <c r="G1104" s="62"/>
      <c r="H1104" s="62"/>
      <c r="I1104" s="18"/>
      <c r="J1104" s="18"/>
      <c r="K1104" s="60"/>
    </row>
    <row r="1105" spans="1:11" s="61" customFormat="1" ht="18" customHeight="1">
      <c r="A1105" s="58"/>
      <c r="B1105" s="12" t="s">
        <v>801</v>
      </c>
      <c r="C1105" s="58"/>
      <c r="D1105" s="58"/>
      <c r="E1105" s="58"/>
      <c r="F1105" s="58"/>
      <c r="G1105" s="62"/>
      <c r="H1105" s="62"/>
      <c r="I1105" s="18"/>
      <c r="J1105" s="18"/>
      <c r="K1105" s="60"/>
    </row>
    <row r="1106" spans="1:11" s="61" customFormat="1" ht="18" customHeight="1">
      <c r="A1106" s="58"/>
      <c r="B1106" s="12"/>
      <c r="C1106" s="12" t="s">
        <v>3302</v>
      </c>
      <c r="D1106" s="58"/>
      <c r="E1106" s="58"/>
      <c r="F1106" s="58"/>
      <c r="G1106" s="62" t="s">
        <v>1069</v>
      </c>
      <c r="H1106" s="20"/>
      <c r="I1106" s="18" t="s">
        <v>1070</v>
      </c>
      <c r="J1106" s="70" t="str">
        <f>IF(shinsei_kanri10_SIKAKU="","",shinsei_kanri10_SIKAKU)</f>
        <v/>
      </c>
      <c r="K1106" s="60"/>
    </row>
    <row r="1107" spans="1:11" s="61" customFormat="1" ht="18" customHeight="1">
      <c r="A1107" s="58"/>
      <c r="B1107" s="12"/>
      <c r="C1107" s="12" t="s">
        <v>3304</v>
      </c>
      <c r="D1107" s="58"/>
      <c r="E1107" s="58"/>
      <c r="F1107" s="58"/>
      <c r="G1107" s="62" t="s">
        <v>1071</v>
      </c>
      <c r="H1107" s="20"/>
      <c r="I1107" s="18" t="s">
        <v>1072</v>
      </c>
      <c r="J1107" s="70" t="str">
        <f>IF(shinsei_kanri10_TOUROKU_KIKAN="","",shinsei_kanri10_TOUROKU_KIKAN)</f>
        <v/>
      </c>
      <c r="K1107" s="60"/>
    </row>
    <row r="1108" spans="1:11" s="61" customFormat="1" ht="18" customHeight="1">
      <c r="A1108" s="58"/>
      <c r="B1108" s="12"/>
      <c r="C1108" s="12" t="s">
        <v>1073</v>
      </c>
      <c r="D1108" s="58"/>
      <c r="E1108" s="58"/>
      <c r="F1108" s="58"/>
      <c r="G1108" s="62" t="s">
        <v>1074</v>
      </c>
      <c r="H1108" s="20"/>
      <c r="I1108" s="18" t="s">
        <v>1075</v>
      </c>
      <c r="J1108" s="70" t="str">
        <f>IF(shinsei_kanri10_KENSETUSI_NO="","",shinsei_kanri10_KENSETUSI_NO)</f>
        <v/>
      </c>
      <c r="K1108" s="60"/>
    </row>
    <row r="1109" spans="1:11" s="61" customFormat="1" ht="18" customHeight="1">
      <c r="A1109" s="58"/>
      <c r="B1109" s="12" t="s">
        <v>1076</v>
      </c>
      <c r="C1109" s="12"/>
      <c r="D1109" s="58"/>
      <c r="E1109" s="58"/>
      <c r="F1109" s="58"/>
      <c r="G1109" s="62" t="s">
        <v>1077</v>
      </c>
      <c r="H1109" s="20"/>
      <c r="I1109" s="18" t="s">
        <v>1078</v>
      </c>
      <c r="J1109" s="70" t="str">
        <f>IF(shinsei_kanri10_NAME="","",shinsei_kanri10_NAME)</f>
        <v/>
      </c>
      <c r="K1109" s="60"/>
    </row>
    <row r="1110" spans="1:11" s="61" customFormat="1" ht="18" customHeight="1">
      <c r="A1110" s="58"/>
      <c r="B1110" s="12" t="s">
        <v>3311</v>
      </c>
      <c r="C1110" s="12"/>
      <c r="D1110" s="58"/>
      <c r="E1110" s="58"/>
      <c r="F1110" s="58"/>
      <c r="G1110" s="62"/>
      <c r="H1110" s="62"/>
      <c r="I1110" s="18"/>
      <c r="J1110" s="18"/>
      <c r="K1110" s="60"/>
    </row>
    <row r="1111" spans="1:11" s="61" customFormat="1" ht="18" customHeight="1">
      <c r="A1111" s="58"/>
      <c r="B1111" s="12"/>
      <c r="C1111" s="12" t="s">
        <v>3302</v>
      </c>
      <c r="D1111" s="58"/>
      <c r="E1111" s="58"/>
      <c r="F1111" s="58"/>
      <c r="G1111" s="62" t="s">
        <v>1079</v>
      </c>
      <c r="H1111" s="20"/>
      <c r="I1111" s="18" t="s">
        <v>1080</v>
      </c>
      <c r="J1111" s="70" t="str">
        <f>IF(shinsei_kanri10_JIMU_SIKAKU="","",shinsei_kanri10_JIMU_SIKAKU)</f>
        <v/>
      </c>
      <c r="K1111" s="60"/>
    </row>
    <row r="1112" spans="1:11" s="61" customFormat="1" ht="18" customHeight="1">
      <c r="A1112" s="58"/>
      <c r="B1112" s="12"/>
      <c r="C1112" s="12" t="s">
        <v>1042</v>
      </c>
      <c r="D1112" s="58"/>
      <c r="E1112" s="58"/>
      <c r="F1112" s="58"/>
      <c r="G1112" s="62" t="s">
        <v>1081</v>
      </c>
      <c r="H1112" s="20"/>
      <c r="I1112" s="18" t="s">
        <v>1082</v>
      </c>
      <c r="J1112" s="70" t="str">
        <f>IF(shinsei_kanri10_JIMU_TOUROKU_KIKAN="","",shinsei_kanri10_JIMU_TOUROKU_KIKAN)</f>
        <v/>
      </c>
      <c r="K1112" s="60"/>
    </row>
    <row r="1113" spans="1:11" s="61" customFormat="1" ht="18" customHeight="1">
      <c r="A1113" s="58"/>
      <c r="B1113" s="12"/>
      <c r="C1113" s="12" t="s">
        <v>1045</v>
      </c>
      <c r="D1113" s="58"/>
      <c r="E1113" s="58"/>
      <c r="F1113" s="58"/>
      <c r="G1113" s="62" t="s">
        <v>1083</v>
      </c>
      <c r="H1113" s="20"/>
      <c r="I1113" s="18" t="s">
        <v>1084</v>
      </c>
      <c r="J1113" s="70" t="str">
        <f>IF(shinsei_kanri10_JIMU_NO="","",shinsei_kanri10_JIMU_NO)</f>
        <v/>
      </c>
      <c r="K1113" s="60"/>
    </row>
    <row r="1114" spans="1:11" s="61" customFormat="1" ht="18" customHeight="1">
      <c r="A1114" s="58"/>
      <c r="B1114" s="12" t="s">
        <v>811</v>
      </c>
      <c r="C1114" s="58"/>
      <c r="D1114" s="58"/>
      <c r="E1114" s="58"/>
      <c r="F1114" s="58"/>
      <c r="G1114" s="62" t="s">
        <v>1085</v>
      </c>
      <c r="H1114" s="20"/>
      <c r="I1114" s="18" t="s">
        <v>1086</v>
      </c>
      <c r="J1114" s="70" t="str">
        <f>IF(shinsei_kanri10_JIMU_NAME="","",shinsei_kanri10_JIMU_NAME)</f>
        <v/>
      </c>
      <c r="K1114" s="60"/>
    </row>
    <row r="1115" spans="1:11" s="61" customFormat="1" ht="18" customHeight="1">
      <c r="A1115" s="58"/>
      <c r="B1115" s="12" t="s">
        <v>2782</v>
      </c>
      <c r="C1115" s="58"/>
      <c r="D1115" s="58"/>
      <c r="E1115" s="58"/>
      <c r="F1115" s="58"/>
      <c r="G1115" s="62" t="s">
        <v>1087</v>
      </c>
      <c r="H1115" s="20"/>
      <c r="I1115" s="18" t="s">
        <v>1088</v>
      </c>
      <c r="J1115" s="70" t="str">
        <f>IF(shinsei_kanri10_POST_CODE="","",shinsei_kanri10_POST_CODE)</f>
        <v/>
      </c>
      <c r="K1115" s="60"/>
    </row>
    <row r="1116" spans="1:11" s="61" customFormat="1" ht="18" customHeight="1">
      <c r="A1116" s="58"/>
      <c r="B1116" s="12" t="s">
        <v>816</v>
      </c>
      <c r="C1116" s="58"/>
      <c r="D1116" s="58"/>
      <c r="E1116" s="58"/>
      <c r="F1116" s="58"/>
      <c r="G1116" s="62" t="s">
        <v>1089</v>
      </c>
      <c r="H1116" s="20"/>
      <c r="I1116" s="18" t="s">
        <v>1090</v>
      </c>
      <c r="J1116" s="70" t="str">
        <f>IF(shinsei_kanri10__address="","",shinsei_kanri10__address)</f>
        <v/>
      </c>
      <c r="K1116" s="60"/>
    </row>
    <row r="1117" spans="1:11" s="61" customFormat="1" ht="18" customHeight="1">
      <c r="A1117" s="58"/>
      <c r="B1117" s="12" t="s">
        <v>2785</v>
      </c>
      <c r="C1117" s="58"/>
      <c r="D1117" s="58"/>
      <c r="E1117" s="58"/>
      <c r="F1117" s="58"/>
      <c r="G1117" s="62" t="s">
        <v>1091</v>
      </c>
      <c r="H1117" s="20"/>
      <c r="I1117" s="18" t="s">
        <v>1092</v>
      </c>
      <c r="J1117" s="70" t="str">
        <f>IF(shinsei_kanri10_TEL="","",shinsei_kanri10_TEL)</f>
        <v/>
      </c>
      <c r="K1117" s="60"/>
    </row>
    <row r="1118" spans="1:11" s="61" customFormat="1" ht="18" customHeight="1">
      <c r="A1118" s="58"/>
      <c r="B1118" s="58"/>
      <c r="C1118" s="58"/>
      <c r="D1118" s="58"/>
      <c r="E1118" s="58"/>
      <c r="F1118" s="58"/>
      <c r="G1118" s="62"/>
      <c r="H1118" s="62"/>
      <c r="I1118" s="18"/>
      <c r="J1118" s="18"/>
      <c r="K1118" s="60"/>
    </row>
    <row r="1119" spans="1:11" s="61" customFormat="1" ht="18" customHeight="1">
      <c r="A1119" s="58"/>
      <c r="B1119" s="58" t="s">
        <v>1093</v>
      </c>
      <c r="C1119" s="58"/>
      <c r="D1119" s="58"/>
      <c r="E1119" s="58"/>
      <c r="F1119" s="58"/>
      <c r="G1119" s="62"/>
      <c r="H1119" s="62"/>
      <c r="I1119" s="18"/>
      <c r="J1119" s="18"/>
      <c r="K1119" s="60"/>
    </row>
    <row r="1120" spans="1:11" s="61" customFormat="1" ht="18" customHeight="1">
      <c r="A1120" s="58"/>
      <c r="B1120" s="12" t="s">
        <v>1094</v>
      </c>
      <c r="C1120" s="58"/>
      <c r="D1120" s="58"/>
      <c r="E1120" s="58"/>
      <c r="F1120" s="58"/>
      <c r="G1120" s="62"/>
      <c r="H1120" s="62"/>
      <c r="I1120" s="18"/>
      <c r="J1120" s="18"/>
      <c r="K1120" s="60"/>
    </row>
    <row r="1121" spans="1:11" s="61" customFormat="1" ht="18" customHeight="1">
      <c r="A1121" s="58"/>
      <c r="B1121" s="12"/>
      <c r="C1121" s="12" t="s">
        <v>1095</v>
      </c>
      <c r="D1121" s="58"/>
      <c r="E1121" s="58"/>
      <c r="F1121" s="58"/>
      <c r="G1121" s="62" t="s">
        <v>1096</v>
      </c>
      <c r="H1121" s="20"/>
      <c r="I1121" s="18" t="s">
        <v>1097</v>
      </c>
      <c r="J1121" s="70" t="str">
        <f>IF(shinsei_kanri11_SIKAKU="","",shinsei_kanri11_SIKAKU)</f>
        <v/>
      </c>
      <c r="K1121" s="60"/>
    </row>
    <row r="1122" spans="1:11" s="61" customFormat="1" ht="18" customHeight="1">
      <c r="A1122" s="58"/>
      <c r="B1122" s="12"/>
      <c r="C1122" s="12" t="s">
        <v>931</v>
      </c>
      <c r="D1122" s="58"/>
      <c r="E1122" s="58"/>
      <c r="F1122" s="58"/>
      <c r="G1122" s="62" t="s">
        <v>1098</v>
      </c>
      <c r="H1122" s="20"/>
      <c r="I1122" s="18" t="s">
        <v>1099</v>
      </c>
      <c r="J1122" s="70" t="str">
        <f>IF(shinsei_kanri11_TOUROKU_KIKAN="","",shinsei_kanri11_TOUROKU_KIKAN)</f>
        <v/>
      </c>
      <c r="K1122" s="60"/>
    </row>
    <row r="1123" spans="1:11" s="61" customFormat="1" ht="18" customHeight="1">
      <c r="A1123" s="58"/>
      <c r="B1123" s="12"/>
      <c r="C1123" s="12" t="s">
        <v>1100</v>
      </c>
      <c r="D1123" s="58"/>
      <c r="E1123" s="58"/>
      <c r="F1123" s="58"/>
      <c r="G1123" s="62" t="s">
        <v>1101</v>
      </c>
      <c r="H1123" s="20"/>
      <c r="I1123" s="18" t="s">
        <v>1102</v>
      </c>
      <c r="J1123" s="70" t="str">
        <f>IF(shinsei_kanri11_KENSETUSI_NO="","",shinsei_kanri11_KENSETUSI_NO)</f>
        <v/>
      </c>
      <c r="K1123" s="60"/>
    </row>
    <row r="1124" spans="1:11" s="61" customFormat="1" ht="18" customHeight="1">
      <c r="A1124" s="58"/>
      <c r="B1124" s="12" t="s">
        <v>1103</v>
      </c>
      <c r="C1124" s="12"/>
      <c r="D1124" s="58"/>
      <c r="E1124" s="58"/>
      <c r="F1124" s="58"/>
      <c r="G1124" s="62" t="s">
        <v>1104</v>
      </c>
      <c r="H1124" s="20"/>
      <c r="I1124" s="18" t="s">
        <v>1105</v>
      </c>
      <c r="J1124" s="70" t="str">
        <f>IF(shinsei_kanri11_NAME="","",shinsei_kanri11_NAME)</f>
        <v/>
      </c>
      <c r="K1124" s="60"/>
    </row>
    <row r="1125" spans="1:11" s="61" customFormat="1" ht="18" customHeight="1">
      <c r="A1125" s="58"/>
      <c r="B1125" s="12" t="s">
        <v>3311</v>
      </c>
      <c r="C1125" s="12"/>
      <c r="D1125" s="58"/>
      <c r="E1125" s="58"/>
      <c r="F1125" s="58"/>
      <c r="G1125" s="62"/>
      <c r="H1125" s="62"/>
      <c r="I1125" s="18"/>
      <c r="J1125" s="18"/>
      <c r="K1125" s="60"/>
    </row>
    <row r="1126" spans="1:11" s="61" customFormat="1" ht="18" customHeight="1">
      <c r="A1126" s="58"/>
      <c r="B1126" s="12"/>
      <c r="C1126" s="12" t="s">
        <v>3302</v>
      </c>
      <c r="D1126" s="58"/>
      <c r="E1126" s="58"/>
      <c r="F1126" s="58"/>
      <c r="G1126" s="62" t="s">
        <v>1106</v>
      </c>
      <c r="H1126" s="20"/>
      <c r="I1126" s="18" t="s">
        <v>1107</v>
      </c>
      <c r="J1126" s="70" t="str">
        <f>IF(shinsei_kanri11_JIMU_SIKAKU="","",shinsei_kanri11_JIMU_SIKAKU)</f>
        <v/>
      </c>
      <c r="K1126" s="60"/>
    </row>
    <row r="1127" spans="1:11" s="61" customFormat="1" ht="18" customHeight="1">
      <c r="A1127" s="58"/>
      <c r="B1127" s="12"/>
      <c r="C1127" s="12" t="s">
        <v>3304</v>
      </c>
      <c r="D1127" s="58"/>
      <c r="E1127" s="58"/>
      <c r="F1127" s="58"/>
      <c r="G1127" s="62" t="s">
        <v>1108</v>
      </c>
      <c r="H1127" s="20"/>
      <c r="I1127" s="18" t="s">
        <v>1109</v>
      </c>
      <c r="J1127" s="70" t="str">
        <f>IF(shinsei_kanri11_JIMU_TOUROKU_KIKAN="","",shinsei_kanri11_JIMU_TOUROKU_KIKAN)</f>
        <v/>
      </c>
      <c r="K1127" s="60"/>
    </row>
    <row r="1128" spans="1:11" s="61" customFormat="1" ht="18" customHeight="1">
      <c r="A1128" s="58"/>
      <c r="B1128" s="12"/>
      <c r="C1128" s="12" t="s">
        <v>1073</v>
      </c>
      <c r="D1128" s="58"/>
      <c r="E1128" s="58"/>
      <c r="F1128" s="58"/>
      <c r="G1128" s="62" t="s">
        <v>1110</v>
      </c>
      <c r="H1128" s="20"/>
      <c r="I1128" s="18" t="s">
        <v>1111</v>
      </c>
      <c r="J1128" s="70" t="str">
        <f>IF(shinsei_kanri11_JIMU_NO="","",shinsei_kanri11_JIMU_NO)</f>
        <v/>
      </c>
      <c r="K1128" s="60"/>
    </row>
    <row r="1129" spans="1:11" s="61" customFormat="1" ht="18" customHeight="1">
      <c r="A1129" s="58"/>
      <c r="B1129" s="12" t="s">
        <v>1112</v>
      </c>
      <c r="C1129" s="58"/>
      <c r="D1129" s="58"/>
      <c r="E1129" s="58"/>
      <c r="F1129" s="58"/>
      <c r="G1129" s="62" t="s">
        <v>1113</v>
      </c>
      <c r="H1129" s="20"/>
      <c r="I1129" s="18" t="s">
        <v>1114</v>
      </c>
      <c r="J1129" s="70" t="str">
        <f>IF(shinsei_kanri11_JIMU_NAME="","",shinsei_kanri11_JIMU_NAME)</f>
        <v/>
      </c>
      <c r="K1129" s="60"/>
    </row>
    <row r="1130" spans="1:11" s="61" customFormat="1" ht="18" customHeight="1">
      <c r="A1130" s="58"/>
      <c r="B1130" s="12" t="s">
        <v>2782</v>
      </c>
      <c r="C1130" s="58"/>
      <c r="D1130" s="58"/>
      <c r="E1130" s="58"/>
      <c r="F1130" s="58"/>
      <c r="G1130" s="62" t="s">
        <v>1115</v>
      </c>
      <c r="H1130" s="20"/>
      <c r="I1130" s="18" t="s">
        <v>1116</v>
      </c>
      <c r="J1130" s="70" t="str">
        <f>IF(shinsei_kanri11_POST_CODE="","",shinsei_kanri11_POST_CODE)</f>
        <v/>
      </c>
      <c r="K1130" s="60"/>
    </row>
    <row r="1131" spans="1:11" s="61" customFormat="1" ht="18" customHeight="1">
      <c r="A1131" s="58"/>
      <c r="B1131" s="12" t="s">
        <v>1117</v>
      </c>
      <c r="C1131" s="58"/>
      <c r="D1131" s="58"/>
      <c r="E1131" s="58"/>
      <c r="F1131" s="58"/>
      <c r="G1131" s="62" t="s">
        <v>1118</v>
      </c>
      <c r="H1131" s="20"/>
      <c r="I1131" s="18" t="s">
        <v>1119</v>
      </c>
      <c r="J1131" s="70" t="str">
        <f>IF(shinsei_kanri11__address="","",shinsei_kanri11__address)</f>
        <v/>
      </c>
      <c r="K1131" s="60"/>
    </row>
    <row r="1132" spans="1:11" s="61" customFormat="1" ht="18" customHeight="1">
      <c r="A1132" s="58"/>
      <c r="B1132" s="12" t="s">
        <v>1120</v>
      </c>
      <c r="C1132" s="58"/>
      <c r="D1132" s="58"/>
      <c r="E1132" s="58"/>
      <c r="F1132" s="58"/>
      <c r="G1132" s="62" t="s">
        <v>1121</v>
      </c>
      <c r="H1132" s="20"/>
      <c r="I1132" s="18" t="s">
        <v>1122</v>
      </c>
      <c r="J1132" s="70" t="str">
        <f>IF(shinsei_kanri11_TEL="","",shinsei_kanri11_TEL)</f>
        <v/>
      </c>
      <c r="K1132" s="60"/>
    </row>
    <row r="1133" spans="1:11" s="61" customFormat="1" ht="18" customHeight="1">
      <c r="A1133" s="58"/>
      <c r="B1133" s="58"/>
      <c r="C1133" s="58"/>
      <c r="D1133" s="58"/>
      <c r="E1133" s="58"/>
      <c r="F1133" s="58"/>
      <c r="G1133" s="62"/>
      <c r="H1133" s="62"/>
      <c r="I1133" s="18"/>
      <c r="J1133" s="18"/>
      <c r="K1133" s="60"/>
    </row>
    <row r="1134" spans="1:11" s="52" customFormat="1" ht="18" customHeight="1">
      <c r="A1134" s="53"/>
      <c r="B1134" s="9" t="s">
        <v>1123</v>
      </c>
      <c r="C1134" s="9"/>
      <c r="D1134" s="9"/>
      <c r="E1134" s="53"/>
      <c r="F1134" s="53"/>
      <c r="G1134" s="54"/>
      <c r="H1134" s="54"/>
      <c r="K1134" s="56"/>
    </row>
    <row r="1135" spans="1:11" s="52" customFormat="1" ht="18" customHeight="1">
      <c r="A1135" s="53"/>
      <c r="B1135" s="9"/>
      <c r="C1135" s="9" t="s">
        <v>806</v>
      </c>
      <c r="D1135" s="9"/>
      <c r="E1135" s="53"/>
      <c r="F1135" s="53"/>
      <c r="G1135" s="9" t="s">
        <v>1124</v>
      </c>
      <c r="H1135" s="63" t="s">
        <v>11856</v>
      </c>
      <c r="I1135" s="52" t="s">
        <v>1125</v>
      </c>
      <c r="J1135" s="64" t="str">
        <f>IF(shinsei_SEKOU_NAME="","",shinsei_SEKOU_NAME)</f>
        <v>代表取締役　青木　雅祐</v>
      </c>
      <c r="K1135" s="56"/>
    </row>
    <row r="1136" spans="1:11" s="52" customFormat="1" ht="18" customHeight="1">
      <c r="A1136" s="53"/>
      <c r="B1136" s="9"/>
      <c r="C1136" s="5" t="s">
        <v>1126</v>
      </c>
      <c r="D1136" s="5"/>
      <c r="E1136" s="5"/>
      <c r="F1136" s="5"/>
      <c r="G1136" s="7" t="s">
        <v>1813</v>
      </c>
      <c r="H1136" s="63" t="s">
        <v>11836</v>
      </c>
      <c r="I1136" s="7" t="s">
        <v>1127</v>
      </c>
      <c r="J1136" s="64" t="str">
        <f>IF(shinsei_SEKOU_JIMU_TOUROKU_KIKAN="","",shinsei_SEKOU_JIMU_TOUROKU_KIKAN)</f>
        <v>大臣</v>
      </c>
      <c r="K1136" s="56"/>
    </row>
    <row r="1137" spans="1:11" s="52" customFormat="1" ht="18" customHeight="1">
      <c r="A1137" s="53"/>
      <c r="B1137" s="9"/>
      <c r="C1137" s="5" t="s">
        <v>1128</v>
      </c>
      <c r="D1137" s="5"/>
      <c r="E1137" s="5"/>
      <c r="F1137" s="5"/>
      <c r="G1137" s="7" t="s">
        <v>1814</v>
      </c>
      <c r="H1137" s="63" t="s">
        <v>11855</v>
      </c>
      <c r="I1137" s="7" t="s">
        <v>1129</v>
      </c>
      <c r="J1137" s="64" t="str">
        <f>IF(shinsei_SEKOU_JIMU_NO="","",shinsei_SEKOU_JIMU_NO)</f>
        <v>特-30　20135</v>
      </c>
      <c r="K1137" s="56"/>
    </row>
    <row r="1138" spans="1:11" s="52" customFormat="1" ht="18" customHeight="1">
      <c r="A1138" s="53"/>
      <c r="B1138" s="9"/>
      <c r="C1138" s="9" t="s">
        <v>1130</v>
      </c>
      <c r="D1138" s="9"/>
      <c r="E1138" s="53"/>
      <c r="F1138" s="53"/>
      <c r="G1138" s="9" t="s">
        <v>1815</v>
      </c>
      <c r="H1138" s="63" t="s">
        <v>11854</v>
      </c>
      <c r="I1138" s="52" t="s">
        <v>1131</v>
      </c>
      <c r="J1138" s="64" t="str">
        <f>IF(shinsei_SEKOU_JIMU_NAME="","",shinsei_SEKOU_JIMU_NAME)</f>
        <v>株式会社アフェクションウォーク</v>
      </c>
      <c r="K1138" s="56"/>
    </row>
    <row r="1139" spans="1:11" s="52" customFormat="1" ht="18" customHeight="1">
      <c r="A1139" s="53"/>
      <c r="B1139" s="9"/>
      <c r="C1139" s="9" t="s">
        <v>1132</v>
      </c>
      <c r="D1139" s="9"/>
      <c r="E1139" s="53"/>
      <c r="F1139" s="53"/>
      <c r="G1139" s="9" t="s">
        <v>1816</v>
      </c>
      <c r="H1139" s="63" t="s">
        <v>11824</v>
      </c>
      <c r="I1139" s="52" t="s">
        <v>1133</v>
      </c>
      <c r="J1139" s="64" t="str">
        <f>IF(shinsei_SEKOU__address="","",shinsei_SEKOU__address)</f>
        <v>大阪府大阪市北区南扇町1番5号</v>
      </c>
      <c r="K1139" s="56"/>
    </row>
    <row r="1140" spans="1:11" s="52" customFormat="1" ht="18" customHeight="1">
      <c r="A1140" s="53"/>
      <c r="B1140" s="9"/>
      <c r="C1140" s="9" t="s">
        <v>1134</v>
      </c>
      <c r="D1140" s="9"/>
      <c r="E1140" s="53"/>
      <c r="F1140" s="53"/>
      <c r="G1140" s="9" t="s">
        <v>1817</v>
      </c>
      <c r="H1140" s="63" t="s">
        <v>11853</v>
      </c>
      <c r="I1140" s="52" t="s">
        <v>1135</v>
      </c>
      <c r="J1140" s="64" t="str">
        <f>IF(shinsei_SEKOU_ADDRESS="","",shinsei_SEKOU_ADDRESS)</f>
        <v>大阪市北区南扇町1番5号</v>
      </c>
      <c r="K1140" s="56"/>
    </row>
    <row r="1141" spans="1:11" s="52" customFormat="1" ht="18" customHeight="1">
      <c r="A1141" s="53"/>
      <c r="B1141" s="9"/>
      <c r="C1141" s="9" t="s">
        <v>1136</v>
      </c>
      <c r="D1141" s="9"/>
      <c r="E1141" s="53"/>
      <c r="F1141" s="53"/>
      <c r="G1141" s="9" t="s">
        <v>1818</v>
      </c>
      <c r="H1141" s="63" t="s">
        <v>11835</v>
      </c>
      <c r="I1141" s="52" t="s">
        <v>2566</v>
      </c>
      <c r="J1141" s="64" t="str">
        <f>IF(shinsei_SEKOU_TEL="","",shinsei_SEKOU_TEL)</f>
        <v>06-6311-3412</v>
      </c>
      <c r="K1141" s="56"/>
    </row>
    <row r="1142" spans="1:11" s="52" customFormat="1" ht="18" customHeight="1">
      <c r="A1142" s="53"/>
      <c r="B1142" s="53"/>
      <c r="C1142" s="53"/>
      <c r="D1142" s="53"/>
      <c r="E1142" s="53"/>
      <c r="F1142" s="53"/>
      <c r="G1142" s="53"/>
      <c r="K1142" s="56"/>
    </row>
    <row r="1143" spans="1:11" s="52" customFormat="1" ht="18" customHeight="1">
      <c r="A1143" s="53"/>
      <c r="B1143" s="9" t="s">
        <v>2567</v>
      </c>
      <c r="C1143" s="9"/>
      <c r="D1143" s="9"/>
      <c r="E1143" s="53"/>
      <c r="F1143" s="53"/>
      <c r="G1143" s="54"/>
      <c r="H1143" s="54"/>
      <c r="K1143" s="56"/>
    </row>
    <row r="1144" spans="1:11" s="52" customFormat="1" ht="18" customHeight="1">
      <c r="A1144" s="53"/>
      <c r="B1144" s="9"/>
      <c r="C1144" s="9" t="s">
        <v>1103</v>
      </c>
      <c r="D1144" s="9"/>
      <c r="E1144" s="53"/>
      <c r="F1144" s="53"/>
      <c r="G1144" s="9" t="s">
        <v>1819</v>
      </c>
      <c r="H1144" s="63"/>
      <c r="I1144" s="52" t="s">
        <v>2568</v>
      </c>
      <c r="J1144" s="64" t="str">
        <f>IF(shinsei_sekou2_NAME="","",shinsei_sekou2_NAME)</f>
        <v/>
      </c>
      <c r="K1144" s="56"/>
    </row>
    <row r="1145" spans="1:11" s="52" customFormat="1" ht="18" customHeight="1">
      <c r="A1145" s="53"/>
      <c r="B1145" s="9"/>
      <c r="C1145" s="5" t="s">
        <v>1126</v>
      </c>
      <c r="D1145" s="5"/>
      <c r="E1145" s="5"/>
      <c r="F1145" s="5"/>
      <c r="G1145" s="7" t="s">
        <v>2569</v>
      </c>
      <c r="H1145" s="63"/>
      <c r="I1145" s="7" t="s">
        <v>2570</v>
      </c>
      <c r="J1145" s="64" t="str">
        <f>IF(shinsei_sekou2_JIMU_TOUROKU_KIKAN="","",shinsei_sekou2_JIMU_TOUROKU_KIKAN)</f>
        <v/>
      </c>
      <c r="K1145" s="56"/>
    </row>
    <row r="1146" spans="1:11" s="52" customFormat="1" ht="18" customHeight="1">
      <c r="A1146" s="53"/>
      <c r="B1146" s="9"/>
      <c r="C1146" s="5" t="s">
        <v>1128</v>
      </c>
      <c r="D1146" s="5"/>
      <c r="E1146" s="5"/>
      <c r="F1146" s="5"/>
      <c r="G1146" s="7" t="s">
        <v>2571</v>
      </c>
      <c r="H1146" s="63"/>
      <c r="I1146" s="7" t="s">
        <v>2572</v>
      </c>
      <c r="J1146" s="64" t="str">
        <f>IF(shinsei_sekou2_JIMU_NO="","",shinsei_sekou2_JIMU_NO)</f>
        <v/>
      </c>
      <c r="K1146" s="56"/>
    </row>
    <row r="1147" spans="1:11" s="52" customFormat="1" ht="18" customHeight="1">
      <c r="A1147" s="53"/>
      <c r="B1147" s="9"/>
      <c r="C1147" s="9" t="s">
        <v>2573</v>
      </c>
      <c r="D1147" s="9"/>
      <c r="E1147" s="53"/>
      <c r="F1147" s="53"/>
      <c r="G1147" s="9" t="s">
        <v>2574</v>
      </c>
      <c r="H1147" s="63"/>
      <c r="I1147" s="52" t="s">
        <v>4134</v>
      </c>
      <c r="J1147" s="64" t="str">
        <f>IF(shinsei_sekou2_JIMU_NAME="","",shinsei_sekou2_JIMU_NAME)</f>
        <v/>
      </c>
      <c r="K1147" s="56"/>
    </row>
    <row r="1148" spans="1:11" s="52" customFormat="1" ht="18" customHeight="1">
      <c r="A1148" s="53"/>
      <c r="B1148" s="9"/>
      <c r="C1148" s="9" t="s">
        <v>816</v>
      </c>
      <c r="D1148" s="9"/>
      <c r="E1148" s="53"/>
      <c r="F1148" s="53"/>
      <c r="G1148" s="9" t="s">
        <v>4135</v>
      </c>
      <c r="H1148" s="63"/>
      <c r="I1148" s="52" t="s">
        <v>4136</v>
      </c>
      <c r="J1148" s="64" t="str">
        <f>IF(shinsei_sekou2__address="","",shinsei_sekou2__address)</f>
        <v/>
      </c>
      <c r="K1148" s="56"/>
    </row>
    <row r="1149" spans="1:11" s="52" customFormat="1" ht="18" customHeight="1">
      <c r="A1149" s="53"/>
      <c r="B1149" s="9"/>
      <c r="C1149" s="9" t="s">
        <v>1134</v>
      </c>
      <c r="D1149" s="9"/>
      <c r="E1149" s="53"/>
      <c r="F1149" s="53"/>
      <c r="G1149" s="9" t="s">
        <v>4137</v>
      </c>
      <c r="H1149" s="63"/>
      <c r="I1149" s="52" t="s">
        <v>4138</v>
      </c>
      <c r="J1149" s="64" t="str">
        <f>IF(shinsei_sekou2_ADDRESS="","",shinsei_sekou2_ADDRESS)</f>
        <v/>
      </c>
      <c r="K1149" s="56"/>
    </row>
    <row r="1150" spans="1:11" s="52" customFormat="1" ht="18" customHeight="1">
      <c r="A1150" s="53"/>
      <c r="B1150" s="9"/>
      <c r="C1150" s="9" t="s">
        <v>4139</v>
      </c>
      <c r="D1150" s="9"/>
      <c r="E1150" s="53"/>
      <c r="F1150" s="53"/>
      <c r="G1150" s="9" t="s">
        <v>4140</v>
      </c>
      <c r="H1150" s="63"/>
      <c r="I1150" s="52" t="s">
        <v>4141</v>
      </c>
      <c r="J1150" s="64" t="str">
        <f>IF(shinsei_sekou2_TEL="","",shinsei_sekou2_TEL)</f>
        <v/>
      </c>
      <c r="K1150" s="56"/>
    </row>
    <row r="1151" spans="1:11" s="52" customFormat="1" ht="18" customHeight="1">
      <c r="A1151" s="53"/>
      <c r="B1151" s="53"/>
      <c r="C1151" s="53"/>
      <c r="D1151" s="53"/>
      <c r="E1151" s="53"/>
      <c r="F1151" s="53"/>
      <c r="G1151" s="53"/>
      <c r="K1151" s="56"/>
    </row>
    <row r="1152" spans="1:11" s="52" customFormat="1" ht="18" customHeight="1">
      <c r="A1152" s="53"/>
      <c r="B1152" s="9" t="s">
        <v>4142</v>
      </c>
      <c r="C1152" s="9"/>
      <c r="D1152" s="9"/>
      <c r="E1152" s="53"/>
      <c r="F1152" s="53"/>
      <c r="G1152" s="54"/>
      <c r="H1152" s="54"/>
      <c r="K1152" s="56"/>
    </row>
    <row r="1153" spans="1:11" s="52" customFormat="1" ht="18" customHeight="1">
      <c r="A1153" s="53"/>
      <c r="B1153" s="9"/>
      <c r="C1153" s="9" t="s">
        <v>4143</v>
      </c>
      <c r="D1153" s="9"/>
      <c r="E1153" s="53"/>
      <c r="F1153" s="53"/>
      <c r="G1153" s="9" t="s">
        <v>1820</v>
      </c>
      <c r="H1153" s="63"/>
      <c r="I1153" s="52" t="s">
        <v>4144</v>
      </c>
      <c r="J1153" s="64" t="str">
        <f>IF(shinsei_sekou3_NAME="","",shinsei_sekou3_NAME)</f>
        <v/>
      </c>
      <c r="K1153" s="56"/>
    </row>
    <row r="1154" spans="1:11" s="52" customFormat="1" ht="18" customHeight="1">
      <c r="A1154" s="53"/>
      <c r="B1154" s="9"/>
      <c r="C1154" s="5" t="s">
        <v>1126</v>
      </c>
      <c r="D1154" s="5"/>
      <c r="E1154" s="5"/>
      <c r="F1154" s="5"/>
      <c r="G1154" s="7" t="s">
        <v>4145</v>
      </c>
      <c r="H1154" s="63"/>
      <c r="I1154" s="7" t="s">
        <v>4146</v>
      </c>
      <c r="J1154" s="64" t="str">
        <f>IF(shinsei_sekou3_JIMU_TOUROKU_KIKAN="","",shinsei_sekou3_JIMU_TOUROKU_KIKAN)</f>
        <v/>
      </c>
      <c r="K1154" s="56"/>
    </row>
    <row r="1155" spans="1:11" s="52" customFormat="1" ht="18" customHeight="1">
      <c r="A1155" s="53"/>
      <c r="B1155" s="9"/>
      <c r="C1155" s="5" t="s">
        <v>1128</v>
      </c>
      <c r="D1155" s="5"/>
      <c r="E1155" s="5"/>
      <c r="F1155" s="5"/>
      <c r="G1155" s="7" t="s">
        <v>4147</v>
      </c>
      <c r="H1155" s="63"/>
      <c r="I1155" s="7" t="s">
        <v>4148</v>
      </c>
      <c r="J1155" s="64" t="str">
        <f>IF(shinsei_sekou3_JIMU_NO="","",shinsei_sekou3_JIMU_NO)</f>
        <v/>
      </c>
      <c r="K1155" s="56"/>
    </row>
    <row r="1156" spans="1:11" s="52" customFormat="1" ht="18" customHeight="1">
      <c r="A1156" s="53"/>
      <c r="B1156" s="9"/>
      <c r="C1156" s="9" t="s">
        <v>1130</v>
      </c>
      <c r="D1156" s="9"/>
      <c r="E1156" s="53"/>
      <c r="F1156" s="53"/>
      <c r="G1156" s="9" t="s">
        <v>4149</v>
      </c>
      <c r="H1156" s="63"/>
      <c r="I1156" s="52" t="s">
        <v>4150</v>
      </c>
      <c r="J1156" s="64" t="str">
        <f>IF(shinsei_sekou3_JIMU_NAME="","",shinsei_sekou3_JIMU_NAME)</f>
        <v/>
      </c>
      <c r="K1156" s="56"/>
    </row>
    <row r="1157" spans="1:11" s="52" customFormat="1" ht="18" customHeight="1">
      <c r="A1157" s="53"/>
      <c r="B1157" s="9"/>
      <c r="C1157" s="9" t="s">
        <v>816</v>
      </c>
      <c r="D1157" s="9"/>
      <c r="E1157" s="53"/>
      <c r="F1157" s="53"/>
      <c r="G1157" s="9" t="s">
        <v>4151</v>
      </c>
      <c r="H1157" s="63"/>
      <c r="I1157" s="52" t="s">
        <v>4152</v>
      </c>
      <c r="J1157" s="64" t="str">
        <f>IF(shinsei_sekou3__address="","",shinsei_sekou3__address)</f>
        <v/>
      </c>
      <c r="K1157" s="56"/>
    </row>
    <row r="1158" spans="1:11" s="52" customFormat="1" ht="18" customHeight="1">
      <c r="A1158" s="53"/>
      <c r="B1158" s="9"/>
      <c r="C1158" s="9" t="s">
        <v>1134</v>
      </c>
      <c r="D1158" s="9"/>
      <c r="E1158" s="53"/>
      <c r="F1158" s="53"/>
      <c r="G1158" s="9" t="s">
        <v>4153</v>
      </c>
      <c r="H1158" s="63"/>
      <c r="I1158" s="52" t="s">
        <v>4154</v>
      </c>
      <c r="J1158" s="64" t="str">
        <f>IF(shinsei_sekou3_ADDRESS="","",shinsei_sekou3_ADDRESS)</f>
        <v/>
      </c>
      <c r="K1158" s="56"/>
    </row>
    <row r="1159" spans="1:11" s="52" customFormat="1" ht="18" customHeight="1">
      <c r="A1159" s="53"/>
      <c r="B1159" s="9"/>
      <c r="C1159" s="9" t="s">
        <v>1120</v>
      </c>
      <c r="D1159" s="9"/>
      <c r="E1159" s="53"/>
      <c r="F1159" s="53"/>
      <c r="G1159" s="9" t="s">
        <v>4155</v>
      </c>
      <c r="H1159" s="63"/>
      <c r="I1159" s="52" t="s">
        <v>4156</v>
      </c>
      <c r="J1159" s="64" t="str">
        <f>IF(shinsei_sekou3_TEL="","",shinsei_sekou3_TEL)</f>
        <v/>
      </c>
      <c r="K1159" s="56"/>
    </row>
    <row r="1160" spans="1:11" s="52" customFormat="1" ht="18" customHeight="1">
      <c r="A1160" s="53"/>
      <c r="B1160" s="53"/>
      <c r="C1160" s="53"/>
      <c r="D1160" s="53"/>
      <c r="E1160" s="53"/>
      <c r="F1160" s="53"/>
      <c r="G1160" s="53"/>
      <c r="K1160" s="56"/>
    </row>
    <row r="1161" spans="1:11" s="52" customFormat="1" ht="18" customHeight="1">
      <c r="A1161" s="53"/>
      <c r="B1161" s="9" t="s">
        <v>4157</v>
      </c>
      <c r="C1161" s="9"/>
      <c r="D1161" s="9"/>
      <c r="E1161" s="53"/>
      <c r="F1161" s="53"/>
      <c r="G1161" s="54"/>
      <c r="H1161" s="54"/>
      <c r="K1161" s="56"/>
    </row>
    <row r="1162" spans="1:11" s="52" customFormat="1" ht="18" customHeight="1">
      <c r="A1162" s="53"/>
      <c r="B1162" s="9"/>
      <c r="C1162" s="9" t="s">
        <v>4158</v>
      </c>
      <c r="D1162" s="9"/>
      <c r="E1162" s="53"/>
      <c r="F1162" s="53"/>
      <c r="G1162" s="9" t="s">
        <v>4159</v>
      </c>
      <c r="H1162" s="63"/>
      <c r="I1162" s="52" t="s">
        <v>4160</v>
      </c>
      <c r="J1162" s="64" t="str">
        <f>IF(shinsei_sekou4_NAME="","",shinsei_sekou4_NAME)</f>
        <v/>
      </c>
      <c r="K1162" s="56"/>
    </row>
    <row r="1163" spans="1:11" s="52" customFormat="1" ht="18" customHeight="1">
      <c r="A1163" s="53"/>
      <c r="B1163" s="9"/>
      <c r="C1163" s="5" t="s">
        <v>1126</v>
      </c>
      <c r="D1163" s="5"/>
      <c r="E1163" s="5"/>
      <c r="F1163" s="5"/>
      <c r="G1163" s="7" t="s">
        <v>4161</v>
      </c>
      <c r="H1163" s="63"/>
      <c r="I1163" s="7" t="s">
        <v>4162</v>
      </c>
      <c r="J1163" s="64" t="str">
        <f>IF(shinsei_sekou4_JIMU_TOUROKU_KIKAN="","",shinsei_sekou4_JIMU_TOUROKU_KIKAN)</f>
        <v/>
      </c>
      <c r="K1163" s="56"/>
    </row>
    <row r="1164" spans="1:11" s="52" customFormat="1" ht="18" customHeight="1">
      <c r="A1164" s="53"/>
      <c r="B1164" s="9"/>
      <c r="C1164" s="5" t="s">
        <v>1128</v>
      </c>
      <c r="D1164" s="5"/>
      <c r="E1164" s="5"/>
      <c r="F1164" s="5"/>
      <c r="G1164" s="7" t="s">
        <v>4163</v>
      </c>
      <c r="H1164" s="63"/>
      <c r="I1164" s="7" t="s">
        <v>4164</v>
      </c>
      <c r="J1164" s="64" t="str">
        <f>IF(shinsei_sekou4_JIMU_NO="","",shinsei_sekou4_JIMU_NO)</f>
        <v/>
      </c>
      <c r="K1164" s="56"/>
    </row>
    <row r="1165" spans="1:11" s="52" customFormat="1" ht="18" customHeight="1">
      <c r="A1165" s="53"/>
      <c r="B1165" s="9"/>
      <c r="C1165" s="9" t="s">
        <v>1130</v>
      </c>
      <c r="D1165" s="9"/>
      <c r="E1165" s="53"/>
      <c r="F1165" s="53"/>
      <c r="G1165" s="9" t="s">
        <v>4165</v>
      </c>
      <c r="H1165" s="63"/>
      <c r="I1165" s="52" t="s">
        <v>4166</v>
      </c>
      <c r="J1165" s="64" t="str">
        <f>IF(shinsei_sekou4_JIMU_NAME="","",shinsei_sekou4_JIMU_NAME)</f>
        <v/>
      </c>
      <c r="K1165" s="56"/>
    </row>
    <row r="1166" spans="1:11" s="52" customFormat="1" ht="18" customHeight="1">
      <c r="A1166" s="53"/>
      <c r="B1166" s="9"/>
      <c r="C1166" s="9" t="s">
        <v>1033</v>
      </c>
      <c r="D1166" s="9"/>
      <c r="E1166" s="53"/>
      <c r="F1166" s="53"/>
      <c r="G1166" s="9" t="s">
        <v>4167</v>
      </c>
      <c r="H1166" s="63"/>
      <c r="I1166" s="52" t="s">
        <v>4168</v>
      </c>
      <c r="J1166" s="64" t="str">
        <f>IF(shinsei_sekou4__address="","",shinsei_sekou4__address)</f>
        <v/>
      </c>
      <c r="K1166" s="56"/>
    </row>
    <row r="1167" spans="1:11" s="52" customFormat="1" ht="18" customHeight="1">
      <c r="A1167" s="53"/>
      <c r="B1167" s="9"/>
      <c r="C1167" s="9" t="s">
        <v>1134</v>
      </c>
      <c r="D1167" s="9"/>
      <c r="E1167" s="53"/>
      <c r="F1167" s="53"/>
      <c r="G1167" s="9" t="s">
        <v>4169</v>
      </c>
      <c r="H1167" s="63"/>
      <c r="I1167" s="52" t="s">
        <v>4170</v>
      </c>
      <c r="J1167" s="64" t="str">
        <f>IF(shinsei_sekou4_ADDRESS="","",shinsei_sekou4_ADDRESS)</f>
        <v/>
      </c>
      <c r="K1167" s="56"/>
    </row>
    <row r="1168" spans="1:11" s="52" customFormat="1" ht="18" customHeight="1">
      <c r="A1168" s="53"/>
      <c r="B1168" s="9"/>
      <c r="C1168" s="9" t="s">
        <v>2785</v>
      </c>
      <c r="D1168" s="9"/>
      <c r="E1168" s="53"/>
      <c r="F1168" s="53"/>
      <c r="G1168" s="9" t="s">
        <v>4171</v>
      </c>
      <c r="H1168" s="63"/>
      <c r="I1168" s="52" t="s">
        <v>4172</v>
      </c>
      <c r="J1168" s="64" t="str">
        <f>IF(shinsei_sekou4_TEL="","",shinsei_sekou4_TEL)</f>
        <v/>
      </c>
      <c r="K1168" s="56"/>
    </row>
    <row r="1169" spans="1:11" s="52" customFormat="1" ht="18" customHeight="1">
      <c r="A1169" s="53"/>
      <c r="B1169" s="53"/>
      <c r="C1169" s="53"/>
      <c r="D1169" s="53"/>
      <c r="E1169" s="53"/>
      <c r="F1169" s="53"/>
      <c r="G1169" s="53"/>
      <c r="K1169" s="56"/>
    </row>
    <row r="1170" spans="1:11" s="52" customFormat="1" ht="18" customHeight="1">
      <c r="A1170" s="53"/>
      <c r="B1170" s="9" t="s">
        <v>4173</v>
      </c>
      <c r="C1170" s="9"/>
      <c r="D1170" s="9"/>
      <c r="E1170" s="53"/>
      <c r="F1170" s="53"/>
      <c r="G1170" s="54"/>
      <c r="H1170" s="54"/>
      <c r="K1170" s="56"/>
    </row>
    <row r="1171" spans="1:11" s="52" customFormat="1" ht="18" customHeight="1">
      <c r="A1171" s="53"/>
      <c r="B1171" s="9"/>
      <c r="C1171" s="9" t="s">
        <v>4174</v>
      </c>
      <c r="D1171" s="9"/>
      <c r="E1171" s="53"/>
      <c r="F1171" s="53"/>
      <c r="G1171" s="9" t="s">
        <v>4175</v>
      </c>
      <c r="H1171" s="63"/>
      <c r="I1171" s="52" t="s">
        <v>4176</v>
      </c>
      <c r="J1171" s="64" t="str">
        <f>IF(shinsei_sekou5_NAME="","",shinsei_sekou5_NAME)</f>
        <v/>
      </c>
      <c r="K1171" s="56"/>
    </row>
    <row r="1172" spans="1:11" s="52" customFormat="1" ht="18" customHeight="1">
      <c r="A1172" s="53"/>
      <c r="B1172" s="9"/>
      <c r="C1172" s="5" t="s">
        <v>1126</v>
      </c>
      <c r="D1172" s="5"/>
      <c r="E1172" s="5"/>
      <c r="F1172" s="5"/>
      <c r="G1172" s="7" t="s">
        <v>4177</v>
      </c>
      <c r="H1172" s="63"/>
      <c r="I1172" s="7" t="s">
        <v>4178</v>
      </c>
      <c r="J1172" s="64" t="str">
        <f>IF(shinsei_sekou5_JIMU_TOUROKU_KIKAN="","",shinsei_sekou5_JIMU_TOUROKU_KIKAN)</f>
        <v/>
      </c>
      <c r="K1172" s="56"/>
    </row>
    <row r="1173" spans="1:11" s="52" customFormat="1" ht="18" customHeight="1">
      <c r="A1173" s="53"/>
      <c r="B1173" s="9"/>
      <c r="C1173" s="5" t="s">
        <v>1128</v>
      </c>
      <c r="D1173" s="5"/>
      <c r="E1173" s="5"/>
      <c r="F1173" s="5"/>
      <c r="G1173" s="7" t="s">
        <v>4179</v>
      </c>
      <c r="H1173" s="63"/>
      <c r="I1173" s="7" t="s">
        <v>4180</v>
      </c>
      <c r="J1173" s="64" t="str">
        <f>IF(shinsei_sekou5_JIMU_NO="","",shinsei_sekou5_JIMU_NO)</f>
        <v/>
      </c>
      <c r="K1173" s="56"/>
    </row>
    <row r="1174" spans="1:11" s="52" customFormat="1" ht="18" customHeight="1">
      <c r="A1174" s="53"/>
      <c r="B1174" s="9"/>
      <c r="C1174" s="9" t="s">
        <v>1130</v>
      </c>
      <c r="D1174" s="9"/>
      <c r="E1174" s="53"/>
      <c r="F1174" s="53"/>
      <c r="G1174" s="9" t="s">
        <v>4181</v>
      </c>
      <c r="H1174" s="63"/>
      <c r="I1174" s="52" t="s">
        <v>4182</v>
      </c>
      <c r="J1174" s="64" t="str">
        <f>IF(shinsei_sekou5_JIMU_NAME="","",shinsei_sekou5_JIMU_NAME)</f>
        <v/>
      </c>
      <c r="K1174" s="56"/>
    </row>
    <row r="1175" spans="1:11" s="52" customFormat="1" ht="18" customHeight="1">
      <c r="A1175" s="53"/>
      <c r="B1175" s="9"/>
      <c r="C1175" s="9" t="s">
        <v>816</v>
      </c>
      <c r="D1175" s="9"/>
      <c r="E1175" s="53"/>
      <c r="F1175" s="53"/>
      <c r="G1175" s="9" t="s">
        <v>4183</v>
      </c>
      <c r="H1175" s="63"/>
      <c r="I1175" s="52" t="s">
        <v>4184</v>
      </c>
      <c r="J1175" s="64" t="str">
        <f>IF(shinsei_sekou5__address="","",shinsei_sekou5__address)</f>
        <v/>
      </c>
      <c r="K1175" s="56"/>
    </row>
    <row r="1176" spans="1:11" s="52" customFormat="1" ht="18" customHeight="1">
      <c r="A1176" s="53"/>
      <c r="B1176" s="9"/>
      <c r="C1176" s="9" t="s">
        <v>1134</v>
      </c>
      <c r="D1176" s="9"/>
      <c r="E1176" s="53"/>
      <c r="F1176" s="53"/>
      <c r="G1176" s="9" t="s">
        <v>4185</v>
      </c>
      <c r="H1176" s="63"/>
      <c r="I1176" s="52" t="s">
        <v>4186</v>
      </c>
      <c r="J1176" s="64" t="str">
        <f>IF(shinsei_sekou5_ADDRESS="","",shinsei_sekou5_ADDRESS)</f>
        <v/>
      </c>
      <c r="K1176" s="56"/>
    </row>
    <row r="1177" spans="1:11" s="52" customFormat="1" ht="18" customHeight="1">
      <c r="A1177" s="53"/>
      <c r="B1177" s="9"/>
      <c r="C1177" s="9" t="s">
        <v>980</v>
      </c>
      <c r="D1177" s="9"/>
      <c r="E1177" s="53"/>
      <c r="F1177" s="53"/>
      <c r="G1177" s="9" t="s">
        <v>4187</v>
      </c>
      <c r="H1177" s="63"/>
      <c r="I1177" s="52" t="s">
        <v>4188</v>
      </c>
      <c r="J1177" s="64" t="str">
        <f>IF(shinsei_sekou5_TEL="","",shinsei_sekou5_TEL)</f>
        <v/>
      </c>
      <c r="K1177" s="56"/>
    </row>
    <row r="1178" spans="1:11" s="52" customFormat="1" ht="18" customHeight="1">
      <c r="A1178" s="53"/>
      <c r="B1178" s="53"/>
      <c r="C1178" s="53"/>
      <c r="D1178" s="53"/>
      <c r="E1178" s="53"/>
      <c r="F1178" s="53"/>
      <c r="G1178" s="53"/>
      <c r="K1178" s="56"/>
    </row>
    <row r="1179" spans="1:11" s="52" customFormat="1" ht="18" customHeight="1">
      <c r="A1179" s="53"/>
      <c r="B1179" s="9" t="s">
        <v>4189</v>
      </c>
      <c r="C1179" s="9"/>
      <c r="D1179" s="9"/>
      <c r="E1179" s="53"/>
      <c r="F1179" s="53"/>
      <c r="G1179" s="54"/>
      <c r="H1179" s="54"/>
      <c r="K1179" s="56"/>
    </row>
    <row r="1180" spans="1:11" s="52" customFormat="1" ht="18" customHeight="1">
      <c r="A1180" s="53"/>
      <c r="B1180" s="9"/>
      <c r="C1180" s="9" t="s">
        <v>4143</v>
      </c>
      <c r="D1180" s="9"/>
      <c r="E1180" s="53"/>
      <c r="F1180" s="53"/>
      <c r="G1180" s="9" t="s">
        <v>4190</v>
      </c>
      <c r="H1180" s="63"/>
      <c r="I1180" s="52" t="s">
        <v>4191</v>
      </c>
      <c r="J1180" s="64" t="str">
        <f>IF(shinsei_sekou6_NAME="","",shinsei_sekou6_NAME)</f>
        <v/>
      </c>
      <c r="K1180" s="56"/>
    </row>
    <row r="1181" spans="1:11" s="52" customFormat="1" ht="18" customHeight="1">
      <c r="A1181" s="53"/>
      <c r="B1181" s="9"/>
      <c r="C1181" s="5" t="s">
        <v>1126</v>
      </c>
      <c r="D1181" s="5"/>
      <c r="E1181" s="5"/>
      <c r="F1181" s="5"/>
      <c r="G1181" s="7" t="s">
        <v>4192</v>
      </c>
      <c r="H1181" s="63"/>
      <c r="I1181" s="7" t="s">
        <v>4193</v>
      </c>
      <c r="J1181" s="64" t="str">
        <f>IF(shinsei_sekou6_JIMU_TOUROKU_KIKAN="","",shinsei_sekou6_JIMU_TOUROKU_KIKAN)</f>
        <v/>
      </c>
      <c r="K1181" s="56"/>
    </row>
    <row r="1182" spans="1:11" s="52" customFormat="1" ht="18" customHeight="1">
      <c r="A1182" s="53"/>
      <c r="B1182" s="9"/>
      <c r="C1182" s="5" t="s">
        <v>1128</v>
      </c>
      <c r="D1182" s="5"/>
      <c r="E1182" s="5"/>
      <c r="F1182" s="5"/>
      <c r="G1182" s="7" t="s">
        <v>4194</v>
      </c>
      <c r="H1182" s="63"/>
      <c r="I1182" s="7" t="s">
        <v>4195</v>
      </c>
      <c r="J1182" s="64" t="str">
        <f>IF(shinsei_sekou6_JIMU_NO="","",shinsei_sekou6_JIMU_NO)</f>
        <v/>
      </c>
      <c r="K1182" s="56"/>
    </row>
    <row r="1183" spans="1:11" s="52" customFormat="1" ht="18" customHeight="1">
      <c r="A1183" s="53"/>
      <c r="B1183" s="9"/>
      <c r="C1183" s="9" t="s">
        <v>1130</v>
      </c>
      <c r="D1183" s="9"/>
      <c r="E1183" s="53"/>
      <c r="F1183" s="53"/>
      <c r="G1183" s="9" t="s">
        <v>4196</v>
      </c>
      <c r="H1183" s="63"/>
      <c r="I1183" s="52" t="s">
        <v>4197</v>
      </c>
      <c r="J1183" s="64" t="str">
        <f>IF(shinsei_sekou6_JIMU_NAME="","",shinsei_sekou6_JIMU_NAME)</f>
        <v/>
      </c>
      <c r="K1183" s="56"/>
    </row>
    <row r="1184" spans="1:11" s="52" customFormat="1" ht="18" customHeight="1">
      <c r="A1184" s="53"/>
      <c r="B1184" s="9"/>
      <c r="C1184" s="9" t="s">
        <v>816</v>
      </c>
      <c r="D1184" s="9"/>
      <c r="E1184" s="53"/>
      <c r="F1184" s="53"/>
      <c r="G1184" s="9" t="s">
        <v>4198</v>
      </c>
      <c r="H1184" s="63"/>
      <c r="I1184" s="52" t="s">
        <v>4199</v>
      </c>
      <c r="J1184" s="64" t="str">
        <f>IF(shinsei_sekou6__address="","",shinsei_sekou6__address)</f>
        <v/>
      </c>
      <c r="K1184" s="56"/>
    </row>
    <row r="1185" spans="1:11" s="52" customFormat="1" ht="18" customHeight="1">
      <c r="A1185" s="53"/>
      <c r="B1185" s="9"/>
      <c r="C1185" s="9" t="s">
        <v>1134</v>
      </c>
      <c r="D1185" s="9"/>
      <c r="E1185" s="53"/>
      <c r="F1185" s="53"/>
      <c r="G1185" s="9" t="s">
        <v>4200</v>
      </c>
      <c r="H1185" s="63"/>
      <c r="I1185" s="52" t="s">
        <v>4201</v>
      </c>
      <c r="J1185" s="64" t="str">
        <f>IF(shinsei_sekou6_ADDRESS="","",shinsei_sekou6_ADDRESS)</f>
        <v/>
      </c>
      <c r="K1185" s="56"/>
    </row>
    <row r="1186" spans="1:11" s="52" customFormat="1" ht="18" customHeight="1">
      <c r="A1186" s="53"/>
      <c r="B1186" s="9"/>
      <c r="C1186" s="9" t="s">
        <v>2785</v>
      </c>
      <c r="D1186" s="9"/>
      <c r="E1186" s="53"/>
      <c r="F1186" s="53"/>
      <c r="G1186" s="9" t="s">
        <v>4202</v>
      </c>
      <c r="H1186" s="63"/>
      <c r="I1186" s="52" t="s">
        <v>4203</v>
      </c>
      <c r="J1186" s="64" t="str">
        <f>IF(shinsei_sekou6_TEL="","",shinsei_sekou6_TEL)</f>
        <v/>
      </c>
      <c r="K1186" s="56"/>
    </row>
    <row r="1187" spans="1:11" s="52" customFormat="1" ht="18" customHeight="1">
      <c r="A1187" s="53"/>
      <c r="B1187" s="53"/>
      <c r="C1187" s="53"/>
      <c r="D1187" s="53"/>
      <c r="E1187" s="53"/>
      <c r="F1187" s="53"/>
      <c r="G1187" s="53"/>
      <c r="K1187" s="56"/>
    </row>
    <row r="1188" spans="1:11" s="52" customFormat="1" ht="18" customHeight="1">
      <c r="A1188" s="53"/>
      <c r="B1188" s="53"/>
      <c r="C1188" s="53"/>
      <c r="D1188" s="53"/>
      <c r="E1188" s="53"/>
      <c r="F1188" s="53"/>
      <c r="G1188" s="53"/>
      <c r="K1188" s="56"/>
    </row>
    <row r="1189" spans="1:11" ht="18" customHeight="1">
      <c r="B1189" s="5" t="s">
        <v>10872</v>
      </c>
      <c r="G1189" s="6" t="s">
        <v>10871</v>
      </c>
      <c r="H1189" s="63"/>
    </row>
    <row r="1190" spans="1:11" s="52" customFormat="1" ht="18" customHeight="1">
      <c r="A1190" s="53"/>
      <c r="B1190" s="53"/>
      <c r="C1190" s="53"/>
      <c r="D1190" s="53"/>
      <c r="E1190" s="53"/>
      <c r="F1190" s="53"/>
      <c r="G1190" s="53"/>
      <c r="K1190" s="56"/>
    </row>
    <row r="1191" spans="1:11" s="52" customFormat="1" ht="18" customHeight="1">
      <c r="A1191" s="53"/>
      <c r="B1191" s="53"/>
      <c r="C1191" s="53"/>
      <c r="D1191" s="53"/>
      <c r="E1191" s="53"/>
      <c r="F1191" s="53"/>
      <c r="G1191" s="53"/>
      <c r="K1191" s="56"/>
    </row>
    <row r="1192" spans="1:11" s="52" customFormat="1" ht="18" customHeight="1">
      <c r="A1192" s="53"/>
      <c r="B1192" s="53"/>
      <c r="C1192" s="53"/>
      <c r="D1192" s="53"/>
      <c r="E1192" s="53"/>
      <c r="F1192" s="53"/>
      <c r="G1192" s="53"/>
      <c r="K1192" s="56"/>
    </row>
    <row r="1194" spans="1:11" ht="18" customHeight="1">
      <c r="A1194" s="26" t="s">
        <v>4204</v>
      </c>
      <c r="B1194" s="26"/>
      <c r="C1194" s="26"/>
      <c r="D1194" s="26"/>
      <c r="E1194" s="26"/>
      <c r="F1194" s="26"/>
      <c r="G1194" s="37"/>
    </row>
    <row r="1196" spans="1:11" s="10" customFormat="1" ht="18" customHeight="1">
      <c r="A1196" s="11"/>
      <c r="B1196" s="12" t="s">
        <v>2575</v>
      </c>
      <c r="C1196" s="12"/>
      <c r="D1196" s="12"/>
      <c r="E1196" s="12"/>
      <c r="F1196" s="12"/>
      <c r="G1196" s="12"/>
      <c r="H1196" s="9"/>
      <c r="I1196" s="9"/>
    </row>
    <row r="1197" spans="1:11" s="10" customFormat="1" ht="18" customHeight="1">
      <c r="A1197" s="11"/>
      <c r="B1197" s="12"/>
      <c r="C1197" s="12" t="s">
        <v>4205</v>
      </c>
      <c r="D1197" s="11"/>
      <c r="E1197" s="11"/>
      <c r="F1197" s="11"/>
      <c r="G1197" s="12" t="s">
        <v>4206</v>
      </c>
      <c r="H1197" s="13" t="s">
        <v>11810</v>
      </c>
      <c r="I1197" s="16" t="s">
        <v>4207</v>
      </c>
      <c r="J1197" s="17" t="str">
        <f>IF(shinsei_build_address="","",shinsei_build_address)</f>
        <v>大阪府東大阪市御厨南1丁目563-6の一部</v>
      </c>
    </row>
    <row r="1198" spans="1:11" s="10" customFormat="1" ht="18" customHeight="1">
      <c r="A1198" s="11"/>
      <c r="B1198" s="12"/>
      <c r="C1198" s="12" t="s">
        <v>4208</v>
      </c>
      <c r="D1198" s="11"/>
      <c r="E1198" s="11"/>
      <c r="F1198" s="11"/>
      <c r="G1198" s="12" t="s">
        <v>4209</v>
      </c>
      <c r="H1198" s="13" t="s">
        <v>11813</v>
      </c>
      <c r="I1198" s="16" t="s">
        <v>4210</v>
      </c>
      <c r="J1198" s="17" t="str">
        <f>IF(shinsei_build_JYUKYO__address="","",shinsei_build_JYUKYO__address)</f>
        <v>大阪府東大阪市御厨南1丁目（以下未定）</v>
      </c>
    </row>
    <row r="1200" spans="1:11" ht="18" customHeight="1">
      <c r="B1200" s="5" t="s">
        <v>4211</v>
      </c>
      <c r="G1200" s="12" t="s">
        <v>1821</v>
      </c>
      <c r="H1200" s="65">
        <v>207.56</v>
      </c>
      <c r="I1200" s="9" t="s">
        <v>4212</v>
      </c>
      <c r="J1200" s="65">
        <f>IF(shinsei_build_SHIKITI_MENSEKI_1_TOTAL="","",shinsei_build_SHIKITI_MENSEKI_1_TOTAL)</f>
        <v>207.56</v>
      </c>
    </row>
    <row r="1201" spans="1:11" s="27" customFormat="1" ht="18" customHeight="1">
      <c r="A1201" s="14"/>
      <c r="B1201" s="14"/>
      <c r="C1201" s="14"/>
      <c r="D1201" s="14"/>
      <c r="E1201" s="14"/>
      <c r="F1201" s="14"/>
      <c r="G1201" s="12"/>
      <c r="H1201" s="66"/>
      <c r="I1201" s="9"/>
      <c r="J1201" s="66"/>
    </row>
    <row r="1202" spans="1:11" s="10" customFormat="1" ht="18" customHeight="1">
      <c r="A1202" s="11"/>
      <c r="B1202" s="12" t="s">
        <v>4213</v>
      </c>
      <c r="C1202" s="12"/>
      <c r="D1202" s="12"/>
      <c r="E1202" s="12"/>
      <c r="F1202" s="12"/>
      <c r="G1202" s="12"/>
      <c r="H1202" s="9"/>
      <c r="I1202" s="9"/>
      <c r="K1202" s="10" t="s">
        <v>4214</v>
      </c>
    </row>
    <row r="1203" spans="1:11" s="10" customFormat="1" ht="18" customHeight="1">
      <c r="A1203" s="11"/>
      <c r="B1203" s="12"/>
      <c r="C1203" s="12" t="s">
        <v>4215</v>
      </c>
      <c r="D1203" s="12"/>
      <c r="E1203" s="12"/>
      <c r="F1203" s="12"/>
      <c r="G1203" s="12" t="s">
        <v>4216</v>
      </c>
      <c r="H1203" s="65">
        <v>254.07</v>
      </c>
      <c r="I1203" s="9" t="s">
        <v>4217</v>
      </c>
      <c r="J1203" s="67">
        <f>IF(shinsei_build_NOBE_MENSEKI_BILL_SHINSEI="","",shinsei_build_NOBE_MENSEKI_BILL_SHINSEI)</f>
        <v>254.07</v>
      </c>
    </row>
    <row r="1204" spans="1:11" s="10" customFormat="1" ht="18" customHeight="1">
      <c r="A1204" s="11"/>
      <c r="B1204" s="12"/>
      <c r="C1204" s="12" t="s">
        <v>4218</v>
      </c>
      <c r="D1204" s="12"/>
      <c r="E1204" s="12"/>
      <c r="F1204" s="12"/>
      <c r="G1204" s="12" t="s">
        <v>1822</v>
      </c>
      <c r="H1204" s="65">
        <v>0</v>
      </c>
      <c r="I1204" s="9" t="s">
        <v>4219</v>
      </c>
      <c r="J1204" s="67">
        <f>IF(shinsei_build_NOBE_MENSEKI_BILL_SHINSEI_IGAI__zero="","",shinsei_build_NOBE_MENSEKI_BILL_SHINSEI_IGAI__zero)</f>
        <v>0</v>
      </c>
      <c r="K1204" s="10" t="s">
        <v>4220</v>
      </c>
    </row>
    <row r="1205" spans="1:11" s="10" customFormat="1" ht="18" customHeight="1">
      <c r="A1205" s="11"/>
      <c r="B1205" s="12"/>
      <c r="C1205" s="12"/>
      <c r="D1205" s="68" t="s">
        <v>4221</v>
      </c>
      <c r="E1205" s="12"/>
      <c r="F1205" s="12"/>
      <c r="G1205" s="12"/>
      <c r="H1205" s="9"/>
      <c r="I1205" s="9" t="s">
        <v>4222</v>
      </c>
      <c r="J1205" s="69" t="str">
        <f>IF(OR(shinsei_build_NOBE_MENSEKI_BILL_SHINSEI_IGAI__zero="",shinsei_build_NOBE_MENSEKI_BILL_SHINSEI_IGAI__zero=0),"－",shinsei_build_NOBE_MENSEKI_BILL_SHINSEI_IGAI__zero)</f>
        <v>－</v>
      </c>
      <c r="K1205" s="10" t="s">
        <v>4223</v>
      </c>
    </row>
    <row r="1206" spans="1:11" s="10" customFormat="1" ht="18" customHeight="1">
      <c r="A1206" s="11"/>
      <c r="B1206" s="12"/>
      <c r="C1206" s="12" t="s">
        <v>4224</v>
      </c>
      <c r="D1206" s="12"/>
      <c r="E1206" s="12"/>
      <c r="F1206" s="12"/>
      <c r="G1206" s="12" t="s">
        <v>1823</v>
      </c>
      <c r="H1206" s="65">
        <v>254.07</v>
      </c>
      <c r="I1206" s="9" t="s">
        <v>4225</v>
      </c>
      <c r="J1206" s="67">
        <f>IF(shinsei_build_NOBE_MENSEKI_BILL_SHINSEI_TOTAL="","",shinsei_build_NOBE_MENSEKI_BILL_SHINSEI_TOTAL)</f>
        <v>254.07</v>
      </c>
    </row>
    <row r="1207" spans="1:11" s="10" customFormat="1" ht="18" customHeight="1">
      <c r="A1207" s="11"/>
      <c r="B1207" s="12" t="s">
        <v>4226</v>
      </c>
      <c r="C1207" s="12"/>
      <c r="D1207" s="12"/>
      <c r="E1207" s="12"/>
      <c r="F1207" s="12"/>
      <c r="G1207" s="12" t="s">
        <v>1824</v>
      </c>
      <c r="H1207" s="65">
        <v>300</v>
      </c>
      <c r="I1207" s="9" t="s">
        <v>4227</v>
      </c>
      <c r="J1207" s="67">
        <f>IF(shinsei_build_YOUSEKI_RITU_A="","",shinsei_build_YOUSEKI_RITU_A)</f>
        <v>300</v>
      </c>
    </row>
    <row r="1208" spans="1:11" s="10" customFormat="1" ht="18" customHeight="1">
      <c r="A1208" s="11"/>
      <c r="B1208" s="12" t="s">
        <v>4228</v>
      </c>
      <c r="C1208" s="12"/>
      <c r="D1208" s="12"/>
      <c r="E1208" s="12"/>
      <c r="F1208" s="12"/>
      <c r="G1208" s="12" t="s">
        <v>1825</v>
      </c>
      <c r="H1208" s="65">
        <v>80</v>
      </c>
      <c r="I1208" s="9" t="s">
        <v>4229</v>
      </c>
      <c r="J1208" s="67">
        <f>IF(shinsei_build_KENPEI_RITU_A="","",shinsei_build_KENPEI_RITU_A)</f>
        <v>80</v>
      </c>
    </row>
    <row r="1209" spans="1:11" s="10" customFormat="1" ht="18" customHeight="1">
      <c r="A1209" s="11"/>
      <c r="B1209" s="12" t="s">
        <v>4230</v>
      </c>
      <c r="C1209" s="12"/>
      <c r="D1209" s="12"/>
      <c r="E1209" s="12"/>
      <c r="F1209" s="12"/>
      <c r="G1209" s="12" t="s">
        <v>1826</v>
      </c>
      <c r="H1209" s="65">
        <v>62.9</v>
      </c>
      <c r="I1209" s="9" t="s">
        <v>4231</v>
      </c>
      <c r="J1209" s="67">
        <f>IF(shinsei_build_KENPEI_RITU="","",shinsei_build_KENPEI_RITU)</f>
        <v>62.9</v>
      </c>
    </row>
    <row r="1210" spans="1:11" s="10" customFormat="1" ht="18" customHeight="1">
      <c r="A1210" s="11"/>
      <c r="B1210" s="12" t="s">
        <v>4232</v>
      </c>
      <c r="C1210" s="12"/>
      <c r="D1210" s="12"/>
      <c r="E1210" s="12"/>
      <c r="F1210" s="12"/>
      <c r="G1210" s="12" t="s">
        <v>1827</v>
      </c>
      <c r="H1210" s="65">
        <v>122.41</v>
      </c>
      <c r="I1210" s="9" t="s">
        <v>4233</v>
      </c>
      <c r="J1210" s="67">
        <f>IF(shinsei_build_YOUSEKI_RITU="","",shinsei_build_YOUSEKI_RITU)</f>
        <v>122.41</v>
      </c>
    </row>
    <row r="1211" spans="1:11" s="10" customFormat="1" ht="18" customHeight="1">
      <c r="A1211" s="11"/>
      <c r="B1211" s="12" t="s">
        <v>4234</v>
      </c>
      <c r="C1211" s="12"/>
      <c r="D1211" s="12"/>
      <c r="E1211" s="12"/>
      <c r="F1211" s="12"/>
      <c r="G1211" s="12" t="s">
        <v>1828</v>
      </c>
      <c r="H1211" s="20">
        <v>1</v>
      </c>
      <c r="I1211" s="16" t="s">
        <v>4235</v>
      </c>
      <c r="J1211" s="17">
        <f>IF(shinsei_build_BILL_SHINSEI_COUNT="","",shinsei_build_BILL_SHINSEI_COUNT)</f>
        <v>1</v>
      </c>
    </row>
    <row r="1212" spans="1:11" s="10" customFormat="1" ht="18" customHeight="1">
      <c r="A1212" s="11"/>
      <c r="B1212" s="12"/>
      <c r="C1212" s="12"/>
      <c r="D1212" s="12"/>
      <c r="E1212" s="12"/>
      <c r="F1212" s="12"/>
      <c r="G1212" s="12"/>
      <c r="H1212" s="9"/>
      <c r="I1212" s="16" t="s">
        <v>4236</v>
      </c>
      <c r="J1212" s="17">
        <f>IF(shinsei_KAKU_SUMI_KOUFU_DATE&lt;=DATEVALUE("2012/2/12"),cst_shinsei_build_BILL_SHINSEI_COUNT,cst_shinsei_build_BILL_SHINSEI_COUNT&amp;" 棟")</f>
        <v>1</v>
      </c>
      <c r="K1212" s="10" t="s">
        <v>4237</v>
      </c>
    </row>
    <row r="1213" spans="1:11" s="10" customFormat="1" ht="18" customHeight="1">
      <c r="A1213" s="11"/>
      <c r="B1213" s="12" t="s">
        <v>4238</v>
      </c>
      <c r="C1213" s="12"/>
      <c r="D1213" s="12"/>
      <c r="E1213" s="12"/>
      <c r="F1213" s="12"/>
      <c r="G1213" s="12" t="s">
        <v>1829</v>
      </c>
      <c r="H1213" s="20">
        <v>0</v>
      </c>
      <c r="I1213" s="16" t="s">
        <v>4239</v>
      </c>
      <c r="J1213" s="17">
        <f>IF(shinsei_build_BILL_SONOTA_COUNT="",0,shinsei_build_BILL_SONOTA_COUNT)</f>
        <v>0</v>
      </c>
    </row>
    <row r="1214" spans="1:11" s="10" customFormat="1" ht="18" customHeight="1">
      <c r="A1214" s="11"/>
      <c r="B1214" s="12" t="s">
        <v>4240</v>
      </c>
      <c r="C1214" s="12"/>
      <c r="D1214" s="12"/>
      <c r="E1214" s="12"/>
      <c r="F1214" s="12"/>
      <c r="G1214" s="12"/>
      <c r="H1214" s="9"/>
      <c r="I1214" s="9"/>
      <c r="J1214" s="9"/>
    </row>
    <row r="1215" spans="1:11" s="10" customFormat="1" ht="18" customHeight="1">
      <c r="A1215" s="11"/>
      <c r="B1215" s="12"/>
      <c r="C1215" s="12" t="s">
        <v>4241</v>
      </c>
      <c r="D1215" s="12"/>
      <c r="E1215" s="12"/>
      <c r="F1215" s="12"/>
      <c r="G1215" s="12" t="s">
        <v>4242</v>
      </c>
      <c r="H1215" s="20">
        <v>2</v>
      </c>
      <c r="I1215" s="16" t="s">
        <v>4243</v>
      </c>
      <c r="J1215" s="17">
        <f>IF(shinsei_build_KAISU_TIJYOU_SHINSEI="","",shinsei_build_KAISU_TIJYOU_SHINSEI)</f>
        <v>2</v>
      </c>
    </row>
    <row r="1216" spans="1:11" s="10" customFormat="1" ht="18" customHeight="1">
      <c r="A1216" s="11"/>
      <c r="B1216" s="12"/>
      <c r="C1216" s="12"/>
      <c r="D1216" s="12"/>
      <c r="E1216" s="12"/>
      <c r="F1216" s="12"/>
      <c r="G1216" s="12"/>
      <c r="H1216" s="9"/>
      <c r="I1216" s="16" t="s">
        <v>4244</v>
      </c>
      <c r="J1216" s="17">
        <f>IF(shinsei_KAKU_SUMI_KOUFU_DATE&lt;=DATEVALUE("2012/2/12"),cst_shinsei_build_KAISU_TIJYOU_SHINSEI,cst_shinsei_build_KAISU_TIJYOU_SHINSEI&amp;" 階")</f>
        <v>2</v>
      </c>
    </row>
    <row r="1217" spans="1:11" s="10" customFormat="1" ht="18" customHeight="1">
      <c r="A1217" s="11"/>
      <c r="B1217" s="12"/>
      <c r="C1217" s="12" t="s">
        <v>4245</v>
      </c>
      <c r="D1217" s="12"/>
      <c r="E1217" s="12"/>
      <c r="F1217" s="12"/>
      <c r="G1217" s="12" t="s">
        <v>1830</v>
      </c>
      <c r="H1217" s="20">
        <v>0</v>
      </c>
      <c r="I1217" s="16" t="s">
        <v>4246</v>
      </c>
      <c r="J1217" s="19">
        <f>IF(shinsei_build_KAISU_TIKA_SHINSEI__zero="","",shinsei_build_KAISU_TIKA_SHINSEI__zero)</f>
        <v>0</v>
      </c>
      <c r="K1217" s="10" t="s">
        <v>4247</v>
      </c>
    </row>
    <row r="1218" spans="1:11" s="10" customFormat="1" ht="18" customHeight="1">
      <c r="A1218" s="11"/>
      <c r="B1218" s="12"/>
      <c r="C1218" s="12"/>
      <c r="D1218" s="12"/>
      <c r="E1218" s="12"/>
      <c r="F1218" s="12"/>
      <c r="G1218" s="12"/>
      <c r="H1218" s="9"/>
      <c r="I1218" s="16" t="s">
        <v>4248</v>
      </c>
      <c r="J1218" s="19">
        <f>IF(shinsei_KAKU_SUMI_KOUFU_DATE&lt;=DATEVALUE("2012/2/12"),cst_shinsei_build_KAISU_TIKA_SHINSEI__zero,cst_shinsei_build_KAISU_TIKA_SHINSEI__zero&amp;" 階")</f>
        <v>0</v>
      </c>
    </row>
    <row r="1219" spans="1:11" s="10" customFormat="1" ht="18" customHeight="1">
      <c r="A1219" s="11"/>
      <c r="B1219" s="12"/>
      <c r="C1219" s="12"/>
      <c r="D1219" s="68" t="s">
        <v>4249</v>
      </c>
      <c r="E1219" s="12"/>
      <c r="F1219" s="12"/>
      <c r="G1219" s="12"/>
      <c r="I1219" s="16" t="s">
        <v>4251</v>
      </c>
      <c r="J1219" s="19" t="str">
        <f>IF(OR(shinsei_build_KAISU_TIKA_SHINSEI__zero="",shinsei_build_KAISU_TIKA_SHINSEI__zero=0),"－",shinsei_build_KAISU_TIKA_SHINSEI__zero)</f>
        <v>－</v>
      </c>
      <c r="K1219" s="10" t="s">
        <v>4223</v>
      </c>
    </row>
    <row r="1220" spans="1:11" s="10" customFormat="1" ht="18" customHeight="1">
      <c r="A1220" s="11"/>
      <c r="B1220" s="12" t="s">
        <v>4252</v>
      </c>
      <c r="C1220" s="12"/>
      <c r="D1220" s="12"/>
      <c r="E1220" s="12"/>
      <c r="F1220" s="12"/>
      <c r="G1220" s="11"/>
    </row>
    <row r="1221" spans="1:11" s="10" customFormat="1" ht="18" customHeight="1">
      <c r="A1221" s="12"/>
      <c r="B1221" s="11"/>
      <c r="C1221" s="12" t="s">
        <v>4253</v>
      </c>
      <c r="D1221" s="12"/>
      <c r="E1221" s="12"/>
      <c r="F1221" s="12"/>
      <c r="G1221" s="12" t="s">
        <v>1831</v>
      </c>
      <c r="H1221" s="13" t="s">
        <v>11820</v>
      </c>
      <c r="I1221" s="9" t="s">
        <v>4255</v>
      </c>
      <c r="J1221" s="19" t="str">
        <f>IF(shinsei_build_YOUTO_CODE="","",shinsei_build_YOUTO_CODE)</f>
        <v>08458</v>
      </c>
    </row>
    <row r="1222" spans="1:11" s="10" customFormat="1" ht="18" customHeight="1">
      <c r="A1222" s="11"/>
      <c r="B1222" s="12"/>
      <c r="C1222" s="12" t="s">
        <v>4256</v>
      </c>
      <c r="D1222" s="12"/>
      <c r="E1222" s="12"/>
      <c r="F1222" s="12"/>
      <c r="G1222" s="12" t="s">
        <v>4257</v>
      </c>
      <c r="H1222" s="13" t="s">
        <v>11819</v>
      </c>
      <c r="I1222" s="9" t="s">
        <v>4258</v>
      </c>
      <c r="J1222" s="21" t="str">
        <f>IF(shinsei_build_YOUTO="","",shinsei_build_YOUTO)</f>
        <v>宅建業を営む店舗（モデルルーム併用）</v>
      </c>
    </row>
    <row r="1223" spans="1:11" s="10" customFormat="1" ht="18" customHeight="1">
      <c r="A1223" s="11"/>
      <c r="B1223" s="12"/>
      <c r="C1223" s="12" t="s">
        <v>4259</v>
      </c>
      <c r="D1223" s="12"/>
      <c r="E1223" s="12"/>
      <c r="F1223" s="12"/>
      <c r="G1223" s="12" t="s">
        <v>1832</v>
      </c>
      <c r="H1223" s="13" t="s">
        <v>11787</v>
      </c>
      <c r="I1223" s="9" t="s">
        <v>4260</v>
      </c>
      <c r="J1223" s="21" t="str">
        <f>IF(shinsei_build_YOUTO_PRINT="","",shinsei_build_YOUTO_PRINT)</f>
        <v/>
      </c>
    </row>
    <row r="1224" spans="1:11" s="18" customFormat="1" ht="18" customHeight="1">
      <c r="A1224" s="14"/>
      <c r="B1224" s="12" t="s">
        <v>4261</v>
      </c>
      <c r="C1224" s="5"/>
      <c r="D1224" s="5"/>
      <c r="E1224" s="5"/>
      <c r="F1224" s="5"/>
      <c r="G1224" s="5" t="s">
        <v>1833</v>
      </c>
      <c r="H1224" s="15" t="s">
        <v>4278</v>
      </c>
      <c r="I1224" s="16" t="s">
        <v>4262</v>
      </c>
      <c r="J1224" s="70" t="str">
        <f>IF(shinsei_kouji="","",shinsei_kouji)</f>
        <v>新築</v>
      </c>
      <c r="K1224" s="10" t="s">
        <v>4263</v>
      </c>
    </row>
    <row r="1225" spans="1:11" s="18" customFormat="1" ht="18" customHeight="1">
      <c r="A1225" s="14"/>
      <c r="B1225" s="12" t="s">
        <v>4264</v>
      </c>
      <c r="C1225" s="5"/>
      <c r="D1225" s="5"/>
      <c r="E1225" s="5"/>
      <c r="F1225" s="5"/>
      <c r="G1225" s="5"/>
      <c r="H1225" s="14"/>
      <c r="K1225" s="10"/>
    </row>
    <row r="1226" spans="1:11" s="18" customFormat="1" ht="18" customHeight="1">
      <c r="A1226" s="14"/>
      <c r="B1226" s="12"/>
      <c r="C1226" s="5" t="s">
        <v>4265</v>
      </c>
      <c r="D1226" s="5"/>
      <c r="E1226" s="5"/>
      <c r="F1226" s="5"/>
      <c r="G1226" s="5" t="s">
        <v>1834</v>
      </c>
      <c r="H1226" s="15" t="s">
        <v>11821</v>
      </c>
      <c r="I1226" s="16" t="s">
        <v>4266</v>
      </c>
      <c r="J1226" s="70" t="str">
        <f>IF(shinsei_build_YOUTO_TIIKI_A="","",shinsei_build_YOUTO_TIIKI_A)</f>
        <v>近隣商業地域</v>
      </c>
      <c r="K1226" s="10"/>
    </row>
    <row r="1227" spans="1:11" s="18" customFormat="1" ht="18" customHeight="1">
      <c r="A1227" s="14"/>
      <c r="B1227" s="12"/>
      <c r="C1227" s="14" t="s">
        <v>4267</v>
      </c>
      <c r="D1227" s="14"/>
      <c r="E1227" s="14"/>
      <c r="F1227" s="14"/>
      <c r="G1227" s="5" t="s">
        <v>1835</v>
      </c>
      <c r="H1227" s="15" t="s">
        <v>11817</v>
      </c>
      <c r="I1227" s="16" t="s">
        <v>4268</v>
      </c>
      <c r="J1227" s="70" t="str">
        <f>IF(shinsei_build_SONOTA_KUIKI="","",shinsei_build_SONOTA_KUIKI)</f>
        <v>下水道処理区域</v>
      </c>
      <c r="K1227" s="10"/>
    </row>
    <row r="1228" spans="1:11" s="18" customFormat="1" ht="18" customHeight="1">
      <c r="A1228" s="14"/>
      <c r="B1228" s="12" t="s">
        <v>4269</v>
      </c>
      <c r="C1228" s="14"/>
      <c r="D1228" s="14"/>
      <c r="E1228" s="14"/>
      <c r="F1228" s="14"/>
      <c r="G1228" s="5"/>
      <c r="H1228" s="14"/>
      <c r="K1228" s="10"/>
    </row>
    <row r="1229" spans="1:11" s="18" customFormat="1" ht="18" customHeight="1">
      <c r="A1229" s="14"/>
      <c r="B1229" s="12"/>
      <c r="C1229" s="14" t="s">
        <v>4269</v>
      </c>
      <c r="D1229" s="14"/>
      <c r="E1229" s="14"/>
      <c r="F1229" s="14"/>
      <c r="G1229" s="5" t="s">
        <v>1836</v>
      </c>
      <c r="H1229" s="15" t="s">
        <v>11811</v>
      </c>
      <c r="I1229" s="16" t="s">
        <v>4270</v>
      </c>
      <c r="J1229" s="70" t="str">
        <f>IF(shinsei_build_BOUKA_BOUKA="1","防火地域","")</f>
        <v/>
      </c>
      <c r="K1229" s="10"/>
    </row>
    <row r="1230" spans="1:11" s="18" customFormat="1" ht="18" customHeight="1">
      <c r="A1230" s="14"/>
      <c r="B1230" s="12"/>
      <c r="C1230" s="14" t="s">
        <v>4271</v>
      </c>
      <c r="D1230" s="14"/>
      <c r="E1230" s="14"/>
      <c r="F1230" s="14"/>
      <c r="G1230" s="5" t="s">
        <v>1837</v>
      </c>
      <c r="H1230" s="15" t="s">
        <v>11812</v>
      </c>
      <c r="I1230" s="16" t="s">
        <v>4272</v>
      </c>
      <c r="J1230" s="70" t="str">
        <f>IF(shinsei_build_BOUKA_JYUN_BOUKA="1","準防火地域","")</f>
        <v>準防火地域</v>
      </c>
      <c r="K1230" s="10"/>
    </row>
    <row r="1231" spans="1:11" s="18" customFormat="1" ht="18" customHeight="1">
      <c r="A1231" s="14"/>
      <c r="B1231" s="12"/>
      <c r="C1231" s="14" t="s">
        <v>4273</v>
      </c>
      <c r="D1231" s="14"/>
      <c r="E1231" s="14"/>
      <c r="F1231" s="14"/>
      <c r="G1231" s="5" t="s">
        <v>1838</v>
      </c>
      <c r="H1231" s="15" t="s">
        <v>11811</v>
      </c>
      <c r="I1231" s="16" t="s">
        <v>4274</v>
      </c>
      <c r="J1231" s="70" t="str">
        <f>IF(shinsei_build_BOUKA_NASI="1","指定なし","")</f>
        <v/>
      </c>
      <c r="K1231" s="10"/>
    </row>
    <row r="1232" spans="1:11" s="18" customFormat="1" ht="18" customHeight="1">
      <c r="A1232" s="14"/>
      <c r="B1232" s="12"/>
      <c r="C1232" s="14"/>
      <c r="D1232" s="14" t="s">
        <v>4275</v>
      </c>
      <c r="E1232" s="14"/>
      <c r="F1232" s="14"/>
      <c r="G1232" s="14"/>
      <c r="H1232" s="14"/>
      <c r="I1232" s="16" t="s">
        <v>4276</v>
      </c>
      <c r="J1232" s="71" t="str">
        <f>cst_shinsei_build_BOUKA_BOUKA&amp;" "&amp;cst_shinsei_build_BOUKA_JYUN_BOUKA&amp;" "&amp;cst_shinsei_build_BOUKA_NASI</f>
        <v xml:space="preserve"> 準防火地域 </v>
      </c>
      <c r="K1232" s="10"/>
    </row>
    <row r="1233" spans="1:11" s="18" customFormat="1" ht="18" customHeight="1">
      <c r="A1233" s="14"/>
      <c r="B1233" s="12"/>
      <c r="C1233" s="14"/>
      <c r="D1233" s="14"/>
      <c r="E1233" s="14"/>
      <c r="F1233" s="14"/>
      <c r="G1233" s="14"/>
      <c r="H1233" s="14"/>
      <c r="K1233" s="10"/>
    </row>
    <row r="1234" spans="1:11" s="18" customFormat="1" ht="18" customHeight="1">
      <c r="A1234" s="9" t="s">
        <v>4277</v>
      </c>
      <c r="B1234" s="9"/>
      <c r="C1234" s="9"/>
      <c r="D1234" s="9"/>
      <c r="E1234" s="14"/>
      <c r="F1234" s="14"/>
      <c r="G1234" s="14"/>
      <c r="H1234" s="14"/>
      <c r="K1234" s="10"/>
    </row>
    <row r="1235" spans="1:11" s="18" customFormat="1" ht="18" customHeight="1">
      <c r="A1235" s="9"/>
      <c r="C1235" s="9"/>
      <c r="E1235" s="9" t="s">
        <v>4278</v>
      </c>
      <c r="F1235" s="9"/>
      <c r="G1235" s="9" t="s">
        <v>4279</v>
      </c>
      <c r="H1235" s="15" t="s">
        <v>3033</v>
      </c>
      <c r="I1235" s="18" t="s">
        <v>4281</v>
      </c>
      <c r="J1235" s="72" t="str">
        <f>IF(shinsei_build_KOUJI_SINTIKU="","",shinsei_build_KOUJI_SINTIKU)</f>
        <v>■</v>
      </c>
      <c r="K1235" s="10"/>
    </row>
    <row r="1236" spans="1:11" s="18" customFormat="1" ht="18" customHeight="1">
      <c r="A1236" s="9"/>
      <c r="C1236" s="9"/>
      <c r="E1236" s="9" t="s">
        <v>4282</v>
      </c>
      <c r="F1236" s="9"/>
      <c r="G1236" s="9" t="s">
        <v>4283</v>
      </c>
      <c r="H1236" s="15" t="s">
        <v>4280</v>
      </c>
      <c r="I1236" s="18" t="s">
        <v>4284</v>
      </c>
      <c r="J1236" s="72" t="str">
        <f>IF(shinsei_build_KOUJI_ZOUTIKU="","",shinsei_build_KOUJI_ZOUTIKU)</f>
        <v>□</v>
      </c>
      <c r="K1236" s="10"/>
    </row>
    <row r="1237" spans="1:11" s="18" customFormat="1" ht="18" customHeight="1">
      <c r="A1237" s="9"/>
      <c r="C1237" s="9"/>
      <c r="E1237" s="9" t="s">
        <v>4285</v>
      </c>
      <c r="F1237" s="9"/>
      <c r="G1237" s="9" t="s">
        <v>4286</v>
      </c>
      <c r="H1237" s="15" t="s">
        <v>4280</v>
      </c>
      <c r="I1237" s="18" t="s">
        <v>4287</v>
      </c>
      <c r="J1237" s="72" t="str">
        <f>IF(shinsei_build_KOUJI_KAITIKU="","",shinsei_build_KOUJI_KAITIKU)</f>
        <v>□</v>
      </c>
      <c r="K1237" s="10"/>
    </row>
    <row r="1238" spans="1:11" s="18" customFormat="1" ht="18" customHeight="1">
      <c r="A1238" s="9"/>
      <c r="C1238" s="9"/>
      <c r="E1238" s="9" t="s">
        <v>4288</v>
      </c>
      <c r="F1238" s="9"/>
      <c r="G1238" s="9" t="s">
        <v>4289</v>
      </c>
      <c r="H1238" s="15" t="s">
        <v>4280</v>
      </c>
      <c r="I1238" s="18" t="s">
        <v>4290</v>
      </c>
      <c r="J1238" s="72" t="str">
        <f>IF(shinsei_build_KOUJI_ITEN="","",shinsei_build_KOUJI_ITEN)</f>
        <v>□</v>
      </c>
      <c r="K1238" s="10"/>
    </row>
    <row r="1239" spans="1:11" s="18" customFormat="1" ht="18" customHeight="1">
      <c r="A1239" s="9"/>
      <c r="C1239" s="9"/>
      <c r="E1239" s="9" t="s">
        <v>4291</v>
      </c>
      <c r="F1239" s="9"/>
      <c r="G1239" s="9" t="s">
        <v>4292</v>
      </c>
      <c r="H1239" s="15" t="s">
        <v>4280</v>
      </c>
      <c r="I1239" s="18" t="s">
        <v>4293</v>
      </c>
      <c r="J1239" s="72" t="str">
        <f>IF(shinsei_build_KOUJI_YOUTOHENKOU="","",shinsei_build_KOUJI_YOUTOHENKOU)</f>
        <v>□</v>
      </c>
      <c r="K1239" s="10"/>
    </row>
    <row r="1240" spans="1:11" s="18" customFormat="1" ht="18" customHeight="1">
      <c r="A1240" s="9"/>
      <c r="C1240" s="9"/>
      <c r="E1240" s="9" t="s">
        <v>11365</v>
      </c>
      <c r="F1240" s="9"/>
      <c r="G1240" s="9" t="s">
        <v>4294</v>
      </c>
      <c r="H1240" s="15" t="s">
        <v>4280</v>
      </c>
      <c r="I1240" s="18" t="s">
        <v>4295</v>
      </c>
      <c r="J1240" s="72" t="str">
        <f>IF(shinsei_build_KOUJI_DAI_SYUUZEN="","",shinsei_build_KOUJI_DAI_SYUUZEN)</f>
        <v>□</v>
      </c>
      <c r="K1240" s="10"/>
    </row>
    <row r="1241" spans="1:11" s="18" customFormat="1" ht="18" customHeight="1">
      <c r="A1241" s="9"/>
      <c r="C1241" s="9"/>
      <c r="E1241" s="9" t="s">
        <v>11366</v>
      </c>
      <c r="F1241" s="9"/>
      <c r="G1241" s="9" t="s">
        <v>4296</v>
      </c>
      <c r="H1241" s="15" t="s">
        <v>4280</v>
      </c>
      <c r="I1241" s="18" t="s">
        <v>4297</v>
      </c>
      <c r="J1241" s="72" t="str">
        <f>IF(shinsei_build_KOUJI_DAI_MOYOUGAE="","",shinsei_build_KOUJI_DAI_MOYOUGAE)</f>
        <v>□</v>
      </c>
      <c r="K1241" s="10"/>
    </row>
    <row r="1242" spans="1:11" s="18" customFormat="1" ht="18" customHeight="1">
      <c r="A1242" s="9" t="s">
        <v>4298</v>
      </c>
      <c r="B1242" s="9"/>
      <c r="C1242" s="9"/>
      <c r="E1242" s="14"/>
      <c r="F1242" s="14"/>
      <c r="G1242" s="9"/>
      <c r="H1242" s="14"/>
      <c r="K1242" s="10"/>
    </row>
    <row r="1243" spans="1:11" s="18" customFormat="1" ht="18" customHeight="1">
      <c r="A1243" s="9"/>
      <c r="C1243" s="9"/>
      <c r="E1243" s="9" t="s">
        <v>4278</v>
      </c>
      <c r="F1243" s="9"/>
      <c r="G1243" s="9" t="s">
        <v>4299</v>
      </c>
      <c r="H1243" s="15" t="s">
        <v>4280</v>
      </c>
      <c r="I1243" s="18" t="s">
        <v>4300</v>
      </c>
      <c r="J1243" s="72" t="str">
        <f>IF(shinsei_ev_KOUSAKU_KOUJI_SHINTIKU="","",shinsei_ev_KOUSAKU_KOUJI_SHINTIKU)</f>
        <v>□</v>
      </c>
      <c r="K1243" s="10"/>
    </row>
    <row r="1244" spans="1:11" s="18" customFormat="1" ht="18" customHeight="1">
      <c r="A1244" s="9"/>
      <c r="C1244" s="9"/>
      <c r="E1244" s="9" t="s">
        <v>4282</v>
      </c>
      <c r="F1244" s="9"/>
      <c r="G1244" s="9" t="s">
        <v>4301</v>
      </c>
      <c r="H1244" s="15" t="s">
        <v>4280</v>
      </c>
      <c r="I1244" s="18" t="s">
        <v>4302</v>
      </c>
      <c r="J1244" s="72" t="str">
        <f>IF(shinsei_ev_KOUSAKU_KOUJI_ZOUTIKU="","",shinsei_ev_KOUSAKU_KOUJI_ZOUTIKU)</f>
        <v>□</v>
      </c>
      <c r="K1244" s="10"/>
    </row>
    <row r="1245" spans="1:11" s="18" customFormat="1" ht="18" customHeight="1">
      <c r="A1245" s="9"/>
      <c r="C1245" s="9"/>
      <c r="E1245" s="9" t="s">
        <v>4285</v>
      </c>
      <c r="F1245" s="9"/>
      <c r="G1245" s="9" t="s">
        <v>4303</v>
      </c>
      <c r="H1245" s="15" t="s">
        <v>4280</v>
      </c>
      <c r="I1245" s="18" t="s">
        <v>4304</v>
      </c>
      <c r="J1245" s="72" t="str">
        <f>IF(shinsei_ev_KOUSAKU_KOUJI_KAITIKU="","",shinsei_ev_KOUSAKU_KOUJI_KAITIKU)</f>
        <v>□</v>
      </c>
      <c r="K1245" s="10"/>
    </row>
    <row r="1246" spans="1:11" s="18" customFormat="1" ht="18" customHeight="1">
      <c r="A1246" s="9"/>
      <c r="C1246" s="9"/>
      <c r="E1246" s="9" t="s">
        <v>11178</v>
      </c>
      <c r="F1246" s="9"/>
      <c r="G1246" s="9" t="s">
        <v>4306</v>
      </c>
      <c r="H1246" s="15" t="s">
        <v>11787</v>
      </c>
      <c r="I1246" s="18" t="s">
        <v>11179</v>
      </c>
      <c r="J1246" s="72" t="str">
        <f>IF(shinsei_ev_KOUSAKU_KOUJI_SONOTA="","□","■")</f>
        <v>□</v>
      </c>
      <c r="K1246" s="10"/>
    </row>
    <row r="1247" spans="1:11" s="18" customFormat="1" ht="18" customHeight="1">
      <c r="A1247" s="9"/>
      <c r="C1247" s="9"/>
      <c r="E1247" s="9"/>
      <c r="F1247" s="9"/>
      <c r="G1247" s="9"/>
      <c r="H1247" s="14"/>
      <c r="I1247" s="18" t="s">
        <v>4307</v>
      </c>
      <c r="J1247" s="72" t="str">
        <f>IF(shinsei_ev_KOUSAKU_KOUJI_SONOTA="","",shinsei_ev_KOUSAKU_KOUJI_SONOTA)</f>
        <v/>
      </c>
      <c r="K1247" s="10"/>
    </row>
    <row r="1248" spans="1:11" s="18" customFormat="1" ht="18" customHeight="1">
      <c r="A1248" s="9"/>
      <c r="C1248" s="9"/>
      <c r="E1248" s="9"/>
      <c r="F1248" s="9"/>
      <c r="G1248" s="9"/>
      <c r="H1248" s="14"/>
      <c r="I1248" s="18" t="s">
        <v>11180</v>
      </c>
      <c r="J1248" s="72" t="str">
        <f>IF(shinsei_ev_KOUSAKU_KOUJI_SONOTA="","（","（　"&amp;shinsei_ev_KOUSAKU_KOUJI_SONOTA)</f>
        <v>（</v>
      </c>
      <c r="K1248" s="10"/>
    </row>
    <row r="1249" spans="1:11" s="18" customFormat="1" ht="18" customHeight="1">
      <c r="A1249" s="9" t="s">
        <v>4308</v>
      </c>
      <c r="C1249" s="9"/>
      <c r="E1249" s="9"/>
      <c r="F1249" s="9"/>
      <c r="G1249" s="9"/>
      <c r="H1249" s="14"/>
      <c r="K1249" s="10"/>
    </row>
    <row r="1250" spans="1:11" s="18" customFormat="1" ht="18" customHeight="1">
      <c r="A1250" s="9"/>
      <c r="C1250" s="9"/>
      <c r="E1250" s="9" t="s">
        <v>4309</v>
      </c>
      <c r="F1250" s="9"/>
      <c r="G1250" s="9" t="s">
        <v>4310</v>
      </c>
      <c r="H1250" s="15" t="s">
        <v>4280</v>
      </c>
      <c r="I1250" s="18" t="s">
        <v>4311</v>
      </c>
      <c r="J1250" s="72" t="str">
        <f>IF(shinsei_intermediate_BILL_KOUJI_SINTIKU="","",shinsei_intermediate_BILL_KOUJI_SINTIKU)</f>
        <v>□</v>
      </c>
      <c r="K1250" s="10"/>
    </row>
    <row r="1251" spans="1:11" s="18" customFormat="1" ht="18" customHeight="1">
      <c r="A1251" s="9"/>
      <c r="C1251" s="9"/>
      <c r="E1251" s="9" t="s">
        <v>4312</v>
      </c>
      <c r="F1251" s="9"/>
      <c r="G1251" s="9" t="s">
        <v>4313</v>
      </c>
      <c r="H1251" s="15" t="s">
        <v>4280</v>
      </c>
      <c r="I1251" s="18" t="s">
        <v>4314</v>
      </c>
      <c r="J1251" s="72" t="str">
        <f>IF(shinsei_intermediate_BILL_KOUJI_ZOUTIKU="","",shinsei_intermediate_BILL_KOUJI_ZOUTIKU)</f>
        <v>□</v>
      </c>
      <c r="K1251" s="10"/>
    </row>
    <row r="1252" spans="1:11" s="18" customFormat="1" ht="18" customHeight="1">
      <c r="A1252" s="9"/>
      <c r="C1252" s="9"/>
      <c r="E1252" s="9" t="s">
        <v>4285</v>
      </c>
      <c r="F1252" s="9"/>
      <c r="G1252" s="9" t="s">
        <v>4315</v>
      </c>
      <c r="H1252" s="15" t="s">
        <v>4280</v>
      </c>
      <c r="I1252" s="18" t="s">
        <v>4316</v>
      </c>
      <c r="J1252" s="72" t="str">
        <f>IF(shinsei_intermediate_BILL_KOUJI_KAITIKU="","",shinsei_intermediate_BILL_KOUJI_KAITIKU)</f>
        <v>□</v>
      </c>
      <c r="K1252" s="10"/>
    </row>
    <row r="1253" spans="1:11" s="18" customFormat="1" ht="18" customHeight="1">
      <c r="A1253" s="9"/>
      <c r="C1253" s="9"/>
      <c r="E1253" s="9" t="s">
        <v>4288</v>
      </c>
      <c r="F1253" s="9"/>
      <c r="G1253" s="9" t="s">
        <v>4317</v>
      </c>
      <c r="H1253" s="15" t="s">
        <v>4280</v>
      </c>
      <c r="I1253" s="18" t="s">
        <v>4318</v>
      </c>
      <c r="J1253" s="72" t="str">
        <f>IF(shinsei_intermediate_BILL_KOUJI_ITEN="","",shinsei_intermediate_BILL_KOUJI_ITEN)</f>
        <v>□</v>
      </c>
      <c r="K1253" s="10"/>
    </row>
    <row r="1254" spans="1:11" s="18" customFormat="1" ht="18" customHeight="1">
      <c r="A1254" s="9"/>
      <c r="C1254" s="9"/>
      <c r="E1254" s="9" t="s">
        <v>11365</v>
      </c>
      <c r="F1254" s="9"/>
      <c r="G1254" s="9" t="s">
        <v>4319</v>
      </c>
      <c r="H1254" s="15" t="s">
        <v>4280</v>
      </c>
      <c r="I1254" s="18" t="s">
        <v>4320</v>
      </c>
      <c r="J1254" s="72" t="str">
        <f>IF(shinsei_intermediate_BILL_KOUJI_DAI_SYUUZEN="","",shinsei_intermediate_BILL_KOUJI_DAI_SYUUZEN)</f>
        <v>□</v>
      </c>
      <c r="K1254" s="10"/>
    </row>
    <row r="1255" spans="1:11" s="18" customFormat="1" ht="18" customHeight="1">
      <c r="A1255" s="9"/>
      <c r="C1255" s="9"/>
      <c r="E1255" s="9" t="s">
        <v>11366</v>
      </c>
      <c r="F1255" s="9"/>
      <c r="G1255" s="9" t="s">
        <v>4321</v>
      </c>
      <c r="H1255" s="15" t="s">
        <v>4280</v>
      </c>
      <c r="I1255" s="18" t="s">
        <v>4322</v>
      </c>
      <c r="J1255" s="72" t="str">
        <f>IF(shinsei_intermediate_BILL_KOUJI_DAI_MOYOUGAE="","",shinsei_intermediate_BILL_KOUJI_DAI_MOYOUGAE)</f>
        <v>□</v>
      </c>
      <c r="K1255" s="10"/>
    </row>
    <row r="1256" spans="1:11" s="18" customFormat="1" ht="18" customHeight="1">
      <c r="A1256" s="9"/>
      <c r="C1256" s="9"/>
      <c r="E1256" s="9" t="s">
        <v>4323</v>
      </c>
      <c r="F1256" s="9"/>
      <c r="G1256" s="9" t="s">
        <v>4324</v>
      </c>
      <c r="H1256" s="15" t="s">
        <v>4280</v>
      </c>
      <c r="I1256" s="18" t="s">
        <v>4325</v>
      </c>
      <c r="J1256" s="72" t="str">
        <f>IF(shinsei_intermediate_BILL_KOUJI_SETUBISETTI="","",shinsei_intermediate_BILL_KOUJI_SETUBISETTI)</f>
        <v>□</v>
      </c>
      <c r="K1256" s="10"/>
    </row>
    <row r="1257" spans="1:11" s="18" customFormat="1" ht="18" customHeight="1">
      <c r="A1257" s="9" t="s">
        <v>4326</v>
      </c>
      <c r="C1257" s="9"/>
      <c r="E1257" s="9"/>
      <c r="F1257" s="9"/>
      <c r="G1257" s="9"/>
      <c r="H1257" s="14"/>
      <c r="K1257" s="10"/>
    </row>
    <row r="1258" spans="1:11" s="18" customFormat="1" ht="18" customHeight="1">
      <c r="A1258" s="9"/>
      <c r="C1258" s="9"/>
      <c r="E1258" s="9" t="s">
        <v>4309</v>
      </c>
      <c r="F1258" s="9"/>
      <c r="G1258" s="9" t="s">
        <v>4327</v>
      </c>
      <c r="H1258" s="15" t="s">
        <v>4280</v>
      </c>
      <c r="I1258" s="18" t="s">
        <v>4328</v>
      </c>
      <c r="J1258" s="72" t="str">
        <f>IF(shinsei_final_KOUJI_SINTIKU="","",shinsei_final_KOUJI_SINTIKU)</f>
        <v>□</v>
      </c>
      <c r="K1258" s="10"/>
    </row>
    <row r="1259" spans="1:11" s="18" customFormat="1" ht="18" customHeight="1">
      <c r="A1259" s="9"/>
      <c r="C1259" s="9"/>
      <c r="E1259" s="9" t="s">
        <v>4312</v>
      </c>
      <c r="F1259" s="9"/>
      <c r="G1259" s="9" t="s">
        <v>4329</v>
      </c>
      <c r="H1259" s="15" t="s">
        <v>4280</v>
      </c>
      <c r="I1259" s="18" t="s">
        <v>4330</v>
      </c>
      <c r="J1259" s="72" t="str">
        <f>IF(shinsei_final_KOUJI_ZOUTIKU="","",shinsei_final_KOUJI_ZOUTIKU)</f>
        <v>□</v>
      </c>
      <c r="K1259" s="10"/>
    </row>
    <row r="1260" spans="1:11" s="18" customFormat="1" ht="18" customHeight="1">
      <c r="A1260" s="9"/>
      <c r="C1260" s="9"/>
      <c r="E1260" s="9" t="s">
        <v>4285</v>
      </c>
      <c r="F1260" s="9"/>
      <c r="G1260" s="9" t="s">
        <v>4331</v>
      </c>
      <c r="H1260" s="15" t="s">
        <v>4280</v>
      </c>
      <c r="I1260" s="18" t="s">
        <v>4332</v>
      </c>
      <c r="J1260" s="72" t="str">
        <f>IF(shinsei_final_KOUJI_KAITIKU="","",shinsei_final_KOUJI_KAITIKU)</f>
        <v>□</v>
      </c>
      <c r="K1260" s="10"/>
    </row>
    <row r="1261" spans="1:11" s="18" customFormat="1" ht="18" customHeight="1">
      <c r="A1261" s="9"/>
      <c r="C1261" s="9"/>
      <c r="E1261" s="9" t="s">
        <v>4288</v>
      </c>
      <c r="F1261" s="9"/>
      <c r="G1261" s="9" t="s">
        <v>4333</v>
      </c>
      <c r="H1261" s="15" t="s">
        <v>4280</v>
      </c>
      <c r="I1261" s="18" t="s">
        <v>4334</v>
      </c>
      <c r="J1261" s="72" t="str">
        <f>IF(shinsei_final_KOUJI_ITEN="","",shinsei_final_KOUJI_ITEN)</f>
        <v>□</v>
      </c>
      <c r="K1261" s="10"/>
    </row>
    <row r="1262" spans="1:11" s="18" customFormat="1" ht="18" customHeight="1">
      <c r="A1262" s="9"/>
      <c r="C1262" s="9"/>
      <c r="E1262" s="9" t="s">
        <v>11365</v>
      </c>
      <c r="F1262" s="9"/>
      <c r="G1262" s="9" t="s">
        <v>4335</v>
      </c>
      <c r="H1262" s="15" t="s">
        <v>4280</v>
      </c>
      <c r="I1262" s="18" t="s">
        <v>4336</v>
      </c>
      <c r="J1262" s="72" t="str">
        <f>IF(shinsei_final_KOUJI_DAI_SYUUZEN="","",shinsei_final_KOUJI_DAI_SYUUZEN)</f>
        <v>□</v>
      </c>
      <c r="K1262" s="10"/>
    </row>
    <row r="1263" spans="1:11" s="18" customFormat="1" ht="18" customHeight="1">
      <c r="A1263" s="9"/>
      <c r="C1263" s="9"/>
      <c r="E1263" s="9" t="s">
        <v>11366</v>
      </c>
      <c r="F1263" s="9"/>
      <c r="G1263" s="9" t="s">
        <v>4337</v>
      </c>
      <c r="H1263" s="15" t="s">
        <v>4280</v>
      </c>
      <c r="I1263" s="18" t="s">
        <v>4338</v>
      </c>
      <c r="J1263" s="72" t="str">
        <f>IF(shinsei_final_KOUJI_DAI_MOYOUGAE="","",shinsei_final_KOUJI_DAI_MOYOUGAE)</f>
        <v>□</v>
      </c>
      <c r="K1263" s="10"/>
    </row>
    <row r="1264" spans="1:11" s="18" customFormat="1" ht="18" customHeight="1">
      <c r="A1264" s="9"/>
      <c r="C1264" s="9"/>
      <c r="E1264" s="9" t="s">
        <v>4323</v>
      </c>
      <c r="F1264" s="9"/>
      <c r="G1264" s="9" t="s">
        <v>4339</v>
      </c>
      <c r="H1264" s="15" t="s">
        <v>4280</v>
      </c>
      <c r="I1264" s="18" t="s">
        <v>4340</v>
      </c>
      <c r="J1264" s="72" t="str">
        <f>IF(shinsei_final_KOUJI_SETUBISETTI="","",shinsei_final_KOUJI_SETUBISETTI)</f>
        <v>□</v>
      </c>
      <c r="K1264" s="10"/>
    </row>
    <row r="1265" spans="1:31" s="18" customFormat="1" ht="18" customHeight="1">
      <c r="A1265" s="14"/>
      <c r="B1265" s="12"/>
      <c r="C1265" s="14"/>
      <c r="D1265" s="14"/>
      <c r="E1265" s="14"/>
      <c r="F1265" s="14"/>
      <c r="G1265" s="14"/>
      <c r="H1265" s="14"/>
      <c r="K1265" s="10"/>
    </row>
    <row r="1266" spans="1:31" s="18" customFormat="1" ht="18" customHeight="1">
      <c r="A1266" s="14"/>
      <c r="B1266" s="12"/>
      <c r="C1266" s="14"/>
      <c r="D1266" s="14"/>
      <c r="E1266" s="14"/>
      <c r="F1266" s="14"/>
      <c r="G1266" s="14"/>
      <c r="H1266" s="14"/>
      <c r="K1266" s="10"/>
    </row>
    <row r="1267" spans="1:31" s="10" customFormat="1" ht="18" customHeight="1">
      <c r="A1267" s="11"/>
      <c r="B1267" s="12" t="s">
        <v>4341</v>
      </c>
      <c r="C1267" s="11"/>
      <c r="D1267" s="12"/>
      <c r="E1267" s="12"/>
      <c r="F1267" s="12"/>
      <c r="G1267" s="12" t="s">
        <v>4342</v>
      </c>
      <c r="H1267" s="13" t="s">
        <v>11816</v>
      </c>
      <c r="I1267" s="9" t="s">
        <v>4343</v>
      </c>
      <c r="J1267" s="22" t="str">
        <f>IF(ISERROR(SEARCH("一部",shinsei_build_KOUZOU1)),IF(shinsei_build_kouzou="","",shinsei_build_kouzou),IF(shinsei_build_KOUZOU2="",shinsei_build_KOUZOU1,shinsei_build_KOUZOU1&amp;","&amp;shinsei_build_KOUZOU2))</f>
        <v>鉄骨造</v>
      </c>
      <c r="K1267" s="10" t="s">
        <v>4344</v>
      </c>
    </row>
    <row r="1268" spans="1:31" s="10" customFormat="1" ht="18" customHeight="1">
      <c r="A1268" s="11"/>
      <c r="B1268" s="12"/>
      <c r="C1268" s="11"/>
      <c r="D1268" s="12"/>
      <c r="E1268" s="12"/>
      <c r="F1268" s="12"/>
      <c r="G1268" s="12" t="s">
        <v>1839</v>
      </c>
      <c r="H1268" s="13" t="s">
        <v>11815</v>
      </c>
      <c r="I1268" s="9" t="s">
        <v>4346</v>
      </c>
      <c r="J1268" s="22" t="str">
        <f>IF(shinsei_build_KOUZOU1="","",shinsei_build_KOUZOU1)</f>
        <v>鉄骨造</v>
      </c>
    </row>
    <row r="1269" spans="1:31" s="10" customFormat="1" ht="18" customHeight="1">
      <c r="A1269" s="11"/>
      <c r="B1269" s="12"/>
      <c r="C1269" s="11"/>
      <c r="D1269" s="12"/>
      <c r="E1269" s="12"/>
      <c r="F1269" s="12"/>
      <c r="G1269" s="12" t="s">
        <v>1840</v>
      </c>
      <c r="H1269" s="13" t="s">
        <v>11787</v>
      </c>
      <c r="I1269" s="9" t="s">
        <v>4347</v>
      </c>
      <c r="J1269" s="22" t="str">
        <f>IF(shinsei_build_KOUZOU2="","",shinsei_build_KOUZOU2)</f>
        <v/>
      </c>
    </row>
    <row r="1270" spans="1:31" s="10" customFormat="1" ht="18" customHeight="1">
      <c r="A1270" s="11"/>
      <c r="B1270" s="12" t="s">
        <v>4348</v>
      </c>
      <c r="C1270" s="12"/>
      <c r="D1270" s="11"/>
      <c r="E1270" s="11"/>
      <c r="F1270" s="11"/>
      <c r="G1270" s="11"/>
    </row>
    <row r="1271" spans="1:31" s="10" customFormat="1" ht="18" customHeight="1">
      <c r="A1271" s="11"/>
      <c r="B1271" s="12"/>
      <c r="C1271" s="12" t="s">
        <v>4349</v>
      </c>
      <c r="D1271" s="12"/>
      <c r="E1271" s="12"/>
      <c r="F1271" s="12"/>
      <c r="G1271" s="12" t="s">
        <v>1841</v>
      </c>
      <c r="H1271" s="13" t="s">
        <v>11809</v>
      </c>
      <c r="I1271" s="9" t="s">
        <v>4350</v>
      </c>
      <c r="J1271" s="19" t="str">
        <f>IF(shinsei_BILL_NAME="","",shinsei_BILL_NAME)</f>
        <v>（仮称）ブランニード河内小阪マンションギャラリー新築工事</v>
      </c>
      <c r="K1271" s="10" t="s">
        <v>4351</v>
      </c>
    </row>
    <row r="1272" spans="1:31" s="18" customFormat="1" ht="18" customHeight="1">
      <c r="A1272" s="14"/>
      <c r="B1272" s="5"/>
      <c r="C1272" s="5" t="s">
        <v>4352</v>
      </c>
      <c r="D1272" s="5"/>
      <c r="E1272" s="5"/>
      <c r="F1272" s="30" t="s">
        <v>4353</v>
      </c>
      <c r="G1272" s="5"/>
      <c r="H1272" s="57"/>
      <c r="J1272" s="192" t="str">
        <f>cst_shinsei_ev_EV_BILL_NAME</f>
        <v/>
      </c>
      <c r="Q1272" s="503"/>
      <c r="R1272" s="503"/>
      <c r="S1272" s="503"/>
      <c r="T1272" s="503"/>
      <c r="U1272" s="503"/>
      <c r="V1272" s="503"/>
      <c r="W1272" s="503"/>
      <c r="X1272" s="503"/>
      <c r="Y1272" s="503"/>
      <c r="Z1272" s="503"/>
      <c r="AA1272" s="503"/>
      <c r="AB1272" s="503"/>
      <c r="AC1272" s="503"/>
      <c r="AD1272" s="503"/>
      <c r="AE1272" s="503"/>
    </row>
    <row r="1273" spans="1:31" s="18" customFormat="1" ht="18" customHeight="1">
      <c r="A1273" s="14"/>
      <c r="I1273" s="9" t="s">
        <v>4356</v>
      </c>
      <c r="J1273" s="22" t="str">
        <f>IF(cst_shinsei_INSPECTION_TYPE_class2="検査申請",IF(shinsei_BUILD_NAME_COMP="",cst_shinsei_BUILD_NAME,shinsei_BUILD_NAME_COMP),cst_shinsei_BUILD_NAME)</f>
        <v>（仮称）ブランニード河内小阪マンションギャラリー新築工事</v>
      </c>
      <c r="K1273" s="9" t="str">
        <f>IF(OR(shinsei_TARGET_KIND="建築物",shinsei_TARGET_KIND="工作物"),IF(shinsei_BILL_NAME="","",shinsei_BILL_NAME),IF(shinsei_TARGET_KIND="昇降機",IF(shinsei_ev_EV_BILL_NAME="","",shinsei_ev_EV_BILL_NAME),""))</f>
        <v>（仮称）ブランニード河内小阪マンションギャラリー新築工事</v>
      </c>
      <c r="L1273" s="10" t="s">
        <v>4357</v>
      </c>
      <c r="Q1273" s="503"/>
      <c r="R1273" s="503"/>
      <c r="S1273" s="503"/>
      <c r="T1273" s="503"/>
      <c r="U1273" s="503"/>
      <c r="V1273" s="503"/>
      <c r="W1273" s="503"/>
      <c r="X1273" s="503"/>
      <c r="Y1273" s="503"/>
      <c r="Z1273" s="503"/>
      <c r="AA1273" s="503"/>
      <c r="AB1273" s="503"/>
      <c r="AC1273" s="503"/>
      <c r="AD1273" s="503"/>
      <c r="AE1273" s="503"/>
    </row>
    <row r="1275" spans="1:31" ht="18" customHeight="1">
      <c r="B1275" s="5" t="s">
        <v>4354</v>
      </c>
      <c r="C1275" s="5" t="s">
        <v>4355</v>
      </c>
      <c r="G1275" s="5" t="s">
        <v>10952</v>
      </c>
      <c r="H1275" s="13" t="s">
        <v>11809</v>
      </c>
      <c r="I1275" s="7" t="s">
        <v>336</v>
      </c>
      <c r="J1275" s="40" t="str">
        <f>IF(shinsei_BUILD_NAME="","",shinsei_BUILD_NAME)</f>
        <v>（仮称）ブランニード河内小阪マンションギャラリー新築工事</v>
      </c>
    </row>
    <row r="1278" spans="1:31" s="18" customFormat="1" ht="18" customHeight="1">
      <c r="A1278" s="14"/>
      <c r="B1278" s="14" t="s">
        <v>4358</v>
      </c>
      <c r="C1278" s="5"/>
      <c r="D1278" s="5"/>
      <c r="E1278" s="5"/>
      <c r="F1278" s="5"/>
      <c r="G1278" s="5"/>
      <c r="H1278" s="7"/>
      <c r="I1278" s="73"/>
      <c r="J1278" s="73"/>
      <c r="K1278" s="73"/>
      <c r="L1278" s="73"/>
      <c r="M1278" s="73"/>
      <c r="N1278" s="73"/>
      <c r="O1278" s="73"/>
      <c r="P1278" s="73"/>
    </row>
    <row r="1279" spans="1:31" s="10" customFormat="1" ht="18" customHeight="1">
      <c r="A1279" s="11"/>
      <c r="B1279" s="11"/>
      <c r="C1279" s="12" t="s">
        <v>4359</v>
      </c>
      <c r="D1279" s="12"/>
      <c r="E1279" s="12"/>
      <c r="F1279" s="12"/>
      <c r="G1279" s="12" t="s">
        <v>1842</v>
      </c>
      <c r="H1279" s="74">
        <v>44316</v>
      </c>
      <c r="I1279" s="9" t="s">
        <v>4360</v>
      </c>
      <c r="J1279" s="75">
        <f>IF(shinsei_KOUJI_KANRYOU_DATE="","",shinsei_KOUJI_KANRYOU_DATE)</f>
        <v>44316</v>
      </c>
      <c r="K1279" s="73" t="s">
        <v>4362</v>
      </c>
    </row>
    <row r="1280" spans="1:31" s="10" customFormat="1" ht="18" customHeight="1">
      <c r="A1280" s="11"/>
      <c r="B1280" s="11"/>
      <c r="C1280" s="12" t="s">
        <v>4363</v>
      </c>
      <c r="D1280" s="12"/>
      <c r="E1280" s="12"/>
      <c r="F1280" s="12"/>
      <c r="G1280" s="12" t="s">
        <v>1843</v>
      </c>
      <c r="H1280" s="74"/>
      <c r="I1280" s="9" t="s">
        <v>4364</v>
      </c>
      <c r="J1280" s="76" t="str">
        <f>IF(shinsei_final_KAN_KANRYOU_YOTEI_DATE="","",shinsei_final_KAN_KANRYOU_YOTEI_DATE)</f>
        <v/>
      </c>
      <c r="K1280" s="73" t="s">
        <v>4365</v>
      </c>
    </row>
    <row r="1281" spans="1:13" s="10" customFormat="1" ht="18" customHeight="1">
      <c r="A1281" s="11"/>
      <c r="B1281" s="11"/>
      <c r="C1281" s="12" t="s">
        <v>4366</v>
      </c>
      <c r="D1281" s="12"/>
      <c r="E1281" s="12"/>
      <c r="F1281" s="12"/>
      <c r="G1281" s="12"/>
      <c r="H1281" s="47"/>
      <c r="I1281" s="9" t="s">
        <v>4367</v>
      </c>
      <c r="J1281" s="77">
        <f>IF(OR(cst_shinsei_INSPECTION_TYPE_class3="確認申請",cst_shinsei_INSPECTION_TYPE_class3="中間検査"),cst_shinsei_KOUJI_KANRYOU_DATE,IF(cst_shinsei_INSPECTION_TYPE_class3="完了検査",cst_shinsei_final_KAN_KANRYOU_YOTEI_DATE,""))</f>
        <v>44316</v>
      </c>
      <c r="K1281" s="73"/>
      <c r="L1281" s="73"/>
    </row>
    <row r="1282" spans="1:13" s="47" customFormat="1" ht="18" customHeight="1">
      <c r="A1282" s="46"/>
      <c r="C1282" s="46"/>
      <c r="D1282" s="46"/>
      <c r="E1282" s="46"/>
      <c r="F1282" s="46"/>
      <c r="G1282" s="46"/>
      <c r="I1282" s="47" t="s">
        <v>4368</v>
      </c>
      <c r="J1282" s="85">
        <f>IF(cst_shinsei_KOUJI_KANRYOU_DATE__common="",cst_DISP__date,cst_shinsei_KOUJI_KANRYOU_DATE__common)</f>
        <v>44316</v>
      </c>
      <c r="K1282" s="78"/>
      <c r="L1282" s="79"/>
      <c r="M1282" s="79"/>
    </row>
    <row r="1283" spans="1:13" s="52" customFormat="1" ht="18" customHeight="1">
      <c r="A1283" s="53"/>
      <c r="B1283" s="14" t="s">
        <v>4354</v>
      </c>
      <c r="C1283" s="53"/>
      <c r="D1283" s="53"/>
      <c r="E1283" s="53"/>
      <c r="F1283" s="53"/>
      <c r="G1283" s="53"/>
      <c r="I1283" s="47" t="s">
        <v>9952</v>
      </c>
      <c r="J1283" s="441" t="str">
        <f>IF(cst_shinsei_KOUJI_KANRYOU_DATE__common="",cst_DISP__date,TEXT(cst_shinsei_KOUJI_KANRYOU_DATE__common,"ggg")&amp;"　"&amp;TEXT(cst_shinsei_KOUJI_KANRYOU_DATE__common,"e")&amp;"　年　"&amp;TEXT(cst_shinsei_KOUJI_KANRYOU_DATE__common,"m")&amp;"　月　"&amp;TEXT(cst_shinsei_KOUJI_KANRYOU_DATE__common,"d")&amp;"　日")</f>
        <v>令和　3　年　4　月　30　日</v>
      </c>
      <c r="K1283" s="56"/>
    </row>
    <row r="1284" spans="1:13" s="52" customFormat="1" ht="18" customHeight="1">
      <c r="A1284" s="53"/>
      <c r="B1284" s="53"/>
      <c r="C1284" s="53"/>
      <c r="D1284" s="53"/>
      <c r="E1284" s="53"/>
      <c r="F1284" s="53"/>
      <c r="G1284" s="53"/>
      <c r="K1284" s="56"/>
    </row>
    <row r="1285" spans="1:13" s="52" customFormat="1" ht="18" customHeight="1">
      <c r="A1285" s="53"/>
      <c r="B1285" s="53"/>
      <c r="C1285" s="53"/>
      <c r="D1285" s="53"/>
      <c r="E1285" s="53"/>
      <c r="F1285" s="53"/>
      <c r="G1285" s="53"/>
      <c r="K1285" s="56"/>
    </row>
    <row r="1286" spans="1:13" s="52" customFormat="1" ht="18" customHeight="1">
      <c r="A1286" s="53"/>
      <c r="B1286" s="5" t="s">
        <v>4369</v>
      </c>
      <c r="G1286" s="6" t="s">
        <v>1844</v>
      </c>
      <c r="H1286" s="20">
        <v>0</v>
      </c>
      <c r="I1286" s="7" t="s">
        <v>9926</v>
      </c>
      <c r="J1286" s="28" t="str">
        <f>IF(shinsei_build_TOKUREI_56_7=1,"■","□")</f>
        <v>□</v>
      </c>
      <c r="K1286" s="7" t="s">
        <v>4370</v>
      </c>
    </row>
    <row r="1287" spans="1:13" s="52" customFormat="1" ht="18" customHeight="1">
      <c r="A1287" s="53"/>
      <c r="B1287" s="53"/>
      <c r="C1287" s="53"/>
      <c r="D1287" s="53"/>
      <c r="E1287" s="53"/>
      <c r="F1287" s="53"/>
      <c r="G1287" s="53"/>
      <c r="I1287" s="52" t="s">
        <v>9927</v>
      </c>
      <c r="J1287" s="28" t="str">
        <f>IF(shinsei_build_TOKUREI_56_7=1,"□","■")</f>
        <v>■</v>
      </c>
      <c r="K1287" s="7" t="s">
        <v>4370</v>
      </c>
    </row>
    <row r="1288" spans="1:13" s="52" customFormat="1" ht="18" customHeight="1">
      <c r="A1288" s="53"/>
      <c r="C1288" s="5" t="s">
        <v>4371</v>
      </c>
      <c r="G1288" s="6" t="s">
        <v>1845</v>
      </c>
      <c r="H1288" s="20" t="s">
        <v>4280</v>
      </c>
      <c r="I1288" s="7" t="s">
        <v>4372</v>
      </c>
      <c r="J1288" s="28" t="str">
        <f>IF(shinsei_build_TOKUREI_56_7_DOURO_TAKASA="■","道路高さ制限","")</f>
        <v/>
      </c>
      <c r="K1288" s="7"/>
    </row>
    <row r="1289" spans="1:13" s="52" customFormat="1" ht="18" customHeight="1">
      <c r="A1289" s="53"/>
      <c r="C1289" s="5" t="s">
        <v>4373</v>
      </c>
      <c r="G1289" s="6" t="s">
        <v>1846</v>
      </c>
      <c r="H1289" s="20" t="s">
        <v>11814</v>
      </c>
      <c r="I1289" s="7" t="s">
        <v>4374</v>
      </c>
      <c r="J1289" s="28" t="str">
        <f>IF(shinsei_build_TOKUREI_56_7_DOURO_RINTI="■","隣地高さ制限","")</f>
        <v/>
      </c>
      <c r="K1289" s="7"/>
    </row>
    <row r="1290" spans="1:13" s="52" customFormat="1" ht="18" customHeight="1">
      <c r="A1290" s="53"/>
      <c r="C1290" s="5" t="s">
        <v>4375</v>
      </c>
      <c r="G1290" s="6" t="s">
        <v>1847</v>
      </c>
      <c r="H1290" s="20" t="s">
        <v>11814</v>
      </c>
      <c r="I1290" s="7" t="s">
        <v>4376</v>
      </c>
      <c r="J1290" s="28" t="str">
        <f>IF(shinsei_build_TOKUREI_56_7_DOURO_KITA="■","北側高さ制限","")</f>
        <v/>
      </c>
      <c r="K1290" s="7"/>
    </row>
    <row r="1291" spans="1:13" s="52" customFormat="1" ht="18" customHeight="1">
      <c r="A1291" s="53"/>
      <c r="B1291" s="53"/>
      <c r="C1291" s="53"/>
      <c r="D1291" s="53"/>
      <c r="E1291" s="53"/>
      <c r="F1291" s="53"/>
      <c r="G1291" s="53"/>
      <c r="I1291" s="52" t="s">
        <v>11402</v>
      </c>
      <c r="J1291" s="52" t="str">
        <f>IF(AND(cst_shinsei_build_TOKUREI_56_7_DOURO_TAKASA="",cst_shinsei_build_TOKUREI_56_7_DOURO_RINTI="",cst_shinsei_build_TOKUREI_56_7_DOURO_KITA=""),"無",IF(AND(cst_shinsei_build_TOKUREI_56_7_DOURO_TAKASA="",cst_shinsei_build_TOKUREI_56_7_DOURO_RINTI=""),cst_shinsei_build_TOKUREI_56_7_DOURO_KITA,IF(AND(cst_shinsei_build_TOKUREI_56_7_DOURO_TAKASA&lt;&gt;"",cst_shinsei_build_TOKUREI_56_7_DOURO_RINTI&lt;&gt;""),cst_shinsei_build_TOKUREI_56_7_DOURO_TAKASA&amp;"　"&amp;cst_shinsei_build_TOKUREI_56_7_DOURO_RINTI&amp;"　"&amp;cst_shinsei_build_TOKUREI_56_7_DOURO_KITA,IF(AND(cst_shinsei_build_TOKUREI_56_7_DOURO_TAKASA&lt;&gt;"",cst_shinsei_build_TOKUREI_56_7_DOURO_RINTI=""),cst_shinsei_build_TOKUREI_56_7_DOURO_TAKASA&amp;"　"&amp;cst_shinsei_build_TOKUREI_56_7_DOURO_KITA,IF(AND(cst_shinsei_build_TOKUREI_56_7_DOURO_TAKASA="",cst_shinsei_build_TOKUREI_56_7_DOURO_RINTI&lt;&gt;""),cst_shinsei_build_TOKUREI_56_7_DOURO_RINTI&amp;"　"&amp;cst_shinsei_build_TOKUREI_56_7_DOURO_KITA)))))</f>
        <v>無</v>
      </c>
      <c r="K1291" s="56"/>
    </row>
    <row r="1292" spans="1:13" s="52" customFormat="1" ht="18" customHeight="1">
      <c r="A1292" s="53"/>
      <c r="B1292" s="53"/>
      <c r="C1292" s="53"/>
      <c r="D1292" s="53"/>
      <c r="E1292" s="53"/>
      <c r="F1292" s="53"/>
      <c r="G1292" s="53"/>
      <c r="K1292" s="56"/>
    </row>
    <row r="1293" spans="1:13" s="52" customFormat="1" ht="18" customHeight="1">
      <c r="A1293" s="53" t="s">
        <v>4377</v>
      </c>
      <c r="B1293" s="53"/>
      <c r="C1293" s="53"/>
      <c r="D1293" s="53"/>
      <c r="E1293" s="53"/>
      <c r="F1293" s="53"/>
      <c r="G1293" s="53"/>
      <c r="K1293" s="56"/>
    </row>
    <row r="1294" spans="1:13" s="52" customFormat="1" ht="18" customHeight="1">
      <c r="A1294" s="53"/>
      <c r="B1294" s="53" t="s">
        <v>4378</v>
      </c>
      <c r="C1294" s="53"/>
      <c r="D1294" s="53"/>
      <c r="E1294" s="53"/>
      <c r="F1294" s="53"/>
      <c r="G1294" s="53" t="s">
        <v>1848</v>
      </c>
      <c r="H1294" s="20"/>
      <c r="I1294" s="52" t="s">
        <v>4379</v>
      </c>
      <c r="J1294" s="28" t="str">
        <f>IF(shinsei_KANRYOU_KEIKA1_GOUKAKU_NO="","",shinsei_KANRYOU_KEIKA1_GOUKAKU_NO)</f>
        <v/>
      </c>
      <c r="K1294" s="56"/>
    </row>
    <row r="1295" spans="1:13" s="52" customFormat="1" ht="18" customHeight="1">
      <c r="A1295" s="53"/>
      <c r="B1295" s="53"/>
      <c r="C1295" s="53"/>
      <c r="D1295" s="53"/>
      <c r="E1295" s="53"/>
      <c r="F1295" s="53"/>
      <c r="G1295" s="53"/>
      <c r="H1295" s="80"/>
      <c r="I1295" s="52" t="s">
        <v>4380</v>
      </c>
      <c r="J1295" s="28" t="str">
        <f>IF(shinsei_KANRYOU_KEIKA1_GOUKAKU_NO="","","第"&amp;shinsei_KANRYOU_KEIKA1_GOUKAKU_NO&amp;"号")</f>
        <v/>
      </c>
      <c r="K1295" s="56"/>
    </row>
    <row r="1296" spans="1:13" s="52" customFormat="1" ht="18" customHeight="1">
      <c r="A1296" s="53"/>
      <c r="B1296" s="53" t="s">
        <v>4381</v>
      </c>
      <c r="C1296" s="53"/>
      <c r="D1296" s="53"/>
      <c r="E1296" s="53"/>
      <c r="F1296" s="53"/>
      <c r="G1296" s="53" t="s">
        <v>1849</v>
      </c>
      <c r="H1296" s="74"/>
      <c r="I1296" s="52" t="s">
        <v>4382</v>
      </c>
      <c r="J1296" s="28" t="str">
        <f>IF(shinsei_KANRYOU_KEIKA1_KOUFU_DATE="","",shinsei_KANRYOU_KEIKA1_KOUFU_DATE)</f>
        <v/>
      </c>
      <c r="K1296" s="56"/>
    </row>
    <row r="1297" spans="1:11" s="52" customFormat="1" ht="18" customHeight="1">
      <c r="A1297" s="53"/>
      <c r="B1297" s="53"/>
      <c r="C1297" s="53"/>
      <c r="D1297" s="53"/>
      <c r="E1297" s="53"/>
      <c r="F1297" s="53"/>
      <c r="G1297" s="53"/>
      <c r="K1297" s="56"/>
    </row>
    <row r="1298" spans="1:11" s="52" customFormat="1" ht="18" customHeight="1">
      <c r="A1298" s="53"/>
      <c r="B1298" s="53" t="s">
        <v>4383</v>
      </c>
      <c r="C1298" s="53"/>
      <c r="D1298" s="53"/>
      <c r="E1298" s="53"/>
      <c r="F1298" s="53"/>
      <c r="G1298" s="53" t="s">
        <v>1850</v>
      </c>
      <c r="H1298" s="20"/>
      <c r="I1298" s="52" t="s">
        <v>4384</v>
      </c>
      <c r="J1298" s="28" t="str">
        <f>IF(shinsei_KANRYOU_KEIKA1_KOUTEI="","",shinsei_KANRYOU_KEIKA1_KOUTEI)</f>
        <v/>
      </c>
      <c r="K1298" s="56"/>
    </row>
    <row r="1299" spans="1:11" s="52" customFormat="1" ht="18" customHeight="1">
      <c r="A1299" s="53"/>
      <c r="B1299" s="53"/>
      <c r="C1299" s="53"/>
      <c r="D1299" s="53"/>
      <c r="E1299" s="53"/>
      <c r="F1299" s="53"/>
      <c r="G1299" s="53"/>
      <c r="K1299" s="56"/>
    </row>
    <row r="1300" spans="1:11" s="52" customFormat="1" ht="18" customHeight="1">
      <c r="A1300" s="53"/>
      <c r="B1300" s="53" t="s">
        <v>10870</v>
      </c>
      <c r="C1300" s="53"/>
      <c r="D1300" s="53"/>
      <c r="E1300" s="53"/>
      <c r="F1300" s="53"/>
      <c r="G1300" s="53" t="s">
        <v>10867</v>
      </c>
      <c r="H1300" s="63"/>
      <c r="K1300" s="56"/>
    </row>
    <row r="1301" spans="1:11" ht="18" customHeight="1">
      <c r="B1301" s="5" t="s">
        <v>10869</v>
      </c>
      <c r="G1301" s="6" t="s">
        <v>10868</v>
      </c>
      <c r="H1301" s="40"/>
    </row>
    <row r="1306" spans="1:11" ht="18" customHeight="1">
      <c r="A1306" s="31" t="s">
        <v>4385</v>
      </c>
      <c r="B1306" s="31"/>
      <c r="C1306" s="31"/>
      <c r="D1306" s="31"/>
      <c r="E1306" s="31"/>
      <c r="F1306" s="31"/>
      <c r="G1306" s="31"/>
    </row>
    <row r="1309" spans="1:11" ht="18" customHeight="1">
      <c r="B1309" s="5" t="s">
        <v>4386</v>
      </c>
      <c r="E1309" s="7"/>
      <c r="F1309" s="7"/>
      <c r="G1309" s="7" t="s">
        <v>1851</v>
      </c>
      <c r="H1309" s="20"/>
      <c r="I1309" s="7" t="s">
        <v>4387</v>
      </c>
      <c r="J1309" s="22" t="str">
        <f>IF(shinsei_build_p4_TAIKA_KENTIKU="","",shinsei_build_p4_TAIKA_KENTIKU)</f>
        <v/>
      </c>
    </row>
    <row r="1311" spans="1:11" ht="18" customHeight="1">
      <c r="B1311" s="5" t="s">
        <v>4388</v>
      </c>
      <c r="G1311" s="5" t="s">
        <v>1852</v>
      </c>
      <c r="H1311" s="40">
        <v>7.585</v>
      </c>
      <c r="I1311" s="7" t="s">
        <v>4389</v>
      </c>
      <c r="J1311" s="28">
        <f>IF(shinsei_build_p4_TAKASA_KEN_MAX="","",shinsei_build_p4_TAKASA_KEN_MAX)</f>
        <v>7.585</v>
      </c>
    </row>
    <row r="1312" spans="1:11" ht="18" customHeight="1">
      <c r="B1312" s="5" t="s">
        <v>4390</v>
      </c>
      <c r="G1312" s="5" t="s">
        <v>1853</v>
      </c>
      <c r="H1312" s="40">
        <v>7.835</v>
      </c>
      <c r="I1312" s="7" t="s">
        <v>4391</v>
      </c>
      <c r="J1312" s="28">
        <f>IF(shinsei_build_p4_TAKASA_MAX="","",shinsei_build_p4_TAKASA_MAX)</f>
        <v>7.835</v>
      </c>
    </row>
    <row r="1317" spans="1:11" s="10" customFormat="1" ht="18" customHeight="1">
      <c r="A1317" s="31" t="s">
        <v>4392</v>
      </c>
      <c r="B1317" s="31"/>
      <c r="C1317" s="31"/>
      <c r="D1317" s="31"/>
      <c r="E1317" s="31"/>
      <c r="F1317" s="31"/>
      <c r="G1317" s="31"/>
    </row>
    <row r="1318" spans="1:11" s="10" customFormat="1" ht="18" customHeight="1">
      <c r="A1318" s="12"/>
      <c r="B1318" s="12"/>
      <c r="C1318" s="12"/>
      <c r="D1318" s="12"/>
      <c r="E1318" s="12"/>
      <c r="F1318" s="12"/>
      <c r="G1318" s="12"/>
      <c r="H1318" s="9"/>
    </row>
    <row r="1319" spans="1:11" s="10" customFormat="1" ht="18" customHeight="1">
      <c r="A1319" s="11"/>
      <c r="B1319" s="12" t="s">
        <v>4393</v>
      </c>
      <c r="C1319" s="12"/>
      <c r="D1319" s="12"/>
      <c r="E1319" s="12"/>
      <c r="F1319" s="12"/>
      <c r="G1319" s="12"/>
      <c r="H1319" s="9"/>
      <c r="I1319" s="9"/>
      <c r="J1319" s="9"/>
    </row>
    <row r="1320" spans="1:11" s="10" customFormat="1" ht="18" customHeight="1">
      <c r="A1320" s="11"/>
      <c r="B1320" s="12"/>
      <c r="C1320" s="12" t="s">
        <v>4394</v>
      </c>
      <c r="D1320" s="12"/>
      <c r="E1320" s="12"/>
      <c r="F1320" s="12"/>
      <c r="G1320" s="12" t="s">
        <v>1854</v>
      </c>
      <c r="H1320" s="20" t="s">
        <v>11793</v>
      </c>
      <c r="I1320" s="9"/>
      <c r="J1320" s="81"/>
      <c r="K1320" s="10" t="s">
        <v>4395</v>
      </c>
    </row>
    <row r="1321" spans="1:11" s="10" customFormat="1" ht="18" customHeight="1">
      <c r="A1321" s="11"/>
      <c r="B1321" s="12"/>
      <c r="C1321" s="12" t="s">
        <v>4396</v>
      </c>
      <c r="D1321" s="12"/>
      <c r="E1321" s="12"/>
      <c r="F1321" s="12"/>
      <c r="G1321" s="12" t="s">
        <v>1855</v>
      </c>
      <c r="H1321" s="20" t="s">
        <v>11791</v>
      </c>
      <c r="I1321" s="9"/>
      <c r="J1321" s="9"/>
    </row>
    <row r="1322" spans="1:11" s="10" customFormat="1" ht="18" customHeight="1">
      <c r="A1322" s="11"/>
      <c r="B1322" s="12" t="s">
        <v>4397</v>
      </c>
      <c r="C1322" s="12"/>
      <c r="D1322" s="12"/>
      <c r="E1322" s="12"/>
      <c r="F1322" s="12"/>
      <c r="G1322" s="12" t="s">
        <v>4398</v>
      </c>
      <c r="H1322" s="74" t="s">
        <v>11837</v>
      </c>
      <c r="I1322" s="9" t="s">
        <v>10081</v>
      </c>
      <c r="J1322" s="20" t="str">
        <f>IF(shinsei_FIRE_NOTIFY_SUBMIT_KIND="","",shinsei_FIRE_NOTIFY_SUBMIT_KIND)</f>
        <v>同意</v>
      </c>
      <c r="K1322" s="10" t="s">
        <v>11070</v>
      </c>
    </row>
    <row r="1323" spans="1:11" s="10" customFormat="1" ht="18" customHeight="1">
      <c r="A1323" s="11"/>
      <c r="B1323" s="11"/>
      <c r="C1323" s="12"/>
      <c r="D1323" s="12"/>
      <c r="E1323" s="12"/>
      <c r="F1323" s="12"/>
      <c r="G1323" s="12"/>
      <c r="H1323" s="9"/>
      <c r="I1323" s="9"/>
      <c r="J1323" s="9"/>
    </row>
    <row r="1324" spans="1:11" s="10" customFormat="1" ht="18" customHeight="1">
      <c r="A1324" s="11"/>
      <c r="B1324" s="12" t="s">
        <v>4399</v>
      </c>
      <c r="C1324" s="12"/>
      <c r="D1324" s="12"/>
      <c r="E1324" s="12"/>
      <c r="F1324" s="12"/>
      <c r="G1324" s="6" t="s">
        <v>1856</v>
      </c>
      <c r="H1324" s="74">
        <v>44258</v>
      </c>
      <c r="I1324" s="5" t="s">
        <v>4400</v>
      </c>
      <c r="J1324" s="82">
        <f>IF(shinsei_FIRE_SUBMIT_DATE="","",shinsei_FIRE_SUBMIT_DATE)</f>
        <v>44258</v>
      </c>
    </row>
    <row r="1325" spans="1:11" s="10" customFormat="1" ht="18" customHeight="1">
      <c r="A1325" s="11"/>
      <c r="B1325" s="12"/>
      <c r="C1325" s="12"/>
      <c r="D1325" s="12"/>
      <c r="E1325" s="12"/>
      <c r="F1325" s="12"/>
      <c r="G1325" s="12"/>
      <c r="H1325" s="9"/>
      <c r="I1325" s="5" t="s">
        <v>4401</v>
      </c>
      <c r="J1325" s="549">
        <f>IF(shinsei_FIRE_SUBMIT_DATE="",cst_DISP__date_190430,shinsei_FIRE_SUBMIT_DATE)</f>
        <v>44258</v>
      </c>
    </row>
    <row r="1326" spans="1:11" s="10" customFormat="1" ht="18" customHeight="1">
      <c r="A1326" s="11"/>
      <c r="B1326" s="12"/>
      <c r="C1326" s="12"/>
      <c r="D1326" s="12"/>
      <c r="E1326" s="12"/>
      <c r="F1326" s="12"/>
      <c r="G1326" s="12"/>
      <c r="H1326" s="9"/>
      <c r="I1326" s="5" t="s">
        <v>9954</v>
      </c>
      <c r="J1326" s="77" t="str">
        <f>IF(shinsei_FIRE_SUBMIT_DATE="",cst_DISP__date,TEXT(shinsei_FIRE_SUBMIT_DATE,"ggg")&amp;"　"&amp;TEXT(shinsei_FIRE_SUBMIT_DATE,"e")&amp;"　年　"&amp;TEXT(shinsei_FIRE_SUBMIT_DATE,"m")&amp;"　月　"&amp;TEXT(shinsei_FIRE_SUBMIT_DATE,"d")&amp;"　日")</f>
        <v>令和　3　年　3　月　3　日</v>
      </c>
    </row>
    <row r="1327" spans="1:11" s="10" customFormat="1" ht="18" customHeight="1">
      <c r="A1327" s="11"/>
      <c r="B1327" s="12"/>
      <c r="C1327" s="12"/>
      <c r="D1327" s="12"/>
      <c r="E1327" s="12"/>
      <c r="F1327" s="12"/>
      <c r="G1327" s="12"/>
      <c r="H1327" s="9"/>
      <c r="I1327" s="5"/>
      <c r="J1327" s="83"/>
    </row>
    <row r="1328" spans="1:11" s="10" customFormat="1" ht="18" customHeight="1">
      <c r="A1328" s="11"/>
      <c r="B1328" s="12" t="s">
        <v>4402</v>
      </c>
      <c r="C1328" s="12"/>
      <c r="D1328" s="12"/>
      <c r="E1328" s="12"/>
      <c r="F1328" s="12"/>
      <c r="G1328" s="84" t="s">
        <v>1857</v>
      </c>
      <c r="H1328" s="74"/>
      <c r="I1328" s="5" t="s">
        <v>4403</v>
      </c>
      <c r="J1328" s="85" t="str">
        <f>IF(shinsei_FIRE_AGREE_DATE="","",shinsei_FIRE_AGREE_DATE)</f>
        <v/>
      </c>
    </row>
    <row r="1329" spans="1:11" s="10" customFormat="1" ht="18" customHeight="1">
      <c r="A1329" s="11"/>
      <c r="B1329" s="12"/>
      <c r="C1329" s="12"/>
      <c r="D1329" s="12"/>
      <c r="E1329" s="12"/>
      <c r="F1329" s="12"/>
      <c r="G1329" s="12"/>
      <c r="H1329" s="9"/>
      <c r="I1329" s="5" t="s">
        <v>4404</v>
      </c>
      <c r="J1329" s="77" t="str">
        <f ca="1">IF(shinsei_FIRE_AGREE_DATE="",cst_DISP__date,shinsei_FIRE_AGREE_DATE)</f>
        <v>令和      年      月      日</v>
      </c>
    </row>
    <row r="1330" spans="1:11" s="10" customFormat="1" ht="18" customHeight="1">
      <c r="A1330" s="11"/>
      <c r="B1330" s="12"/>
      <c r="C1330" s="12"/>
      <c r="D1330" s="12"/>
      <c r="E1330" s="12"/>
      <c r="F1330" s="12"/>
      <c r="G1330" s="12"/>
      <c r="H1330" s="9"/>
      <c r="I1330" s="9"/>
      <c r="J1330" s="9"/>
    </row>
    <row r="1331" spans="1:11" s="10" customFormat="1" ht="18" customHeight="1">
      <c r="A1331" s="11"/>
      <c r="B1331" s="12" t="s">
        <v>4405</v>
      </c>
      <c r="C1331" s="11"/>
      <c r="D1331" s="12"/>
      <c r="E1331" s="12"/>
      <c r="F1331" s="12"/>
      <c r="G1331" s="6" t="s">
        <v>1858</v>
      </c>
      <c r="H1331" s="74"/>
      <c r="I1331" s="5" t="s">
        <v>4406</v>
      </c>
      <c r="J1331" s="82" t="str">
        <f>IF(shinsei_FIRE_NOTIFY_DATE="","",shinsei_FIRE_NOTIFY_DATE)</f>
        <v/>
      </c>
    </row>
    <row r="1332" spans="1:11" ht="18" customHeight="1">
      <c r="B1332" s="86"/>
      <c r="G1332" s="5"/>
      <c r="I1332" s="5" t="s">
        <v>4407</v>
      </c>
      <c r="J1332" s="549" t="str">
        <f ca="1">IF(shinsei_FIRE_NOTIFY_DATE="",cst_DISP__date_190430,shinsei_FIRE_NOTIFY_DATE)</f>
        <v>令和     年       月        日</v>
      </c>
    </row>
    <row r="1333" spans="1:11" s="10" customFormat="1" ht="18" customHeight="1">
      <c r="A1333" s="12"/>
      <c r="B1333" s="12"/>
      <c r="C1333" s="12"/>
      <c r="D1333" s="12"/>
      <c r="E1333" s="12"/>
      <c r="F1333" s="12"/>
      <c r="G1333" s="12"/>
      <c r="H1333" s="9"/>
      <c r="I1333" s="5" t="s">
        <v>9956</v>
      </c>
      <c r="J1333" s="77" t="str">
        <f ca="1">IF(shinsei_FIRE_NOTIFY_DATE="",cst_DISP__date,TEXT(shinsei_FIRE_NOTIFY_DATE,"ggg")&amp;"　"&amp;TEXT(shinsei_FIRE_NOTIFY_DATE,"e")&amp;"　年　"&amp;TEXT(shinsei_FIRE_NOTIFY_DATE,"m")&amp;"　月　"&amp;TEXT(shinsei_FIRE_NOTIFY_DATE,"d")&amp;"　日")</f>
        <v>令和      年      月      日</v>
      </c>
    </row>
    <row r="1334" spans="1:11" s="10" customFormat="1" ht="18" customHeight="1">
      <c r="A1334" s="12"/>
      <c r="B1334" s="12"/>
      <c r="C1334" s="12"/>
      <c r="D1334" s="12"/>
      <c r="E1334" s="12"/>
      <c r="F1334" s="12"/>
      <c r="G1334" s="12"/>
      <c r="H1334" s="9"/>
      <c r="I1334" s="9"/>
      <c r="J1334" s="9"/>
    </row>
    <row r="1335" spans="1:11" s="10" customFormat="1" ht="18" customHeight="1">
      <c r="A1335" s="12"/>
      <c r="B1335" s="12" t="s">
        <v>338</v>
      </c>
      <c r="C1335" s="12"/>
      <c r="D1335" s="12"/>
      <c r="E1335" s="12"/>
      <c r="F1335" s="12"/>
      <c r="G1335" s="12" t="s">
        <v>339</v>
      </c>
      <c r="H1335" s="74"/>
      <c r="I1335" s="9" t="s">
        <v>340</v>
      </c>
      <c r="J1335" s="82" t="str">
        <f>IF(shinsei_FIRE_AGREE_RECEIVE_DATE="","",shinsei_FIRE_AGREE_RECEIVE_DATE)</f>
        <v/>
      </c>
    </row>
    <row r="1336" spans="1:11" s="10" customFormat="1" ht="18" customHeight="1">
      <c r="A1336" s="12"/>
      <c r="B1336" s="12"/>
      <c r="C1336" s="12"/>
      <c r="D1336" s="12"/>
      <c r="E1336" s="12"/>
      <c r="F1336" s="12"/>
      <c r="G1336" s="12"/>
      <c r="H1336" s="9"/>
      <c r="I1336" s="9"/>
      <c r="J1336" s="9"/>
    </row>
    <row r="1337" spans="1:11" s="10" customFormat="1" ht="18" customHeight="1">
      <c r="A1337" s="12"/>
      <c r="B1337" s="12" t="s">
        <v>11067</v>
      </c>
      <c r="C1337" s="12"/>
      <c r="D1337" s="12"/>
      <c r="E1337" s="12"/>
      <c r="F1337" s="12"/>
      <c r="G1337" s="12"/>
      <c r="H1337" s="9"/>
      <c r="I1337" s="10" t="s">
        <v>11087</v>
      </c>
      <c r="J1337" s="9"/>
      <c r="K1337" s="10" t="s">
        <v>11088</v>
      </c>
    </row>
    <row r="1338" spans="1:11" s="10" customFormat="1" ht="18" customHeight="1">
      <c r="A1338" s="12"/>
      <c r="B1338" s="12"/>
      <c r="C1338" s="12" t="s">
        <v>11068</v>
      </c>
      <c r="D1338" s="12"/>
      <c r="E1338" s="12"/>
      <c r="F1338" s="12"/>
      <c r="G1338" s="12"/>
      <c r="H1338" s="9"/>
      <c r="I1338" s="9" t="s">
        <v>11071</v>
      </c>
      <c r="J1338" s="511" t="str">
        <f>IF(shinsei_UKETUKE_OFFICE_ID__ID=2,IF(shinsei_FIRE_NOTIFY_SUBMIT_KIND="同意","依頼日",IF(shinsei_FIRE_NOTIFY_SUBMIT_KIND="通知","通知日","依頼日ｏｒ通知日")),"依頼日ｏｒ通知日")</f>
        <v>依頼日</v>
      </c>
    </row>
    <row r="1339" spans="1:11" s="10" customFormat="1" ht="18" customHeight="1">
      <c r="A1339" s="12"/>
      <c r="B1339" s="12"/>
      <c r="C1339" s="12" t="s">
        <v>11069</v>
      </c>
      <c r="D1339" s="12"/>
      <c r="E1339" s="12"/>
      <c r="F1339" s="12"/>
      <c r="G1339" s="12"/>
      <c r="H1339" s="9"/>
      <c r="I1339" s="9" t="s">
        <v>11072</v>
      </c>
      <c r="J1339" s="550">
        <f>IF(shinsei_UKETUKE_OFFICE_ID__ID=2,IF(shinsei_FIRE_NOTIFY_SUBMIT_KIND="同意",cst_shinsei_FIRE_SUBMIT_DATE__disp,IF(shinsei_FIRE_NOTIFY_SUBMIT_KIND="通知",cst_shinsei_FIRE_NOTIFY_DATE__disp,cst_DISP__date_190430)),cst_DISP__date_190430)</f>
        <v>44258</v>
      </c>
      <c r="K1339" s="10" t="s">
        <v>11582</v>
      </c>
    </row>
    <row r="1340" spans="1:11" s="10" customFormat="1" ht="18" customHeight="1">
      <c r="A1340" s="12"/>
      <c r="B1340" s="12"/>
      <c r="C1340" s="12"/>
      <c r="D1340" s="12"/>
      <c r="E1340" s="12"/>
      <c r="F1340" s="12"/>
      <c r="G1340" s="12"/>
      <c r="H1340" s="9"/>
      <c r="I1340" s="9"/>
      <c r="J1340" s="9"/>
    </row>
    <row r="1341" spans="1:11" s="10" customFormat="1" ht="18" customHeight="1">
      <c r="A1341" s="12"/>
      <c r="B1341" s="12" t="s">
        <v>11430</v>
      </c>
      <c r="C1341" s="12"/>
      <c r="D1341" s="12"/>
      <c r="E1341" s="12"/>
      <c r="F1341" s="12"/>
      <c r="G1341" s="12"/>
      <c r="H1341" s="9"/>
      <c r="I1341" s="9" t="s">
        <v>11432</v>
      </c>
      <c r="J1341" s="517" t="str">
        <f ca="1">"　"&amp;don_OFFICE_DAIHYOUSYA__fire_submit_date</f>
        <v>　代表取締役　　山 田  耕 藏</v>
      </c>
      <c r="K1341" s="517" t="str">
        <f>IF(cst_shinsei_FIRE_SUBMIT_DATE&lt;42917,"　"&amp;don_OFFICE_DAIHYOUSYA__fire_submit_date,IF(shinsei_CITY_ID__ken="東京都","　"&amp;don_OFFICE_DAIHYOUSYA__fire_submit_date,""))</f>
        <v/>
      </c>
    </row>
    <row r="1342" spans="1:11" s="10" customFormat="1" ht="18" customHeight="1">
      <c r="A1342" s="12"/>
      <c r="B1342" s="12"/>
      <c r="C1342" s="12" t="s">
        <v>11431</v>
      </c>
      <c r="D1342" s="12"/>
      <c r="E1342" s="12"/>
      <c r="F1342" s="12"/>
      <c r="G1342" s="12"/>
      <c r="H1342" s="9"/>
      <c r="I1342" s="9"/>
      <c r="J1342" s="9"/>
    </row>
    <row r="1343" spans="1:11" s="10" customFormat="1" ht="18" customHeight="1">
      <c r="A1343" s="12"/>
      <c r="B1343" s="12"/>
      <c r="C1343" s="12" t="s">
        <v>11434</v>
      </c>
      <c r="D1343" s="12"/>
      <c r="E1343" s="12"/>
      <c r="F1343" s="12"/>
      <c r="G1343" s="12"/>
      <c r="H1343" s="9"/>
      <c r="I1343" s="9"/>
      <c r="J1343" s="9"/>
    </row>
    <row r="1344" spans="1:11" s="10" customFormat="1" ht="18" customHeight="1">
      <c r="A1344" s="12"/>
      <c r="B1344" s="12"/>
      <c r="C1344" s="12"/>
      <c r="D1344" s="12"/>
      <c r="E1344" s="12"/>
      <c r="F1344" s="12"/>
      <c r="G1344" s="12"/>
      <c r="H1344" s="9"/>
      <c r="I1344" s="9"/>
      <c r="J1344" s="9"/>
    </row>
    <row r="1345" spans="1:11" s="10" customFormat="1" ht="18" customHeight="1">
      <c r="A1345" s="12"/>
      <c r="B1345" s="12"/>
      <c r="C1345" s="12"/>
      <c r="D1345" s="12"/>
      <c r="E1345" s="12"/>
      <c r="F1345" s="12"/>
      <c r="G1345" s="12"/>
      <c r="H1345" s="9"/>
      <c r="I1345" s="9"/>
      <c r="J1345" s="9"/>
    </row>
    <row r="1346" spans="1:11" s="10" customFormat="1" ht="18" customHeight="1">
      <c r="A1346" s="12"/>
      <c r="B1346" s="12"/>
      <c r="C1346" s="12"/>
      <c r="D1346" s="12"/>
      <c r="E1346" s="12"/>
      <c r="F1346" s="12"/>
      <c r="G1346" s="12"/>
      <c r="H1346" s="9"/>
      <c r="I1346" s="9"/>
      <c r="J1346" s="9"/>
    </row>
    <row r="1347" spans="1:11" s="10" customFormat="1" ht="18" customHeight="1">
      <c r="A1347" s="31" t="s">
        <v>10930</v>
      </c>
      <c r="B1347" s="31"/>
      <c r="C1347" s="31"/>
      <c r="D1347" s="31"/>
      <c r="E1347" s="31"/>
      <c r="F1347" s="31"/>
      <c r="G1347" s="31"/>
    </row>
    <row r="1348" spans="1:11" s="10" customFormat="1" ht="18" customHeight="1">
      <c r="A1348" s="11"/>
      <c r="B1348" s="11"/>
      <c r="C1348" s="11"/>
      <c r="D1348" s="11"/>
      <c r="E1348" s="11"/>
      <c r="F1348" s="11"/>
      <c r="G1348" s="11"/>
      <c r="H1348" s="81"/>
    </row>
    <row r="1349" spans="1:11" s="10" customFormat="1" ht="18" customHeight="1">
      <c r="A1349" s="11"/>
      <c r="B1349" s="12" t="s">
        <v>4408</v>
      </c>
      <c r="C1349" s="12"/>
      <c r="D1349" s="12"/>
      <c r="E1349" s="12"/>
      <c r="F1349" s="12"/>
      <c r="G1349" s="12"/>
      <c r="H1349" s="9"/>
      <c r="I1349" s="9"/>
      <c r="J1349" s="9"/>
    </row>
    <row r="1350" spans="1:11" s="10" customFormat="1" ht="18" customHeight="1">
      <c r="A1350" s="11"/>
      <c r="B1350" s="13"/>
      <c r="C1350" s="12" t="s">
        <v>1450</v>
      </c>
      <c r="D1350" s="12"/>
      <c r="E1350" s="12"/>
      <c r="F1350" s="12"/>
      <c r="G1350" s="12" t="s">
        <v>1859</v>
      </c>
      <c r="H1350" s="20" t="s">
        <v>11795</v>
      </c>
      <c r="I1350" s="9"/>
      <c r="J1350" s="9"/>
      <c r="K1350" s="10" t="s">
        <v>4395</v>
      </c>
    </row>
    <row r="1351" spans="1:11" s="10" customFormat="1" ht="18" customHeight="1">
      <c r="A1351" s="11"/>
      <c r="B1351" s="13"/>
      <c r="C1351" s="12" t="s">
        <v>4396</v>
      </c>
      <c r="D1351" s="12"/>
      <c r="E1351" s="12"/>
      <c r="F1351" s="12"/>
      <c r="G1351" s="12" t="s">
        <v>1860</v>
      </c>
      <c r="H1351" s="20"/>
      <c r="I1351" s="9"/>
      <c r="J1351" s="9"/>
    </row>
    <row r="1352" spans="1:11" s="10" customFormat="1" ht="18" customHeight="1">
      <c r="A1352" s="11"/>
      <c r="B1352" s="13" t="s">
        <v>4409</v>
      </c>
      <c r="C1352" s="12"/>
      <c r="D1352" s="12"/>
      <c r="E1352" s="12"/>
      <c r="F1352" s="12"/>
      <c r="G1352" s="12" t="s">
        <v>1861</v>
      </c>
      <c r="H1352" s="20" t="s">
        <v>11838</v>
      </c>
      <c r="I1352" s="9"/>
      <c r="J1352" s="9"/>
      <c r="K1352" s="10" t="s">
        <v>4410</v>
      </c>
    </row>
    <row r="1353" spans="1:11" s="10" customFormat="1" ht="18" customHeight="1">
      <c r="A1353" s="11"/>
      <c r="B1353" s="12"/>
      <c r="C1353" s="12" t="s">
        <v>4411</v>
      </c>
      <c r="D1353" s="12"/>
      <c r="E1353" s="12"/>
      <c r="F1353" s="12"/>
      <c r="G1353" s="12" t="s">
        <v>1862</v>
      </c>
      <c r="H1353" s="13" t="s">
        <v>11787</v>
      </c>
      <c r="I1353" s="10" t="s">
        <v>4412</v>
      </c>
      <c r="J1353" s="19" t="str">
        <f>IF(shinsei_build_STAT_SEPTICTANK_SYORI="","",shinsei_build_STAT_SEPTICTANK_SYORI)</f>
        <v/>
      </c>
    </row>
    <row r="1354" spans="1:11" s="10" customFormat="1" ht="18" customHeight="1">
      <c r="A1354" s="11"/>
      <c r="B1354" s="12"/>
      <c r="C1354" s="12" t="s">
        <v>4413</v>
      </c>
      <c r="D1354" s="12"/>
      <c r="E1354" s="12"/>
      <c r="F1354" s="12"/>
      <c r="G1354" s="12" t="s">
        <v>1863</v>
      </c>
      <c r="H1354" s="13" t="s">
        <v>11787</v>
      </c>
      <c r="I1354" s="9" t="s">
        <v>4414</v>
      </c>
      <c r="J1354" s="19" t="str">
        <f>IF(shinsei_build_STAT_SEPTICTANK_CAPACITY="","",shinsei_build_STAT_SEPTICTANK_CAPACITY)</f>
        <v/>
      </c>
    </row>
    <row r="1355" spans="1:11" s="18" customFormat="1" ht="18" customHeight="1">
      <c r="A1355" s="14"/>
      <c r="B1355" s="5"/>
      <c r="C1355" s="11" t="s">
        <v>4415</v>
      </c>
      <c r="D1355" s="5"/>
      <c r="E1355" s="5"/>
      <c r="F1355" s="5"/>
      <c r="G1355" s="5"/>
      <c r="H1355" s="7"/>
      <c r="I1355" s="10" t="s">
        <v>4416</v>
      </c>
      <c r="J1355" s="22" t="str">
        <f>IF(shinsei_build_STAT_SEPTICTANK_SYORI="","",shinsei_build_STAT_SEPTICTANK_SYORI&amp;"　"&amp;shinsei_build_STAT_SEPTICTANK_CAPACITY)</f>
        <v/>
      </c>
      <c r="K1355" s="10"/>
    </row>
    <row r="1356" spans="1:11" s="10" customFormat="1" ht="18" customHeight="1">
      <c r="A1356" s="11"/>
      <c r="B1356" s="12" t="s">
        <v>4417</v>
      </c>
      <c r="C1356" s="12"/>
      <c r="D1356" s="12"/>
      <c r="E1356" s="12"/>
      <c r="F1356" s="12"/>
      <c r="G1356" s="12"/>
      <c r="H1356" s="9"/>
      <c r="I1356" s="9"/>
      <c r="J1356" s="9"/>
    </row>
    <row r="1357" spans="1:11" s="10" customFormat="1" ht="18" customHeight="1">
      <c r="A1357" s="11"/>
      <c r="B1357" s="13"/>
      <c r="C1357" s="12" t="s">
        <v>4418</v>
      </c>
      <c r="D1357" s="12"/>
      <c r="E1357" s="12"/>
      <c r="F1357" s="12"/>
      <c r="G1357" s="6" t="s">
        <v>1864</v>
      </c>
      <c r="H1357" s="74"/>
      <c r="I1357" s="9" t="s">
        <v>4419</v>
      </c>
      <c r="J1357" s="87" t="str">
        <f>IF(shinsei_HEALTH_NOTIFY_DATE="","",shinsei_HEALTH_NOTIFY_DATE)</f>
        <v/>
      </c>
      <c r="K1357" s="10" t="s">
        <v>4361</v>
      </c>
    </row>
    <row r="1358" spans="1:11" s="18" customFormat="1" ht="18" customHeight="1">
      <c r="A1358" s="14"/>
      <c r="B1358" s="5"/>
      <c r="C1358" s="5"/>
      <c r="D1358" s="5"/>
      <c r="E1358" s="5"/>
      <c r="F1358" s="5"/>
      <c r="G1358" s="5"/>
      <c r="H1358" s="7"/>
      <c r="I1358" s="9" t="s">
        <v>4420</v>
      </c>
      <c r="J1358" s="439" t="str">
        <f ca="1">IF(shinsei_HEALTH_NOTIFY_DATE="",cst_DISP__date,shinsei_HEALTH_NOTIFY_DATE)</f>
        <v>令和      年      月      日</v>
      </c>
    </row>
    <row r="1359" spans="1:11" ht="18" customHeight="1">
      <c r="I1359" s="9" t="s">
        <v>9957</v>
      </c>
      <c r="J1359" s="77" t="str">
        <f ca="1">IF(shinsei_HEALTH_NOTIFY_DATE="",cst_DISP__date,TEXT(shinsei_HEALTH_NOTIFY_DATE,"ggg")&amp;"　"&amp;TEXT(shinsei_HEALTH_NOTIFY_DATE,"e")&amp;"　年　"&amp;TEXT(shinsei_HEALTH_NOTIFY_DATE,"m")&amp;"　月　"&amp;TEXT(shinsei_HEALTH_NOTIFY_DATE,"d")&amp;"　日")</f>
        <v>令和      年      月      日</v>
      </c>
    </row>
    <row r="1361" spans="1:11" ht="18" customHeight="1">
      <c r="B1361" s="5" t="s">
        <v>4421</v>
      </c>
      <c r="G1361" s="6" t="s">
        <v>1865</v>
      </c>
      <c r="H1361" s="40"/>
      <c r="I1361" s="7" t="s">
        <v>4422</v>
      </c>
      <c r="J1361" s="17" t="str">
        <f>IF(shinsei_SEPTICTANK_KOUZOU_SYURUI="","",shinsei_SEPTICTANK_KOUZOU_SYURUI)</f>
        <v/>
      </c>
    </row>
    <row r="1363" spans="1:11" ht="18" customHeight="1">
      <c r="B1363" s="5" t="s">
        <v>10931</v>
      </c>
    </row>
    <row r="1364" spans="1:11" ht="18" customHeight="1">
      <c r="C1364" s="5" t="s">
        <v>1730</v>
      </c>
      <c r="E1364" s="7"/>
      <c r="G1364" s="6" t="s">
        <v>10933</v>
      </c>
      <c r="H1364" s="74"/>
      <c r="I1364" s="7" t="s">
        <v>10937</v>
      </c>
      <c r="J1364" s="40" t="str">
        <f>IF(shinsei_BIRUKAN_NOTIFY_DATE="","",shinsei_BIRUKAN_NOTIFY_DATE)</f>
        <v/>
      </c>
    </row>
    <row r="1365" spans="1:11" ht="18" customHeight="1">
      <c r="C1365" s="5" t="s">
        <v>10932</v>
      </c>
      <c r="G1365" s="6" t="s">
        <v>10934</v>
      </c>
      <c r="H1365" s="40"/>
      <c r="I1365" s="7" t="s">
        <v>10938</v>
      </c>
      <c r="J1365" s="28" t="str">
        <f>IF(shinsei_BIRUKAN_HEALTH_CENTER_NAME="","　　保健所長　様","　　"&amp;shinsei_BIRUKAN_HEALTH_CENTER_NAME&amp;"　様")</f>
        <v>　　保健所長　様</v>
      </c>
    </row>
    <row r="1366" spans="1:11" ht="18" customHeight="1">
      <c r="C1366" s="5" t="s">
        <v>4305</v>
      </c>
      <c r="G1366" s="7" t="s">
        <v>10935</v>
      </c>
      <c r="H1366" s="40"/>
      <c r="I1366" s="7" t="s">
        <v>10936</v>
      </c>
      <c r="J1366" s="40" t="str">
        <f>IF(shinsei_BIRUKAN_NOTIFY_SONOTA="","",shinsei_BIRUKAN_NOTIFY_SONOTA)</f>
        <v/>
      </c>
    </row>
    <row r="1369" spans="1:11" ht="18" customHeight="1">
      <c r="A1369" s="26" t="s">
        <v>4423</v>
      </c>
      <c r="B1369" s="26"/>
      <c r="C1369" s="26"/>
      <c r="D1369" s="26"/>
      <c r="E1369" s="26"/>
      <c r="F1369" s="26"/>
      <c r="G1369" s="37"/>
    </row>
    <row r="1371" spans="1:11" s="10" customFormat="1" ht="18" customHeight="1">
      <c r="A1371" s="11"/>
      <c r="B1371" s="11" t="s">
        <v>1456</v>
      </c>
      <c r="C1371" s="11"/>
      <c r="D1371" s="11"/>
      <c r="E1371" s="11"/>
      <c r="F1371" s="11"/>
      <c r="G1371" s="11" t="s">
        <v>296</v>
      </c>
      <c r="H1371" s="13" t="s">
        <v>11841</v>
      </c>
      <c r="I1371" s="9" t="s">
        <v>1457</v>
      </c>
      <c r="J1371" s="24" t="str">
        <f>IF(shinsei_KAKUNINZUMI_HOUKOKU_GYOSEI_NO="","",shinsei_KAKUNINZUMI_HOUKOKU_GYOSEI_NO)</f>
        <v>R2-民1514</v>
      </c>
    </row>
    <row r="1372" spans="1:11" s="10" customFormat="1" ht="18" customHeight="1">
      <c r="A1372" s="12"/>
      <c r="B1372" s="12"/>
      <c r="C1372" s="12" t="s">
        <v>10808</v>
      </c>
      <c r="D1372" s="12"/>
      <c r="E1372" s="12"/>
      <c r="F1372" s="12"/>
      <c r="G1372" s="12"/>
      <c r="H1372" s="9"/>
      <c r="I1372" s="9" t="s">
        <v>10809</v>
      </c>
      <c r="J1372" s="29" t="str">
        <f>IF(shinsei_KAKUNINZUMI_HOUKOKU_GYOSEI_NO="","","行政経由番号：")</f>
        <v>行政経由番号：</v>
      </c>
    </row>
    <row r="1373" spans="1:11" s="10" customFormat="1" ht="18" customHeight="1">
      <c r="A1373" s="12"/>
      <c r="B1373" s="12"/>
      <c r="C1373" s="12"/>
      <c r="D1373" s="12"/>
      <c r="E1373" s="12"/>
      <c r="F1373" s="12"/>
      <c r="G1373" s="12"/>
      <c r="H1373" s="9"/>
      <c r="I1373" s="9"/>
    </row>
    <row r="1374" spans="1:11" s="10" customFormat="1" ht="18" customHeight="1">
      <c r="A1374" s="11"/>
      <c r="B1374" s="11" t="s">
        <v>1458</v>
      </c>
      <c r="C1374" s="11"/>
      <c r="D1374" s="11"/>
      <c r="E1374" s="11"/>
      <c r="F1374" s="11"/>
      <c r="G1374" s="11" t="s">
        <v>1459</v>
      </c>
      <c r="H1374" s="20">
        <v>1</v>
      </c>
      <c r="I1374" s="10" t="s">
        <v>1460</v>
      </c>
      <c r="J1374" s="24">
        <f>IF(shinsei_REPORT_DEST_KIND="","",shinsei_REPORT_DEST_KIND)</f>
        <v>1</v>
      </c>
      <c r="K1374" s="10" t="s">
        <v>1461</v>
      </c>
    </row>
    <row r="1375" spans="1:11" ht="18" customHeight="1">
      <c r="B1375" s="5" t="s">
        <v>4424</v>
      </c>
      <c r="G1375" s="6" t="s">
        <v>1866</v>
      </c>
      <c r="H1375" s="74"/>
      <c r="I1375" s="7" t="s">
        <v>4425</v>
      </c>
      <c r="J1375" s="89" t="str">
        <f>IF(shinsei_KAKUNINZUMI_HOUKOKU_GYOSEI_DATE="","",shinsei_KAKUNINZUMI_HOUKOKU_GYOSEI_DATE)</f>
        <v/>
      </c>
    </row>
    <row r="1376" spans="1:11" ht="18" customHeight="1">
      <c r="B1376" s="5" t="s">
        <v>4426</v>
      </c>
      <c r="G1376" s="6" t="s">
        <v>1867</v>
      </c>
      <c r="H1376" s="74"/>
      <c r="I1376" s="7" t="s">
        <v>4427</v>
      </c>
      <c r="J1376" s="89" t="str">
        <f>IF(shinsei_build_DOURO_SIKITI_HASSO_DATE="","",shinsei_build_DOURO_SIKITI_HASSO_DATE)</f>
        <v/>
      </c>
    </row>
    <row r="1377" spans="1:11" ht="18" customHeight="1">
      <c r="H1377" s="80"/>
      <c r="I1377" s="7" t="s">
        <v>4428</v>
      </c>
      <c r="J1377" s="90" t="str">
        <f ca="1">IF(shinsei_build_DOURO_SIKITI_HASSO_DATE="",cst_DISP__date,shinsei_build_DOURO_SIKITI_HASSO_DATE)</f>
        <v>令和      年      月      日</v>
      </c>
    </row>
    <row r="1378" spans="1:11" s="10" customFormat="1" ht="18" customHeight="1">
      <c r="A1378" s="11"/>
      <c r="B1378" s="12" t="s">
        <v>4429</v>
      </c>
      <c r="C1378" s="12"/>
      <c r="D1378" s="12"/>
      <c r="E1378" s="12"/>
      <c r="F1378" s="12"/>
      <c r="G1378" s="12" t="s">
        <v>4430</v>
      </c>
      <c r="H1378" s="20" t="s">
        <v>11818</v>
      </c>
      <c r="I1378" s="9" t="s">
        <v>4431</v>
      </c>
      <c r="J1378" s="19" t="str">
        <f>IF(shinsei_build_STAT_HOU6_1="","",shinsei_build_STAT_HOU6_1)</f>
        <v>３号</v>
      </c>
      <c r="K1378" s="10" t="s">
        <v>4432</v>
      </c>
    </row>
    <row r="1379" spans="1:11" ht="18" customHeight="1">
      <c r="B1379" s="14" t="s">
        <v>4433</v>
      </c>
      <c r="C1379" s="14"/>
      <c r="D1379" s="14"/>
      <c r="G1379" s="14" t="s">
        <v>1868</v>
      </c>
      <c r="H1379" s="15" t="s">
        <v>11787</v>
      </c>
      <c r="I1379" s="7" t="s">
        <v>4434</v>
      </c>
      <c r="J1379" s="17" t="str">
        <f>IF(shinsei_ACCEPT_TOKKI_JIKOU="","",shinsei_ACCEPT_TOKKI_JIKOU)</f>
        <v/>
      </c>
    </row>
    <row r="1381" spans="1:11" ht="18" customHeight="1">
      <c r="B1381" s="5" t="s">
        <v>4435</v>
      </c>
      <c r="G1381" s="6" t="s">
        <v>9966</v>
      </c>
      <c r="H1381" s="15" t="s">
        <v>11787</v>
      </c>
      <c r="I1381" s="7" t="s">
        <v>4436</v>
      </c>
      <c r="J1381" s="17" t="str">
        <f>IF(shinsei_ACCEPT_NOTE="","",shinsei_ACCEPT_NOTE)</f>
        <v/>
      </c>
    </row>
    <row r="1383" spans="1:11" ht="18" customHeight="1">
      <c r="B1383" s="5" t="s">
        <v>10828</v>
      </c>
      <c r="G1383" s="6" t="s">
        <v>10829</v>
      </c>
      <c r="H1383" s="40"/>
      <c r="I1383" s="7" t="s">
        <v>10831</v>
      </c>
      <c r="J1383" s="40" t="str">
        <f>IF(shinsei_UNIT_COUNT="","",shinsei_UNIT_COUNT)</f>
        <v/>
      </c>
    </row>
    <row r="1384" spans="1:11" ht="18" customHeight="1">
      <c r="B1384" s="5" t="s">
        <v>10820</v>
      </c>
      <c r="G1384" s="6" t="s">
        <v>10830</v>
      </c>
      <c r="H1384" s="40"/>
      <c r="I1384" s="7" t="s">
        <v>10832</v>
      </c>
      <c r="J1384" s="40" t="str">
        <f>IF(shinsei_build_STAT_KOUHOU="","",shinsei_build_STAT_KOUHOU)</f>
        <v/>
      </c>
    </row>
    <row r="1386" spans="1:11" ht="18" customHeight="1">
      <c r="B1386" s="5" t="s">
        <v>10866</v>
      </c>
      <c r="G1386" s="6" t="s">
        <v>10865</v>
      </c>
      <c r="H1386" s="40"/>
    </row>
    <row r="1388" spans="1:11" ht="18" customHeight="1">
      <c r="B1388" s="5" t="s">
        <v>10947</v>
      </c>
      <c r="I1388" s="7" t="s">
        <v>10948</v>
      </c>
      <c r="J1388" s="28" t="str">
        <f>IF(OR(shinsei_UKETUKE_OFFICE_ID__ID=1,shinsei_UKETUKE_OFFICE_ID__ID=5),"○ 約款","")</f>
        <v/>
      </c>
      <c r="K1388" s="7" t="s">
        <v>11064</v>
      </c>
    </row>
    <row r="1389" spans="1:11" ht="18" customHeight="1">
      <c r="B1389" s="7"/>
    </row>
    <row r="1390" spans="1:11" ht="18" customHeight="1">
      <c r="B1390" s="5" t="s">
        <v>11096</v>
      </c>
      <c r="G1390" s="5" t="s">
        <v>11095</v>
      </c>
      <c r="H1390" s="513"/>
    </row>
    <row r="1391" spans="1:11" ht="18" customHeight="1">
      <c r="G1391" s="5" t="s">
        <v>11097</v>
      </c>
      <c r="H1391" s="513"/>
    </row>
    <row r="1396" spans="1:11" ht="18" customHeight="1">
      <c r="A1396" s="26" t="s">
        <v>4437</v>
      </c>
      <c r="B1396" s="26"/>
      <c r="C1396" s="26"/>
      <c r="D1396" s="26"/>
      <c r="E1396" s="26"/>
      <c r="F1396" s="26"/>
      <c r="G1396" s="37"/>
    </row>
    <row r="1398" spans="1:11" s="10" customFormat="1" ht="18" customHeight="1">
      <c r="A1398" s="11"/>
      <c r="B1398" s="12" t="s">
        <v>4438</v>
      </c>
      <c r="C1398" s="12"/>
      <c r="D1398" s="12"/>
      <c r="E1398" s="12"/>
      <c r="F1398" s="12"/>
      <c r="G1398" s="12" t="s">
        <v>4439</v>
      </c>
      <c r="H1398" s="13" t="s">
        <v>11787</v>
      </c>
      <c r="I1398" s="9" t="s">
        <v>4440</v>
      </c>
      <c r="J1398" s="21" t="str">
        <f>IF(shinsei_ev_EV_BILL_NAME="","",shinsei_ev_EV_BILL_NAME)</f>
        <v/>
      </c>
    </row>
    <row r="1399" spans="1:11" s="10" customFormat="1" ht="18" customHeight="1">
      <c r="A1399" s="12"/>
      <c r="B1399" s="12" t="s">
        <v>4441</v>
      </c>
      <c r="C1399" s="12"/>
      <c r="D1399" s="12"/>
      <c r="E1399" s="12"/>
      <c r="F1399" s="12"/>
      <c r="G1399" s="12" t="s">
        <v>4442</v>
      </c>
      <c r="H1399" s="13" t="s">
        <v>11787</v>
      </c>
      <c r="I1399" s="9" t="s">
        <v>4443</v>
      </c>
      <c r="J1399" s="19" t="str">
        <f>IF(shinsei_ev_EV_BILL_YOUTO="","",shinsei_ev_EV_BILL_YOUTO)</f>
        <v/>
      </c>
    </row>
    <row r="1400" spans="1:11" s="10" customFormat="1" ht="18" customHeight="1">
      <c r="A1400" s="12"/>
      <c r="B1400" s="12" t="s">
        <v>1385</v>
      </c>
      <c r="C1400" s="12"/>
      <c r="D1400" s="12"/>
      <c r="E1400" s="12"/>
      <c r="F1400" s="12"/>
      <c r="G1400" s="12" t="s">
        <v>4444</v>
      </c>
      <c r="H1400" s="13" t="s">
        <v>11787</v>
      </c>
      <c r="I1400" s="10" t="s">
        <v>4445</v>
      </c>
      <c r="J1400" s="24" t="str">
        <f>IF(shinsei_ev_EV_SYUBETU="","",shinsei_ev_EV_SYUBETU)</f>
        <v/>
      </c>
    </row>
    <row r="1401" spans="1:11" s="10" customFormat="1" ht="18" customHeight="1">
      <c r="A1401" s="12"/>
      <c r="B1401" s="12" t="s">
        <v>4441</v>
      </c>
      <c r="C1401" s="12"/>
      <c r="D1401" s="12"/>
      <c r="E1401" s="12"/>
      <c r="F1401" s="12"/>
      <c r="G1401" s="12" t="s">
        <v>4446</v>
      </c>
      <c r="H1401" s="13" t="s">
        <v>11787</v>
      </c>
      <c r="I1401" s="10" t="s">
        <v>4447</v>
      </c>
      <c r="J1401" s="24" t="str">
        <f>IF(shinsei_ev_EV_YOUTO="","",shinsei_ev_EV_YOUTO)</f>
        <v/>
      </c>
    </row>
    <row r="1402" spans="1:11" s="10" customFormat="1" ht="18" customHeight="1">
      <c r="A1402" s="12" t="s">
        <v>4448</v>
      </c>
      <c r="B1402" s="12" t="s">
        <v>4449</v>
      </c>
      <c r="C1402" s="12"/>
      <c r="D1402" s="12"/>
      <c r="E1402" s="12"/>
      <c r="F1402" s="12"/>
      <c r="G1402" s="12" t="s">
        <v>4450</v>
      </c>
      <c r="H1402" s="13" t="s">
        <v>11787</v>
      </c>
      <c r="I1402" s="9" t="s">
        <v>4451</v>
      </c>
      <c r="J1402" s="19" t="str">
        <f>IF(ISERROR(SEARCH("-",shinsei_ev_EV_SEKISAI)),IF(ISERROR(SEARCH("/",shinsei_ev_EV_SEKISAI)),TEXT(shinsei_ev_EV_SEKISAI,"#,##0"),shinsei_ev_EV_SEKISAI),shinsei_ev_EV_SEKISAI)</f>
        <v/>
      </c>
      <c r="K1402" s="10" t="s">
        <v>4452</v>
      </c>
    </row>
    <row r="1403" spans="1:11" s="10" customFormat="1" ht="18" customHeight="1">
      <c r="A1403" s="12" t="s">
        <v>4453</v>
      </c>
      <c r="B1403" s="12" t="s">
        <v>4454</v>
      </c>
      <c r="C1403" s="12"/>
      <c r="D1403" s="12"/>
      <c r="E1403" s="12"/>
      <c r="F1403" s="12"/>
      <c r="G1403" s="12" t="s">
        <v>4455</v>
      </c>
      <c r="H1403" s="13" t="s">
        <v>11787</v>
      </c>
      <c r="I1403" s="9" t="s">
        <v>4456</v>
      </c>
      <c r="J1403" s="19" t="str">
        <f>IF(ISERROR(SEARCH("-",shinsei_ev_EV_TEIIN)),IF(ISERROR(SEARCH("/",shinsei_ev_EV_TEIIN)),TEXT(shinsei_ev_EV_TEIIN,"#,##0"),shinsei_ev_EV_TEIIN),shinsei_ev_EV_TEIIN)</f>
        <v/>
      </c>
      <c r="K1403" s="10" t="s">
        <v>4452</v>
      </c>
    </row>
    <row r="1404" spans="1:11" s="10" customFormat="1" ht="18" customHeight="1">
      <c r="A1404" s="12"/>
      <c r="B1404" s="12"/>
      <c r="C1404" s="12" t="s">
        <v>4457</v>
      </c>
      <c r="D1404" s="12"/>
      <c r="E1404" s="12"/>
      <c r="F1404" s="12"/>
      <c r="G1404" s="12"/>
      <c r="H1404" s="7"/>
      <c r="I1404" s="7" t="s">
        <v>4458</v>
      </c>
      <c r="J1404" s="28" t="str">
        <f>IF(shinsei_ev_EV_SYUBETU=""," 人",IF(OR(LEFT(shinsei_ev_EV_SYUBETU,2)="エス",LEFT(shinsei_ev_EV_SYUBETU,2)="ｴｽ")," 人/時"," 人"))</f>
        <v xml:space="preserve"> 人</v>
      </c>
      <c r="K1404" s="10" t="s">
        <v>4459</v>
      </c>
    </row>
    <row r="1405" spans="1:11" s="10" customFormat="1" ht="18" customHeight="1">
      <c r="A1405" s="12" t="s">
        <v>4448</v>
      </c>
      <c r="B1405" s="12" t="s">
        <v>4460</v>
      </c>
      <c r="C1405" s="12"/>
      <c r="D1405" s="12"/>
      <c r="E1405" s="12"/>
      <c r="F1405" s="12"/>
      <c r="G1405" s="12" t="s">
        <v>4461</v>
      </c>
      <c r="H1405" s="13" t="s">
        <v>11787</v>
      </c>
      <c r="I1405" s="9" t="s">
        <v>4462</v>
      </c>
      <c r="J1405" s="91" t="str">
        <f>IF(shinsei_ev_EV_SPEED="","",shinsei_ev_EV_SPEED)</f>
        <v/>
      </c>
      <c r="K1405" s="10" t="s">
        <v>4452</v>
      </c>
    </row>
    <row r="1406" spans="1:11" s="10" customFormat="1" ht="18" customHeight="1">
      <c r="A1406" s="12"/>
      <c r="B1406" s="12" t="s">
        <v>4463</v>
      </c>
      <c r="C1406" s="12"/>
      <c r="D1406" s="12"/>
      <c r="E1406" s="12"/>
      <c r="F1406" s="12"/>
      <c r="G1406" s="12" t="s">
        <v>4464</v>
      </c>
      <c r="H1406" s="13" t="s">
        <v>11787</v>
      </c>
      <c r="I1406" s="9" t="s">
        <v>4465</v>
      </c>
      <c r="J1406" s="19" t="str">
        <f>IF(shinsei_ev_EV_SONOTA="","",shinsei_ev_EV_SONOTA)</f>
        <v/>
      </c>
    </row>
    <row r="1407" spans="1:11" s="10" customFormat="1" ht="18" customHeight="1">
      <c r="A1407" s="11"/>
      <c r="B1407" s="12" t="s">
        <v>4466</v>
      </c>
      <c r="C1407" s="12"/>
      <c r="D1407" s="12"/>
      <c r="E1407" s="12"/>
      <c r="F1407" s="12"/>
      <c r="G1407" s="12" t="s">
        <v>4467</v>
      </c>
      <c r="H1407" s="13" t="s">
        <v>11787</v>
      </c>
      <c r="I1407" s="9" t="s">
        <v>4468</v>
      </c>
      <c r="J1407" s="19" t="str">
        <f>IF(shinsei_EV_TYPE="","",shinsei_EV_TYPE)</f>
        <v/>
      </c>
      <c r="K1407" s="10" t="s">
        <v>4469</v>
      </c>
    </row>
    <row r="1408" spans="1:11" s="18" customFormat="1" ht="18" customHeight="1">
      <c r="A1408" s="14"/>
      <c r="B1408" s="14" t="s">
        <v>4470</v>
      </c>
      <c r="C1408" s="5"/>
      <c r="D1408" s="5"/>
      <c r="E1408" s="5"/>
      <c r="F1408" s="5"/>
      <c r="G1408" s="5" t="s">
        <v>1869</v>
      </c>
      <c r="H1408" s="92"/>
      <c r="I1408" s="16" t="s">
        <v>4471</v>
      </c>
      <c r="J1408" s="17" t="str">
        <f>IF(shinsei_ev_EV_COUNT="","1",shinsei_ev_EV_COUNT)</f>
        <v>1</v>
      </c>
    </row>
    <row r="1409" spans="1:11" ht="18" customHeight="1">
      <c r="B1409" s="5" t="s">
        <v>4472</v>
      </c>
      <c r="G1409" s="6" t="s">
        <v>1870</v>
      </c>
      <c r="H1409" s="40"/>
      <c r="I1409" s="7" t="s">
        <v>4473</v>
      </c>
      <c r="J1409" s="19" t="str">
        <f>IF(shinsei_ev_SETUBI_GAIYOU="","",shinsei_ev_SETUBI_GAIYOU)</f>
        <v/>
      </c>
    </row>
    <row r="1410" spans="1:11" ht="18" customHeight="1">
      <c r="I1410" s="5"/>
    </row>
    <row r="1411" spans="1:11" ht="18" customHeight="1">
      <c r="I1411" s="5"/>
    </row>
    <row r="1412" spans="1:11" ht="18" customHeight="1">
      <c r="I1412" s="5"/>
    </row>
    <row r="1413" spans="1:11" ht="18" customHeight="1">
      <c r="I1413" s="5"/>
    </row>
    <row r="1414" spans="1:11" ht="18" customHeight="1">
      <c r="A1414" s="26" t="s">
        <v>4474</v>
      </c>
      <c r="B1414" s="26"/>
      <c r="C1414" s="26"/>
      <c r="D1414" s="26"/>
      <c r="E1414" s="26"/>
      <c r="F1414" s="26"/>
      <c r="G1414" s="37"/>
    </row>
    <row r="1415" spans="1:11" ht="18" customHeight="1">
      <c r="I1415" s="9"/>
    </row>
    <row r="1416" spans="1:11" ht="18" customHeight="1">
      <c r="B1416" s="12" t="s">
        <v>4475</v>
      </c>
      <c r="G1416" s="12" t="s">
        <v>4476</v>
      </c>
      <c r="H1416" s="20"/>
      <c r="I1416" s="9" t="s">
        <v>4477</v>
      </c>
      <c r="J1416" s="19" t="str">
        <f>IF(shinsei_WORK_88="","",shinsei_WORK_88)</f>
        <v/>
      </c>
      <c r="K1416" s="10" t="s">
        <v>4478</v>
      </c>
    </row>
    <row r="1417" spans="1:11" s="10" customFormat="1" ht="18" customHeight="1">
      <c r="A1417" s="11"/>
      <c r="B1417" s="12" t="s">
        <v>4479</v>
      </c>
      <c r="C1417" s="11"/>
      <c r="D1417" s="11"/>
      <c r="E1417" s="12"/>
      <c r="F1417" s="12"/>
      <c r="G1417" s="12" t="s">
        <v>1871</v>
      </c>
      <c r="H1417" s="20"/>
      <c r="I1417" s="10" t="s">
        <v>4480</v>
      </c>
      <c r="J1417" s="23" t="str">
        <f>IF(shinsei_ev_WORKCOUNT_SHINSEI="","",shinsei_ev_WORKCOUNT_SHINSEI)</f>
        <v/>
      </c>
    </row>
    <row r="1418" spans="1:11" s="10" customFormat="1" ht="18" customHeight="1">
      <c r="A1418" s="11"/>
      <c r="B1418" s="12" t="s">
        <v>4481</v>
      </c>
      <c r="C1418" s="12"/>
      <c r="D1418" s="12"/>
      <c r="E1418" s="12"/>
      <c r="F1418" s="12"/>
      <c r="G1418" s="12"/>
      <c r="H1418" s="9"/>
      <c r="I1418" s="9"/>
      <c r="J1418" s="9"/>
    </row>
    <row r="1419" spans="1:11" s="10" customFormat="1" ht="18" customHeight="1">
      <c r="A1419" s="11"/>
      <c r="B1419" s="12"/>
      <c r="C1419" s="12" t="s">
        <v>4482</v>
      </c>
      <c r="D1419" s="12"/>
      <c r="E1419" s="12"/>
      <c r="F1419" s="12"/>
      <c r="G1419" s="12" t="s">
        <v>4483</v>
      </c>
      <c r="H1419" s="20"/>
      <c r="I1419" s="10" t="s">
        <v>4484</v>
      </c>
      <c r="J1419" s="24" t="str">
        <f>IF(shinsei_ev_KOUSAKU_SYURUI_CODE="","",shinsei_ev_KOUSAKU_SYURUI_CODE)</f>
        <v/>
      </c>
    </row>
    <row r="1420" spans="1:11" s="10" customFormat="1" ht="18" customHeight="1">
      <c r="A1420" s="11"/>
      <c r="B1420" s="12"/>
      <c r="C1420" s="12" t="s">
        <v>4256</v>
      </c>
      <c r="D1420" s="12"/>
      <c r="E1420" s="12"/>
      <c r="F1420" s="12"/>
      <c r="G1420" s="12" t="s">
        <v>4485</v>
      </c>
      <c r="H1420" s="20"/>
      <c r="I1420" s="10" t="s">
        <v>4487</v>
      </c>
      <c r="J1420" s="24" t="str">
        <f>IF(shinsei_ev_KOUSAKU_SYURUI="","",shinsei_ev_KOUSAKU_SYURUI)</f>
        <v/>
      </c>
    </row>
    <row r="1421" spans="1:11" s="10" customFormat="1" ht="18" customHeight="1">
      <c r="A1421" s="11"/>
      <c r="B1421" s="12"/>
      <c r="C1421" s="12" t="s">
        <v>4488</v>
      </c>
      <c r="D1421" s="12"/>
      <c r="E1421" s="12"/>
      <c r="F1421" s="12"/>
      <c r="G1421" s="12" t="s">
        <v>4489</v>
      </c>
      <c r="H1421" s="93"/>
      <c r="I1421" s="10" t="s">
        <v>4490</v>
      </c>
      <c r="J1421" s="94" t="str">
        <f>IF(shinsei_ev_KOUSAKU_TAKASA="","",shinsei_ev_KOUSAKU_TAKASA)</f>
        <v/>
      </c>
    </row>
    <row r="1422" spans="1:11" s="10" customFormat="1" ht="18" customHeight="1">
      <c r="A1422" s="11"/>
      <c r="B1422" s="12"/>
      <c r="C1422" s="12" t="s">
        <v>4491</v>
      </c>
      <c r="D1422" s="12"/>
      <c r="E1422" s="12"/>
      <c r="F1422" s="12"/>
      <c r="G1422" s="12" t="s">
        <v>1872</v>
      </c>
      <c r="H1422" s="93"/>
      <c r="I1422" s="9" t="s">
        <v>4492</v>
      </c>
      <c r="J1422" s="94" t="str">
        <f>IF(shinsei_ev_KOUSAKU_TAKASA_MAX="","",shinsei_ev_KOUSAKU_TAKASA_MAX)</f>
        <v/>
      </c>
    </row>
    <row r="1423" spans="1:11" s="10" customFormat="1" ht="18" customHeight="1">
      <c r="A1423" s="11"/>
      <c r="B1423" s="12"/>
      <c r="C1423" s="11"/>
      <c r="D1423" s="12" t="s">
        <v>4493</v>
      </c>
      <c r="E1423" s="12"/>
      <c r="F1423" s="12"/>
      <c r="G1423" s="12"/>
      <c r="H1423" s="95"/>
      <c r="I1423" s="10" t="s">
        <v>4494</v>
      </c>
      <c r="J1423" s="96" t="str">
        <f>IF(cst_shinsei_ev_KOUSAKU_TAKASA_MAX="","",cst_shinsei_ev_KOUSAKU_TAKASA)</f>
        <v/>
      </c>
    </row>
    <row r="1424" spans="1:11" s="10" customFormat="1" ht="18" customHeight="1">
      <c r="A1424" s="11"/>
      <c r="B1424" s="12"/>
      <c r="C1424" s="11"/>
      <c r="D1424" s="12" t="s">
        <v>4495</v>
      </c>
      <c r="E1424" s="12"/>
      <c r="F1424" s="12"/>
      <c r="G1424" s="12"/>
      <c r="H1424" s="95"/>
      <c r="I1424" s="10" t="s">
        <v>4496</v>
      </c>
      <c r="J1424" s="96" t="str">
        <f>IF(shinsei_ev_KOUSAKU_TAKASA_MAX="","ｍ","ｍ   ～")</f>
        <v>ｍ</v>
      </c>
    </row>
    <row r="1425" spans="1:11" s="10" customFormat="1" ht="18" customHeight="1">
      <c r="A1425" s="11"/>
      <c r="B1425" s="12"/>
      <c r="C1425" s="11"/>
      <c r="D1425" s="12" t="s">
        <v>4497</v>
      </c>
      <c r="E1425" s="12"/>
      <c r="F1425" s="12"/>
      <c r="G1425" s="12"/>
      <c r="H1425" s="95"/>
      <c r="I1425" s="10" t="s">
        <v>4498</v>
      </c>
      <c r="J1425" s="96" t="str">
        <f>IF(cst_shinsei_ev_KOUSAKU_TAKASA_MAX="","",cst_shinsei_ev_KOUSAKU_TAKASA_MAX)</f>
        <v/>
      </c>
    </row>
    <row r="1426" spans="1:11" s="10" customFormat="1" ht="18" customHeight="1">
      <c r="A1426" s="11"/>
      <c r="B1426" s="12"/>
      <c r="C1426" s="12" t="s">
        <v>4499</v>
      </c>
      <c r="D1426" s="12"/>
      <c r="E1426" s="12"/>
      <c r="F1426" s="12"/>
      <c r="G1426" s="12" t="s">
        <v>1873</v>
      </c>
      <c r="H1426" s="20"/>
      <c r="I1426" s="9" t="s">
        <v>4500</v>
      </c>
      <c r="J1426" s="97" t="str">
        <f>IF(shinsei_ev_KOUSAKU_TAKASA_BIKO="","",shinsei_ev_KOUSAKU_TAKASA_BIKO)</f>
        <v/>
      </c>
    </row>
    <row r="1427" spans="1:11" s="10" customFormat="1" ht="18" customHeight="1">
      <c r="A1427" s="11"/>
      <c r="B1427" s="12"/>
      <c r="C1427" s="12" t="s">
        <v>4501</v>
      </c>
      <c r="D1427" s="12"/>
      <c r="E1427" s="12"/>
      <c r="F1427" s="12"/>
      <c r="G1427" s="12" t="s">
        <v>4502</v>
      </c>
      <c r="H1427" s="20"/>
      <c r="I1427" s="10" t="s">
        <v>4503</v>
      </c>
      <c r="J1427" s="23" t="str">
        <f>IF(shinsei_ev_KOUSAKU_KOUZOU="","",shinsei_ev_KOUSAKU_KOUZOU)</f>
        <v/>
      </c>
    </row>
    <row r="1428" spans="1:11" s="10" customFormat="1" ht="18" customHeight="1">
      <c r="A1428" s="11"/>
      <c r="B1428" s="12"/>
      <c r="C1428" s="12" t="s">
        <v>4463</v>
      </c>
      <c r="D1428" s="12"/>
      <c r="E1428" s="12"/>
      <c r="F1428" s="12"/>
      <c r="G1428" s="12" t="s">
        <v>4504</v>
      </c>
      <c r="H1428" s="20"/>
      <c r="I1428" s="9" t="s">
        <v>4505</v>
      </c>
      <c r="J1428" s="19" t="str">
        <f>IF(shinsei_ev_KOUSAKU_SONOTA="","",shinsei_ev_KOUSAKU_SONOTA)</f>
        <v/>
      </c>
    </row>
    <row r="1429" spans="1:11" s="10" customFormat="1" ht="18" customHeight="1">
      <c r="A1429" s="11"/>
      <c r="B1429" s="12"/>
      <c r="C1429" s="12" t="s">
        <v>4506</v>
      </c>
      <c r="D1429" s="12"/>
      <c r="E1429" s="12"/>
      <c r="F1429" s="12"/>
      <c r="G1429" s="12"/>
      <c r="H1429" s="9"/>
      <c r="I1429" s="9"/>
      <c r="J1429" s="9"/>
    </row>
    <row r="1430" spans="1:11" s="10" customFormat="1" ht="18" customHeight="1">
      <c r="A1430" s="11"/>
      <c r="B1430" s="12"/>
      <c r="C1430" s="12" t="s">
        <v>4441</v>
      </c>
      <c r="D1430" s="12"/>
      <c r="E1430" s="12"/>
      <c r="F1430" s="12"/>
      <c r="G1430" s="12" t="s">
        <v>1874</v>
      </c>
      <c r="H1430" s="20"/>
      <c r="I1430" s="9" t="s">
        <v>4507</v>
      </c>
      <c r="J1430" s="19" t="str">
        <f>IF(shinsei_ev_KOUSAKU882_YOUTO="","",shinsei_ev_KOUSAKU882_YOUTO)</f>
        <v/>
      </c>
    </row>
    <row r="1431" spans="1:11" s="10" customFormat="1" ht="18" customHeight="1">
      <c r="A1431" s="11"/>
      <c r="B1431" s="12"/>
      <c r="C1431" s="12" t="s">
        <v>4508</v>
      </c>
      <c r="D1431" s="12"/>
      <c r="E1431" s="12"/>
      <c r="F1431" s="12"/>
      <c r="G1431" s="12" t="s">
        <v>1875</v>
      </c>
      <c r="H1431" s="20"/>
      <c r="I1431" s="9" t="s">
        <v>4509</v>
      </c>
      <c r="J1431" s="19" t="str">
        <f>IF(shinsei_ev_TIKUZOUMENSEKI_SHINSEI="","",shinsei_ev_TIKUZOUMENSEKI_SHINSEI)</f>
        <v/>
      </c>
    </row>
    <row r="1432" spans="1:11" s="10" customFormat="1" ht="18" customHeight="1">
      <c r="A1432" s="11"/>
      <c r="B1432" s="12"/>
      <c r="C1432" s="12"/>
      <c r="D1432" s="12" t="s">
        <v>4510</v>
      </c>
      <c r="E1432" s="12"/>
      <c r="F1432" s="12"/>
      <c r="G1432" s="12"/>
      <c r="H1432" s="7"/>
      <c r="I1432" s="9" t="s">
        <v>2806</v>
      </c>
      <c r="J1432" s="22" t="str">
        <f>IF(shinsei_WORK_88=1,"－",IF(shinsei_ev_TIKUZOUMENSEKI_SHINSEI="","",shinsei_ev_TIKUZOUMENSEKI_SHINSEI))</f>
        <v/>
      </c>
    </row>
    <row r="1433" spans="1:11" s="10" customFormat="1" ht="18" customHeight="1">
      <c r="A1433" s="11"/>
      <c r="B1433" s="12"/>
      <c r="C1433" s="12" t="s">
        <v>2807</v>
      </c>
      <c r="D1433" s="12"/>
      <c r="E1433" s="12"/>
      <c r="F1433" s="12"/>
      <c r="G1433" s="12" t="s">
        <v>1876</v>
      </c>
      <c r="H1433" s="20"/>
      <c r="I1433" s="9" t="s">
        <v>2808</v>
      </c>
      <c r="J1433" s="19" t="str">
        <f>IF(shinsei_ev_TIKUZOUMENSEKI_IGAI="","",shinsei_ev_TIKUZOUMENSEKI_IGAI)</f>
        <v/>
      </c>
    </row>
    <row r="1434" spans="1:11" s="10" customFormat="1" ht="18" customHeight="1">
      <c r="A1434" s="11"/>
      <c r="B1434" s="12"/>
      <c r="C1434" s="12" t="s">
        <v>2809</v>
      </c>
      <c r="D1434" s="12"/>
      <c r="E1434" s="12"/>
      <c r="F1434" s="12"/>
      <c r="G1434" s="12" t="s">
        <v>1877</v>
      </c>
      <c r="H1434" s="20"/>
      <c r="I1434" s="9" t="s">
        <v>2810</v>
      </c>
      <c r="J1434" s="19" t="str">
        <f>IF(shinsei_ev_TIKUZOUMENSEKI_TOTAL="","",shinsei_ev_TIKUZOUMENSEKI_TOTAL)</f>
        <v/>
      </c>
    </row>
    <row r="1435" spans="1:11" s="10" customFormat="1" ht="18" customHeight="1">
      <c r="A1435" s="11"/>
      <c r="B1435" s="12" t="s">
        <v>2811</v>
      </c>
      <c r="C1435" s="12"/>
      <c r="D1435" s="12"/>
      <c r="E1435" s="12"/>
      <c r="F1435" s="12"/>
      <c r="G1435" s="12" t="s">
        <v>2812</v>
      </c>
      <c r="H1435" s="20"/>
      <c r="I1435" s="9" t="s">
        <v>2813</v>
      </c>
      <c r="J1435" s="19" t="str">
        <f>IF(shinsei_WORK_TYPE="","",shinsei_WORK_TYPE)</f>
        <v/>
      </c>
      <c r="K1435" s="10" t="s">
        <v>2814</v>
      </c>
    </row>
    <row r="1440" spans="1:11" s="10" customFormat="1" ht="18" customHeight="1">
      <c r="A1440" s="31" t="s">
        <v>2815</v>
      </c>
      <c r="B1440" s="31"/>
      <c r="C1440" s="31"/>
      <c r="D1440" s="31"/>
      <c r="E1440" s="31"/>
      <c r="F1440" s="31"/>
      <c r="G1440" s="31"/>
    </row>
    <row r="1441" spans="1:10" s="10" customFormat="1" ht="18" customHeight="1">
      <c r="A1441" s="12"/>
      <c r="B1441" s="12"/>
      <c r="C1441" s="12"/>
      <c r="D1441" s="12"/>
      <c r="E1441" s="12"/>
      <c r="F1441" s="12"/>
      <c r="G1441" s="12"/>
      <c r="H1441" s="9"/>
      <c r="I1441" s="9"/>
      <c r="J1441" s="9"/>
    </row>
    <row r="1442" spans="1:10" s="10" customFormat="1" ht="18" customHeight="1">
      <c r="A1442" s="11"/>
      <c r="B1442" s="12" t="s">
        <v>2816</v>
      </c>
      <c r="C1442" s="12"/>
      <c r="D1442" s="12"/>
      <c r="E1442" s="12"/>
      <c r="F1442" s="12"/>
      <c r="G1442" s="12"/>
      <c r="H1442" s="9"/>
      <c r="I1442" s="9"/>
      <c r="J1442" s="9"/>
    </row>
    <row r="1443" spans="1:10" s="10" customFormat="1" ht="18" customHeight="1">
      <c r="A1443" s="11"/>
      <c r="B1443" s="12"/>
      <c r="C1443" s="12" t="s">
        <v>2817</v>
      </c>
      <c r="D1443" s="12"/>
      <c r="E1443" s="12"/>
      <c r="F1443" s="12"/>
      <c r="G1443" s="12" t="s">
        <v>1878</v>
      </c>
      <c r="H1443" s="13" t="s">
        <v>11787</v>
      </c>
      <c r="I1443" s="9"/>
      <c r="J1443" s="9"/>
    </row>
    <row r="1444" spans="1:10" s="10" customFormat="1" ht="18" customHeight="1">
      <c r="A1444" s="11"/>
      <c r="B1444" s="12"/>
      <c r="C1444" s="12"/>
      <c r="D1444" s="12"/>
      <c r="E1444" s="12"/>
      <c r="F1444" s="12"/>
      <c r="G1444" s="12"/>
      <c r="H1444" s="9"/>
      <c r="I1444" s="9" t="s">
        <v>1952</v>
      </c>
      <c r="J1444" s="22" t="str">
        <f>IF(shinsei_BUILDSHINSEI_ISSUE_NO="","","第 "&amp;shinsei_BUILDSHINSEI_ISSUE_NO&amp;" 号")</f>
        <v/>
      </c>
    </row>
    <row r="1445" spans="1:10" s="10" customFormat="1" ht="18" customHeight="1">
      <c r="A1445" s="11"/>
      <c r="B1445" s="12"/>
      <c r="C1445" s="12" t="s">
        <v>2818</v>
      </c>
      <c r="D1445" s="12"/>
      <c r="E1445" s="12"/>
      <c r="F1445" s="12"/>
      <c r="G1445" s="12" t="s">
        <v>1879</v>
      </c>
      <c r="H1445" s="74"/>
      <c r="I1445" s="9"/>
      <c r="J1445" s="9"/>
    </row>
    <row r="1446" spans="1:10" s="10" customFormat="1" ht="18" customHeight="1">
      <c r="A1446" s="11"/>
      <c r="B1446" s="12"/>
      <c r="C1446" s="12" t="s">
        <v>2819</v>
      </c>
      <c r="D1446" s="12"/>
      <c r="E1446" s="12"/>
      <c r="F1446" s="12"/>
      <c r="G1446" s="12" t="s">
        <v>1880</v>
      </c>
      <c r="H1446" s="20"/>
      <c r="I1446" s="9"/>
      <c r="J1446" s="9"/>
    </row>
    <row r="1447" spans="1:10" s="10" customFormat="1" ht="18" customHeight="1">
      <c r="A1447" s="11"/>
      <c r="B1447" s="12"/>
      <c r="C1447" s="11" t="s">
        <v>2820</v>
      </c>
      <c r="D1447" s="12"/>
      <c r="E1447" s="12"/>
      <c r="F1447" s="12"/>
      <c r="G1447" s="11" t="s">
        <v>1881</v>
      </c>
      <c r="H1447" s="25" t="s">
        <v>4309</v>
      </c>
      <c r="I1447" s="9" t="s">
        <v>2821</v>
      </c>
      <c r="J1447" s="19" t="str">
        <f>IF(buildobject__shinsei_build_kouji="","",buildobject__shinsei_build_kouji)</f>
        <v>新築</v>
      </c>
    </row>
    <row r="1448" spans="1:10" s="10" customFormat="1" ht="18" customHeight="1">
      <c r="A1448" s="12"/>
      <c r="B1448" s="12"/>
      <c r="C1448" s="12"/>
      <c r="D1448" s="12"/>
      <c r="E1448" s="12"/>
      <c r="F1448" s="12"/>
      <c r="G1448" s="12"/>
      <c r="H1448" s="9"/>
      <c r="I1448" s="9"/>
      <c r="J1448" s="9"/>
    </row>
    <row r="1449" spans="1:10" s="10" customFormat="1" ht="18" customHeight="1">
      <c r="A1449" s="12"/>
      <c r="B1449" s="12"/>
      <c r="C1449" s="12"/>
      <c r="D1449" s="12"/>
      <c r="E1449" s="12"/>
      <c r="F1449" s="12"/>
      <c r="G1449" s="12"/>
      <c r="H1449" s="9"/>
      <c r="I1449" s="9"/>
      <c r="J1449" s="9"/>
    </row>
    <row r="1450" spans="1:10" s="10" customFormat="1" ht="18" customHeight="1">
      <c r="A1450" s="12"/>
      <c r="B1450" s="12"/>
      <c r="C1450" s="12"/>
      <c r="D1450" s="12"/>
      <c r="E1450" s="12"/>
      <c r="F1450" s="12"/>
      <c r="G1450" s="12"/>
      <c r="H1450" s="9"/>
      <c r="I1450" s="9"/>
      <c r="J1450" s="9"/>
    </row>
    <row r="1451" spans="1:10" s="10" customFormat="1" ht="18" customHeight="1">
      <c r="A1451" s="12"/>
      <c r="B1451" s="12"/>
      <c r="C1451" s="12"/>
      <c r="D1451" s="12"/>
      <c r="E1451" s="12"/>
      <c r="F1451" s="12"/>
      <c r="G1451" s="12"/>
      <c r="H1451" s="9"/>
      <c r="I1451" s="9"/>
      <c r="J1451" s="9"/>
    </row>
    <row r="1452" spans="1:10" s="10" customFormat="1" ht="18" customHeight="1">
      <c r="A1452" s="31" t="s">
        <v>2822</v>
      </c>
      <c r="B1452" s="31"/>
      <c r="C1452" s="31"/>
      <c r="D1452" s="31"/>
      <c r="E1452" s="31"/>
      <c r="F1452" s="31"/>
      <c r="G1452" s="31"/>
    </row>
    <row r="1453" spans="1:10" s="10" customFormat="1" ht="18" customHeight="1">
      <c r="A1453" s="12"/>
      <c r="B1453" s="12"/>
      <c r="C1453" s="12"/>
      <c r="D1453" s="12"/>
      <c r="E1453" s="12"/>
      <c r="F1453" s="12"/>
      <c r="G1453" s="11"/>
      <c r="H1453" s="9"/>
      <c r="I1453" s="9"/>
      <c r="J1453" s="9"/>
    </row>
    <row r="1454" spans="1:10" s="10" customFormat="1" ht="18" customHeight="1">
      <c r="A1454" s="11"/>
      <c r="B1454" s="12" t="s">
        <v>2823</v>
      </c>
      <c r="C1454" s="12"/>
      <c r="D1454" s="12"/>
      <c r="E1454" s="12"/>
      <c r="F1454" s="12"/>
      <c r="G1454" s="12"/>
      <c r="H1454" s="9"/>
      <c r="I1454" s="9"/>
      <c r="J1454" s="9"/>
    </row>
    <row r="1455" spans="1:10" s="10" customFormat="1" ht="18" customHeight="1">
      <c r="A1455" s="11"/>
      <c r="B1455" s="12"/>
      <c r="C1455" s="12" t="s">
        <v>2824</v>
      </c>
      <c r="D1455" s="12"/>
      <c r="E1455" s="12"/>
      <c r="F1455" s="12"/>
      <c r="G1455" s="12" t="s">
        <v>2825</v>
      </c>
      <c r="H1455" s="20"/>
      <c r="I1455" s="9" t="s">
        <v>2826</v>
      </c>
      <c r="J1455" s="21" t="str">
        <f>IF(shinsei_intermediate_CYU1_KAISUU="","",shinsei_intermediate_CYU1_KAISUU)</f>
        <v/>
      </c>
    </row>
    <row r="1456" spans="1:10" s="10" customFormat="1" ht="18" customHeight="1">
      <c r="A1456" s="11"/>
      <c r="B1456" s="12"/>
      <c r="C1456" s="12" t="s">
        <v>2827</v>
      </c>
      <c r="D1456" s="12"/>
      <c r="E1456" s="12"/>
      <c r="F1456" s="12"/>
      <c r="G1456" s="12" t="s">
        <v>2828</v>
      </c>
      <c r="H1456" s="20"/>
      <c r="I1456" s="9" t="s">
        <v>2829</v>
      </c>
      <c r="J1456" s="24" t="str">
        <f>IF(shinsei_intermediate_SPECIFIC_KOUTEI="","",shinsei_intermediate_SPECIFIC_KOUTEI)</f>
        <v/>
      </c>
    </row>
    <row r="1457" spans="1:11" s="10" customFormat="1" ht="18" customHeight="1">
      <c r="A1457" s="12"/>
      <c r="B1457" s="12"/>
      <c r="C1457" s="12"/>
      <c r="D1457" s="12"/>
      <c r="E1457" s="12"/>
      <c r="F1457" s="12"/>
      <c r="G1457" s="11"/>
      <c r="H1457" s="9"/>
      <c r="I1457" s="9"/>
      <c r="J1457" s="9"/>
    </row>
    <row r="1458" spans="1:11" s="10" customFormat="1" ht="18" customHeight="1">
      <c r="A1458" s="12"/>
      <c r="B1458" s="12"/>
      <c r="C1458" s="10" t="s">
        <v>9938</v>
      </c>
      <c r="D1458" s="12"/>
      <c r="E1458" s="12"/>
      <c r="F1458" s="12"/>
      <c r="G1458" s="11"/>
      <c r="H1458" s="9"/>
      <c r="I1458" s="9" t="s">
        <v>9939</v>
      </c>
      <c r="J1458" s="22" t="str">
        <f>IF(cst_shinsei_UKETUKE_OFFICE_ID__ID&lt;&gt;0,cst_shinsei_intermediate_SPECIFIC_KOUTEI,cst_shinsei_intermediate_SPECIFIC_KOUTEI_KAISUU)</f>
        <v/>
      </c>
      <c r="K1458" s="10" t="s">
        <v>10144</v>
      </c>
    </row>
    <row r="1459" spans="1:11" s="10" customFormat="1" ht="18" customHeight="1">
      <c r="A1459" s="12"/>
      <c r="B1459" s="12"/>
      <c r="C1459" s="12" t="s">
        <v>9937</v>
      </c>
      <c r="D1459" s="12"/>
      <c r="E1459" s="12"/>
      <c r="F1459" s="12"/>
      <c r="G1459" s="11"/>
      <c r="H1459" s="9"/>
      <c r="I1459" s="9" t="s">
        <v>9940</v>
      </c>
      <c r="J1459" s="22" t="str">
        <f>"第  "&amp;IF(cst_shinsei_intermediate_CYU1_KAISUU="","　",DBCS(cst_shinsei_intermediate_CYU1_KAISUU))&amp;"  回   "&amp;cst_shinsei_intermediate_SPECIFIC_KOUTEI</f>
        <v xml:space="preserve">第  　  回   </v>
      </c>
    </row>
    <row r="1460" spans="1:11" s="10" customFormat="1" ht="18" customHeight="1">
      <c r="A1460" s="12"/>
      <c r="B1460" s="12"/>
      <c r="C1460" s="12"/>
      <c r="D1460" s="12"/>
      <c r="E1460" s="12"/>
      <c r="F1460" s="12"/>
      <c r="G1460" s="11"/>
      <c r="H1460" s="9"/>
      <c r="I1460" s="9"/>
      <c r="J1460" s="9"/>
    </row>
    <row r="1461" spans="1:11" s="10" customFormat="1" ht="18" customHeight="1">
      <c r="A1461" s="11"/>
      <c r="B1461" s="12"/>
      <c r="C1461" s="12" t="s">
        <v>2830</v>
      </c>
      <c r="D1461" s="12"/>
      <c r="E1461" s="12"/>
      <c r="F1461" s="12"/>
      <c r="G1461" s="12" t="s">
        <v>1882</v>
      </c>
      <c r="H1461" s="74"/>
      <c r="I1461" s="9" t="s">
        <v>2831</v>
      </c>
      <c r="J1461" s="140" t="str">
        <f>IF(shinsei_intermediate_CYU1_NITTEI="","",shinsei_intermediate_CYU1_NITTEI)</f>
        <v/>
      </c>
    </row>
    <row r="1462" spans="1:11" s="10" customFormat="1" ht="18" customHeight="1">
      <c r="A1462" s="11"/>
      <c r="B1462" s="12"/>
      <c r="I1462" s="9" t="s">
        <v>2832</v>
      </c>
      <c r="J1462" s="433" t="str">
        <f ca="1">IF(shinsei_intermediate_CYU1_NITTEI="",cst_DISP__date,shinsei_intermediate_CYU1_NITTEI)</f>
        <v>令和      年      月      日</v>
      </c>
      <c r="K1462" s="10" t="s">
        <v>2833</v>
      </c>
    </row>
    <row r="1463" spans="1:11" s="10" customFormat="1" ht="18" customHeight="1">
      <c r="A1463" s="12"/>
      <c r="B1463" s="12"/>
      <c r="C1463" s="12"/>
      <c r="D1463" s="12"/>
      <c r="E1463" s="12"/>
      <c r="F1463" s="12"/>
      <c r="G1463" s="11"/>
      <c r="H1463" s="9"/>
      <c r="I1463" s="9" t="s">
        <v>9941</v>
      </c>
      <c r="J1463" s="433" t="str">
        <f ca="1">IF(shinsei_intermediate_CYU1_NITTEI="",cst_DISP__date,TEXT(shinsei_intermediate_CYU1_NITTEI,"ggg")&amp;"　"&amp;TEXT(shinsei_intermediate_CYU1_NITTEI,"e")&amp;"　年　"&amp;TEXT(shinsei_intermediate_CYU1_NITTEI,"m")&amp;"　月　"&amp;TEXT(shinsei_intermediate_CYU1_NITTEI,"d")&amp;"　日")</f>
        <v>令和      年      月      日</v>
      </c>
    </row>
    <row r="1464" spans="1:11" s="10" customFormat="1" ht="18" customHeight="1">
      <c r="A1464" s="11"/>
      <c r="B1464" s="12"/>
      <c r="C1464" s="14" t="s">
        <v>2834</v>
      </c>
      <c r="D1464" s="14"/>
      <c r="E1464" s="18"/>
      <c r="F1464" s="18"/>
      <c r="G1464" s="14" t="s">
        <v>1883</v>
      </c>
      <c r="H1464" s="34" t="s">
        <v>11787</v>
      </c>
      <c r="I1464" s="9" t="s">
        <v>2835</v>
      </c>
      <c r="J1464" s="19" t="str">
        <f>IF(shinsei_INTER_KOUKU="","","（"&amp;shinsei_INTER_KOUKU&amp;"）")</f>
        <v/>
      </c>
    </row>
    <row r="1465" spans="1:11" s="10" customFormat="1" ht="18" customHeight="1">
      <c r="A1465" s="11"/>
      <c r="B1465" s="12" t="s">
        <v>1477</v>
      </c>
      <c r="C1465" s="12"/>
      <c r="D1465" s="12"/>
      <c r="E1465" s="12"/>
      <c r="F1465" s="12"/>
      <c r="G1465" s="12" t="s">
        <v>1478</v>
      </c>
      <c r="H1465" s="65"/>
      <c r="I1465" s="9" t="s">
        <v>1479</v>
      </c>
      <c r="J1465" s="91" t="str">
        <f>IF(shinsei_intermediate_CYU1_YUKA_MENSEKI="","",shinsei_intermediate_CYU1_YUKA_MENSEKI)</f>
        <v/>
      </c>
    </row>
    <row r="1466" spans="1:11" s="10" customFormat="1" ht="18" customHeight="1">
      <c r="A1466" s="12"/>
      <c r="B1466" s="12"/>
      <c r="C1466" s="12"/>
      <c r="D1466" s="12"/>
      <c r="E1466" s="12"/>
      <c r="F1466" s="12"/>
      <c r="G1466" s="11"/>
      <c r="H1466" s="9"/>
      <c r="I1466" s="9"/>
      <c r="J1466" s="9"/>
    </row>
    <row r="1467" spans="1:11" s="10" customFormat="1" ht="18" customHeight="1">
      <c r="A1467" s="12"/>
      <c r="B1467" s="12"/>
      <c r="C1467" s="12"/>
      <c r="D1467" s="12"/>
      <c r="E1467" s="12"/>
      <c r="F1467" s="12"/>
      <c r="G1467" s="11"/>
      <c r="H1467" s="9"/>
      <c r="I1467" s="9"/>
      <c r="J1467" s="9"/>
    </row>
    <row r="1468" spans="1:11" s="10" customFormat="1" ht="18" customHeight="1">
      <c r="A1468" s="12"/>
      <c r="B1468" s="12"/>
      <c r="C1468" s="12"/>
      <c r="D1468" s="12"/>
      <c r="E1468" s="12"/>
      <c r="F1468" s="12"/>
      <c r="G1468" s="11"/>
      <c r="H1468" s="9"/>
      <c r="I1468" s="9"/>
      <c r="J1468" s="9"/>
    </row>
    <row r="1469" spans="1:11" s="10" customFormat="1" ht="18" customHeight="1">
      <c r="A1469" s="12"/>
      <c r="B1469" s="12"/>
      <c r="C1469" s="12"/>
      <c r="D1469" s="12"/>
      <c r="E1469" s="12"/>
      <c r="F1469" s="12"/>
      <c r="G1469" s="12"/>
      <c r="H1469" s="9"/>
      <c r="J1469" s="9"/>
    </row>
    <row r="1470" spans="1:11" s="10" customFormat="1" ht="18" customHeight="1">
      <c r="A1470" s="31" t="s">
        <v>1480</v>
      </c>
      <c r="B1470" s="31"/>
      <c r="C1470" s="31"/>
      <c r="D1470" s="31"/>
      <c r="E1470" s="31"/>
      <c r="F1470" s="31"/>
      <c r="G1470" s="31"/>
    </row>
    <row r="1471" spans="1:11" s="10" customFormat="1" ht="18" customHeight="1">
      <c r="A1471" s="12"/>
      <c r="B1471" s="12"/>
      <c r="C1471" s="12"/>
      <c r="D1471" s="12"/>
      <c r="E1471" s="12"/>
      <c r="F1471" s="12"/>
      <c r="G1471" s="12"/>
      <c r="H1471" s="9"/>
      <c r="I1471" s="9"/>
      <c r="J1471" s="9"/>
    </row>
    <row r="1472" spans="1:11" s="10" customFormat="1" ht="18" customHeight="1">
      <c r="A1472" s="11"/>
      <c r="B1472" s="12" t="s">
        <v>1481</v>
      </c>
      <c r="C1472" s="12"/>
      <c r="D1472" s="12"/>
      <c r="E1472" s="12"/>
      <c r="F1472" s="12"/>
      <c r="G1472" s="12" t="s">
        <v>1482</v>
      </c>
      <c r="H1472" s="65"/>
      <c r="I1472" s="9" t="s">
        <v>1483</v>
      </c>
      <c r="J1472" s="98" t="str">
        <f>IF(shinsei_KOUJI_YUKA_MENSEKI="","",shinsei_KOUJI_YUKA_MENSEKI)</f>
        <v/>
      </c>
    </row>
    <row r="1473" spans="1:10" s="10" customFormat="1" ht="18" customHeight="1">
      <c r="A1473" s="11"/>
      <c r="B1473" s="12" t="s">
        <v>1484</v>
      </c>
      <c r="C1473" s="12"/>
      <c r="D1473" s="12"/>
      <c r="E1473" s="12"/>
      <c r="F1473" s="12"/>
      <c r="G1473" s="12" t="s">
        <v>1884</v>
      </c>
      <c r="H1473" s="20"/>
      <c r="I1473" s="9" t="s">
        <v>1485</v>
      </c>
      <c r="J1473" s="19" t="str">
        <f>IF(shinsei_BUILD_NAME_COMP="","",shinsei_BUILD_NAME_COMP)</f>
        <v/>
      </c>
    </row>
    <row r="1474" spans="1:10" s="10" customFormat="1" ht="18" customHeight="1">
      <c r="A1474" s="12"/>
      <c r="B1474" s="11"/>
      <c r="C1474" s="12"/>
      <c r="D1474" s="12"/>
      <c r="E1474" s="12"/>
      <c r="F1474" s="12"/>
      <c r="G1474" s="12"/>
      <c r="H1474" s="9"/>
      <c r="I1474" s="9"/>
      <c r="J1474" s="9"/>
    </row>
    <row r="1475" spans="1:10" s="10" customFormat="1" ht="18" customHeight="1">
      <c r="A1475" s="11"/>
      <c r="B1475" s="11"/>
      <c r="C1475" s="11"/>
      <c r="D1475" s="11"/>
      <c r="E1475" s="11"/>
      <c r="F1475" s="11"/>
      <c r="G1475" s="11"/>
      <c r="H1475" s="81"/>
    </row>
    <row r="1476" spans="1:10" s="10" customFormat="1" ht="18" customHeight="1">
      <c r="A1476" s="11"/>
      <c r="B1476" s="11"/>
      <c r="C1476" s="11"/>
      <c r="D1476" s="11"/>
      <c r="E1476" s="11"/>
      <c r="F1476" s="11"/>
      <c r="G1476" s="11"/>
      <c r="H1476" s="81"/>
    </row>
    <row r="1477" spans="1:10" s="10" customFormat="1" ht="18" customHeight="1">
      <c r="A1477" s="11"/>
      <c r="B1477" s="11"/>
      <c r="C1477" s="11"/>
      <c r="D1477" s="11"/>
      <c r="E1477" s="11"/>
      <c r="F1477" s="11"/>
      <c r="G1477" s="11"/>
      <c r="H1477" s="81"/>
    </row>
    <row r="1478" spans="1:10" s="10" customFormat="1" ht="18" customHeight="1">
      <c r="A1478" s="31" t="s">
        <v>10099</v>
      </c>
      <c r="B1478" s="31"/>
      <c r="C1478" s="31"/>
      <c r="D1478" s="31"/>
      <c r="E1478" s="31"/>
      <c r="F1478" s="31"/>
      <c r="G1478" s="31"/>
    </row>
    <row r="1479" spans="1:10" s="10" customFormat="1" ht="18" customHeight="1">
      <c r="A1479" s="11"/>
      <c r="B1479" s="11"/>
      <c r="C1479" s="11"/>
      <c r="D1479" s="11"/>
      <c r="E1479" s="11"/>
      <c r="F1479" s="11"/>
      <c r="G1479" s="11"/>
      <c r="H1479" s="81"/>
    </row>
    <row r="1480" spans="1:10" s="10" customFormat="1" ht="18" customHeight="1">
      <c r="A1480" s="11"/>
      <c r="B1480" s="11" t="s">
        <v>10100</v>
      </c>
      <c r="C1480" s="11"/>
      <c r="D1480" s="11"/>
      <c r="E1480" s="11"/>
      <c r="F1480" s="11"/>
      <c r="G1480" s="11" t="s">
        <v>10107</v>
      </c>
      <c r="H1480" s="123"/>
      <c r="I1480" s="10" t="s">
        <v>10102</v>
      </c>
      <c r="J1480" s="25" t="str">
        <f>IF(lastinter_shinsei_ISSUE_NO="","",lastinter_shinsei_ISSUE_NO)</f>
        <v/>
      </c>
    </row>
    <row r="1481" spans="1:10" s="10" customFormat="1" ht="18" customHeight="1">
      <c r="A1481" s="11"/>
      <c r="B1481" s="11"/>
      <c r="C1481" s="11"/>
      <c r="D1481" s="11"/>
      <c r="E1481" s="11"/>
      <c r="F1481" s="11"/>
      <c r="G1481" s="11"/>
      <c r="H1481" s="81"/>
      <c r="I1481" s="10" t="s">
        <v>10103</v>
      </c>
      <c r="J1481" s="28" t="str">
        <f>IF(lastinter_shinsei_ISSUE_NO="","","第"&amp;lastinter_shinsei_ISSUE_NO&amp;"号")</f>
        <v/>
      </c>
    </row>
    <row r="1482" spans="1:10" s="10" customFormat="1" ht="18" customHeight="1">
      <c r="A1482" s="11"/>
      <c r="B1482" s="11"/>
      <c r="C1482" s="11"/>
      <c r="D1482" s="11"/>
      <c r="E1482" s="11"/>
      <c r="F1482" s="11"/>
      <c r="G1482" s="11"/>
      <c r="H1482" s="81"/>
    </row>
    <row r="1483" spans="1:10" s="10" customFormat="1" ht="18" customHeight="1">
      <c r="A1483" s="11"/>
      <c r="B1483" s="11" t="s">
        <v>3</v>
      </c>
      <c r="C1483" s="11"/>
      <c r="D1483" s="11"/>
      <c r="E1483" s="11"/>
      <c r="F1483" s="11"/>
      <c r="G1483" s="11" t="s">
        <v>2</v>
      </c>
      <c r="H1483" s="123"/>
      <c r="I1483" s="10" t="s">
        <v>4</v>
      </c>
      <c r="J1483" s="25" t="str">
        <f>IF(lastinter_shinsei_intermediate_SPECIFIC_KOUTEI="","",lastinter_shinsei_intermediate_SPECIFIC_KOUTEI)</f>
        <v/>
      </c>
    </row>
    <row r="1484" spans="1:10" s="10" customFormat="1" ht="18" customHeight="1">
      <c r="A1484" s="11"/>
      <c r="B1484" s="11"/>
      <c r="C1484" s="11"/>
      <c r="D1484" s="11"/>
      <c r="E1484" s="11"/>
      <c r="F1484" s="11"/>
      <c r="G1484" s="11"/>
      <c r="H1484" s="81"/>
    </row>
    <row r="1485" spans="1:10" s="10" customFormat="1" ht="18" customHeight="1">
      <c r="A1485" s="11"/>
      <c r="B1485" s="11" t="s">
        <v>10101</v>
      </c>
      <c r="C1485" s="11"/>
      <c r="D1485" s="11"/>
      <c r="E1485" s="11"/>
      <c r="F1485" s="11"/>
      <c r="G1485" s="11" t="s">
        <v>10106</v>
      </c>
      <c r="H1485" s="421"/>
      <c r="I1485" s="10" t="s">
        <v>10104</v>
      </c>
      <c r="J1485" s="421" t="str">
        <f>IF(lastinter_shinsei_ISSUE_DATE="","",lastinter_shinsei_ISSUE_DATE)</f>
        <v/>
      </c>
    </row>
    <row r="1486" spans="1:10" s="10" customFormat="1" ht="18" customHeight="1">
      <c r="A1486" s="11"/>
      <c r="B1486" s="11"/>
      <c r="C1486" s="11"/>
      <c r="D1486" s="11"/>
      <c r="E1486" s="11"/>
      <c r="F1486" s="11"/>
      <c r="G1486" s="11"/>
      <c r="H1486" s="81"/>
      <c r="I1486" s="10" t="s">
        <v>10105</v>
      </c>
      <c r="J1486" s="28" t="str">
        <f ca="1">IF(lastinter_shinsei_ISSUE_DATE="",cst_DISP__date,TEXT(lastinter_shinsei_ISSUE_DATE,"ggg")&amp;"　"&amp;TEXT(lastinter_shinsei_ISSUE_DATE,"e")&amp;"　年　"&amp;TEXT(lastinter_shinsei_ISSUE_DATE,"m")&amp;"　月　"&amp;TEXT(lastinter_shinsei_ISSUE_DATE,"d")&amp;"　日")</f>
        <v>令和      年      月      日</v>
      </c>
    </row>
    <row r="1487" spans="1:10" s="10" customFormat="1" ht="18" customHeight="1">
      <c r="A1487" s="11"/>
      <c r="B1487" s="11"/>
      <c r="C1487" s="11"/>
      <c r="D1487" s="11"/>
      <c r="E1487" s="11"/>
      <c r="F1487" s="11"/>
      <c r="G1487" s="11"/>
      <c r="H1487" s="81"/>
    </row>
    <row r="1488" spans="1:10" s="10" customFormat="1" ht="18" customHeight="1">
      <c r="A1488" s="11"/>
      <c r="B1488" s="11"/>
      <c r="C1488" s="11"/>
      <c r="D1488" s="11"/>
      <c r="E1488" s="11"/>
      <c r="F1488" s="11"/>
      <c r="G1488" s="11"/>
      <c r="H1488" s="81"/>
    </row>
    <row r="1489" spans="1:12" s="10" customFormat="1" ht="18" customHeight="1">
      <c r="A1489" s="11"/>
      <c r="B1489" s="11"/>
      <c r="C1489" s="11"/>
      <c r="D1489" s="11"/>
      <c r="E1489" s="11"/>
      <c r="F1489" s="11"/>
      <c r="G1489" s="11"/>
      <c r="H1489" s="81"/>
    </row>
    <row r="1490" spans="1:12" s="10" customFormat="1" ht="18" customHeight="1">
      <c r="A1490" s="11"/>
      <c r="B1490" s="11"/>
      <c r="C1490" s="11"/>
      <c r="D1490" s="11"/>
      <c r="E1490" s="11"/>
      <c r="F1490" s="11"/>
      <c r="G1490" s="11"/>
      <c r="H1490" s="81"/>
    </row>
    <row r="1491" spans="1:12" ht="18" customHeight="1">
      <c r="A1491" s="26" t="s">
        <v>1486</v>
      </c>
      <c r="B1491" s="26"/>
      <c r="C1491" s="26"/>
      <c r="D1491" s="26"/>
      <c r="E1491" s="26"/>
      <c r="F1491" s="26"/>
      <c r="G1491" s="26"/>
    </row>
    <row r="1492" spans="1:12" ht="18" customHeight="1">
      <c r="G1492" s="5"/>
    </row>
    <row r="1493" spans="1:12" ht="18" customHeight="1">
      <c r="B1493" s="5" t="s">
        <v>1487</v>
      </c>
      <c r="G1493" s="5"/>
    </row>
    <row r="1494" spans="1:12" ht="18" customHeight="1">
      <c r="G1494" s="5"/>
      <c r="I1494" s="52" t="s">
        <v>1488</v>
      </c>
      <c r="J1494" s="513" t="str">
        <f ca="1">TEXT(TODAY(),"ggg")&amp;"    年    月    日"</f>
        <v>令和    年    月    日</v>
      </c>
      <c r="K1494" s="551" t="s">
        <v>11594</v>
      </c>
      <c r="L1494" s="513" t="str">
        <f ca="1">IF(TODAY()&lt;=43585,TEXT(TODAY(),"ggg"),"令和")&amp;"    年    月    日"</f>
        <v>令和    年    月    日</v>
      </c>
    </row>
    <row r="1495" spans="1:12" ht="18" customHeight="1">
      <c r="C1495" s="5" t="s">
        <v>1489</v>
      </c>
      <c r="G1495" s="5"/>
      <c r="I1495" s="7" t="s">
        <v>1490</v>
      </c>
      <c r="J1495" s="28" t="str">
        <f ca="1">TEXT(TODAY(),"ggg")&amp;"      年      月      日"</f>
        <v>令和      年      月      日</v>
      </c>
    </row>
    <row r="1496" spans="1:12" ht="18" customHeight="1">
      <c r="C1496" s="14" t="s">
        <v>1491</v>
      </c>
      <c r="G1496" s="5"/>
      <c r="I1496" s="7" t="s">
        <v>1492</v>
      </c>
      <c r="J1496" s="28" t="s">
        <v>1493</v>
      </c>
    </row>
    <row r="1497" spans="1:12" ht="18" customHeight="1">
      <c r="G1497" s="5"/>
    </row>
    <row r="1498" spans="1:12" ht="18" customHeight="1">
      <c r="G1498" s="5"/>
      <c r="I1498" s="7" t="s">
        <v>11583</v>
      </c>
      <c r="J1498" s="28" t="str">
        <f ca="1">IF(TODAY()&lt;DATE(2019,5,1),"　　　年　　　月　　　日",TEXT(TODAY(),"ggg")&amp;"     年       月        日")</f>
        <v>令和     年       月        日</v>
      </c>
    </row>
    <row r="1499" spans="1:12" ht="18" customHeight="1">
      <c r="G1499" s="5"/>
    </row>
    <row r="1500" spans="1:12" ht="18" customHeight="1">
      <c r="B1500" s="5" t="s">
        <v>1494</v>
      </c>
      <c r="G1500" s="5"/>
    </row>
    <row r="1501" spans="1:12" ht="18" customHeight="1">
      <c r="G1501" s="5"/>
    </row>
    <row r="1502" spans="1:12" ht="18" customHeight="1">
      <c r="C1502" s="5" t="s">
        <v>1495</v>
      </c>
      <c r="I1502" s="7" t="s">
        <v>1496</v>
      </c>
      <c r="J1502" s="28" t="str">
        <f>IF(shinsei_ACCEPT_DATE="","",IF(LEFT(TEXT(shinsei_ACCEPT_DATE,"ee"),1)="0"," "&amp;TEXT(shinsei_ACCEPT_DATE,"e"),TEXT(shinsei_ACCEPT_DATE,"ee")))</f>
        <v xml:space="preserve"> 3</v>
      </c>
    </row>
    <row r="1503" spans="1:12" ht="18" customHeight="1">
      <c r="C1503" s="5" t="s">
        <v>1497</v>
      </c>
      <c r="I1503" s="7" t="s">
        <v>1498</v>
      </c>
      <c r="J1503" s="28" t="str">
        <f>IF(shinsei_ACCEPT_DATE="","",IF(LEFT(TEXT(shinsei_ACCEPT_DATE,"mm"),1)="0"," "&amp;TEXT(shinsei_ACCEPT_DATE,"m"),TEXT(shinsei_ACCEPT_DATE,"mm")))</f>
        <v xml:space="preserve"> 1</v>
      </c>
    </row>
    <row r="1504" spans="1:12" ht="18" customHeight="1">
      <c r="C1504" s="5" t="s">
        <v>1499</v>
      </c>
      <c r="I1504" s="7" t="s">
        <v>1500</v>
      </c>
      <c r="J1504" s="28" t="str">
        <f>IF(shinsei_ACCEPT_DATE="","",IF(LEFT(TEXT(shinsei_ACCEPT_DATE,"dd"),1)="0"," "&amp;TEXT(shinsei_ACCEPT_DATE,"d"),TEXT(shinsei_ACCEPT_DATE,"dd")))</f>
        <v>27</v>
      </c>
    </row>
    <row r="1506" spans="2:10" ht="18" customHeight="1">
      <c r="C1506" s="5" t="s">
        <v>1501</v>
      </c>
      <c r="I1506" s="7" t="s">
        <v>1502</v>
      </c>
      <c r="J1506" s="28" t="str">
        <f>IF(shinsei_HIKIUKE_DATE="","",IF(LEFT(TEXT(shinsei_HIKIUKE_DATE,"ee"),1)="0"," "&amp;TEXT(shinsei_HIKIUKE_DATE,"e"),TEXT(shinsei_HIKIUKE_DATE,"ee")))</f>
        <v xml:space="preserve"> 3</v>
      </c>
    </row>
    <row r="1507" spans="2:10" ht="18" customHeight="1">
      <c r="C1507" s="5" t="s">
        <v>1503</v>
      </c>
      <c r="I1507" s="7" t="s">
        <v>1504</v>
      </c>
      <c r="J1507" s="28" t="str">
        <f>IF(shinsei_HIKIUKE_DATE="","",IF(LEFT(TEXT(shinsei_HIKIUKE_DATE,"mm"),1)="0"," "&amp;TEXT(shinsei_HIKIUKE_DATE,"m"),TEXT(shinsei_HIKIUKE_DATE,"mm")))</f>
        <v xml:space="preserve"> 3</v>
      </c>
    </row>
    <row r="1508" spans="2:10" ht="18" customHeight="1">
      <c r="C1508" s="5" t="s">
        <v>1505</v>
      </c>
      <c r="I1508" s="7" t="s">
        <v>1506</v>
      </c>
      <c r="J1508" s="28" t="str">
        <f>IF(shinsei_HIKIUKE_DATE="","",IF(LEFT(TEXT(shinsei_HIKIUKE_DATE,"dd"),1)="0"," "&amp;TEXT(shinsei_HIKIUKE_DATE,"d"),TEXT(shinsei_HIKIUKE_DATE,"dd")))</f>
        <v xml:space="preserve"> 3</v>
      </c>
    </row>
    <row r="1510" spans="2:10" ht="18" customHeight="1">
      <c r="C1510" s="5" t="s">
        <v>1507</v>
      </c>
      <c r="G1510" s="5"/>
      <c r="I1510" s="7" t="s">
        <v>1508</v>
      </c>
      <c r="J1510" s="28" t="str">
        <f>IF(cst_shinsei__NOTIFY_LIMIT_DATE="","",IF(LEFT(TEXT(cst_shinsei__NOTIFY_LIMIT_DATE,"ee"),1)="0"," "&amp;TEXT(cst_shinsei__NOTIFY_LIMIT_DATE,"e"),TEXT(cst_shinsei__NOTIFY_LIMIT_DATE,"ee")))</f>
        <v/>
      </c>
    </row>
    <row r="1511" spans="2:10" ht="18" customHeight="1">
      <c r="C1511" s="5" t="s">
        <v>1509</v>
      </c>
      <c r="G1511" s="5"/>
      <c r="I1511" s="47" t="s">
        <v>1510</v>
      </c>
      <c r="J1511" s="28" t="str">
        <f>IF(cst_shinsei__NOTIFY_LIMIT_DATE="","",IF(LEFT(TEXT(cst_shinsei__NOTIFY_LIMIT_DATE,"mm"),1)="0"," "&amp;TEXT(cst_shinsei__NOTIFY_LIMIT_DATE,"m"),TEXT(cst_shinsei__NOTIFY_LIMIT_DATE,"mm")))</f>
        <v/>
      </c>
    </row>
    <row r="1512" spans="2:10" ht="18" customHeight="1">
      <c r="C1512" s="5" t="s">
        <v>1511</v>
      </c>
      <c r="G1512" s="5"/>
      <c r="I1512" s="47" t="s">
        <v>1512</v>
      </c>
      <c r="J1512" s="28" t="str">
        <f>IF(cst_shinsei__NOTIFY_LIMIT_DATE="","",IF(LEFT(TEXT(cst_shinsei__NOTIFY_LIMIT_DATE,"dd"),1)="0"," "&amp;TEXT(cst_shinsei__NOTIFY_LIMIT_DATE,"d"),TEXT(cst_shinsei__NOTIFY_LIMIT_DATE,"dd")))</f>
        <v/>
      </c>
    </row>
    <row r="1514" spans="2:10" ht="18" customHeight="1">
      <c r="B1514" s="5" t="s">
        <v>1513</v>
      </c>
      <c r="J1514" s="124"/>
    </row>
    <row r="1515" spans="2:10" ht="18" customHeight="1">
      <c r="J1515" s="27"/>
    </row>
    <row r="1516" spans="2:10" ht="18" customHeight="1">
      <c r="C1516" s="5" t="s">
        <v>1514</v>
      </c>
      <c r="J1516" s="27"/>
    </row>
    <row r="1517" spans="2:10" ht="18" customHeight="1">
      <c r="C1517" s="5" t="s">
        <v>1515</v>
      </c>
      <c r="J1517" s="27"/>
    </row>
    <row r="1518" spans="2:10" ht="18" customHeight="1">
      <c r="C1518" s="5" t="s">
        <v>1516</v>
      </c>
      <c r="J1518" s="27"/>
    </row>
    <row r="1520" spans="2:10" ht="18" customHeight="1">
      <c r="C1520" s="5" t="s">
        <v>1517</v>
      </c>
      <c r="I1520" s="7" t="s">
        <v>1518</v>
      </c>
      <c r="J1520" s="28" t="str">
        <f>IF(kakaru_shinsei_ACCEPT_DATE="","",IF(LEFT(TEXT(kakaru_shinsei_ACCEPT_DATE,"ee"),1)="0"," "&amp;TEXT(kakaru_shinsei_ACCEPT_DATE,"e"),TEXT(kakaru_shinsei_ACCEPT_DATE,"ee")))</f>
        <v/>
      </c>
    </row>
    <row r="1521" spans="1:10" ht="18" customHeight="1">
      <c r="C1521" s="5" t="s">
        <v>1519</v>
      </c>
      <c r="I1521" s="7" t="s">
        <v>1520</v>
      </c>
      <c r="J1521" s="28" t="str">
        <f>IF(kakaru_shinsei_ACCEPT_DATE="","",IF(LEFT(TEXT(kakaru_shinsei_ACCEPT_DATE,"mm"),1)="0"," "&amp;TEXT(kakaru_shinsei_ACCEPT_DATE,"m"),TEXT(kakaru_shinsei_ACCEPT_DATE,"mm")))</f>
        <v/>
      </c>
    </row>
    <row r="1522" spans="1:10" ht="18" customHeight="1">
      <c r="C1522" s="5" t="s">
        <v>1521</v>
      </c>
      <c r="I1522" s="7" t="s">
        <v>1522</v>
      </c>
      <c r="J1522" s="28" t="str">
        <f>IF(kakaru_shinsei_ACCEPT_DATE="","",IF(LEFT(TEXT(kakaru_shinsei_ACCEPT_DATE,"dd"),1)="0"," "&amp;TEXT(kakaru_shinsei_ACCEPT_DATE,"d"),TEXT(kakaru_shinsei_ACCEPT_DATE,"dd")))</f>
        <v/>
      </c>
    </row>
    <row r="1524" spans="1:10" ht="18" customHeight="1">
      <c r="C1524" s="5" t="s">
        <v>1523</v>
      </c>
      <c r="I1524" s="7" t="s">
        <v>1524</v>
      </c>
      <c r="J1524" s="28" t="str">
        <f>IF(kakaru_shinsei_HIKIUKE_DATE="","",IF(LEFT(TEXT(kakaru_shinsei_HIKIUKE_DATE,"ee"),1)="0"," "&amp;TEXT(kakaru_shinsei_HIKIUKE_DATE,"e"),TEXT(kakaru_shinsei_HIKIUKE_DATE,"ee")))</f>
        <v/>
      </c>
    </row>
    <row r="1525" spans="1:10" ht="18" customHeight="1">
      <c r="C1525" s="5" t="s">
        <v>1525</v>
      </c>
      <c r="I1525" s="7" t="s">
        <v>1526</v>
      </c>
      <c r="J1525" s="28" t="str">
        <f>IF(kakaru_shinsei_HIKIUKE_DATE="","",IF(LEFT(TEXT(kakaru_shinsei_HIKIUKE_DATE,"mm"),1)="0"," "&amp;TEXT(kakaru_shinsei_HIKIUKE_DATE,"m"),TEXT(kakaru_shinsei_HIKIUKE_DATE,"mm")))</f>
        <v/>
      </c>
    </row>
    <row r="1526" spans="1:10" ht="18" customHeight="1">
      <c r="C1526" s="5" t="s">
        <v>1527</v>
      </c>
      <c r="I1526" s="7" t="s">
        <v>1528</v>
      </c>
      <c r="J1526" s="28" t="str">
        <f>IF(kakaru_shinsei_HIKIUKE_DATE="","",IF(LEFT(TEXT(kakaru_shinsei_HIKIUKE_DATE,"dd"),1)="0"," "&amp;TEXT(kakaru_shinsei_HIKIUKE_DATE,"d"),TEXT(kakaru_shinsei_HIKIUKE_DATE,"dd")))</f>
        <v/>
      </c>
    </row>
    <row r="1528" spans="1:10" ht="18" customHeight="1">
      <c r="C1528" s="5" t="s">
        <v>1529</v>
      </c>
      <c r="I1528" s="7" t="s">
        <v>1530</v>
      </c>
      <c r="J1528" s="28" t="str">
        <f>IF(shinsei_KAKUNINZUMI_HOUKOKU_GYOSEI_DATE="","",IF(LEFT(TEXT(shinsei_KAKUNINZUMI_HOUKOKU_GYOSEI_DATE,"ee"),1)="0"," "&amp;TEXT(shinsei_KAKUNINZUMI_HOUKOKU_GYOSEI_DATE,"e"),TEXT(shinsei_KAKUNINZUMI_HOUKOKU_GYOSEI_DATE,"ee")))</f>
        <v/>
      </c>
    </row>
    <row r="1529" spans="1:10" ht="18" customHeight="1">
      <c r="C1529" s="5" t="s">
        <v>1531</v>
      </c>
      <c r="I1529" s="7" t="s">
        <v>1532</v>
      </c>
      <c r="J1529" s="28" t="str">
        <f>IF(shinsei_KAKUNINZUMI_HOUKOKU_GYOSEI_DATE="","",IF(LEFT(TEXT(shinsei_KAKUNINZUMI_HOUKOKU_GYOSEI_DATE,"mm"),1)="0"," "&amp;TEXT(shinsei_KAKUNINZUMI_HOUKOKU_GYOSEI_DATE,"m"),TEXT(shinsei_KAKUNINZUMI_HOUKOKU_GYOSEI_DATE,"mm")))</f>
        <v/>
      </c>
    </row>
    <row r="1530" spans="1:10" ht="18" customHeight="1">
      <c r="C1530" s="5" t="s">
        <v>1533</v>
      </c>
      <c r="I1530" s="7" t="s">
        <v>1534</v>
      </c>
      <c r="J1530" s="28" t="str">
        <f>IF(shinsei_KAKUNINZUMI_HOUKOKU_GYOSEI_DATE="","",IF(LEFT(TEXT(shinsei_KAKUNINZUMI_HOUKOKU_GYOSEI_DATE,"dd"),1)="0"," "&amp;TEXT(shinsei_KAKUNINZUMI_HOUKOKU_GYOSEI_DATE,"d"),TEXT(shinsei_KAKUNINZUMI_HOUKOKU_GYOSEI_DATE,"dd")))</f>
        <v/>
      </c>
    </row>
    <row r="1534" spans="1:10" s="10" customFormat="1" ht="18" customHeight="1">
      <c r="A1534" s="12"/>
      <c r="B1534" s="12"/>
      <c r="C1534" s="12"/>
      <c r="D1534" s="12"/>
      <c r="E1534" s="12"/>
      <c r="F1534" s="12"/>
      <c r="G1534" s="11"/>
      <c r="J1534" s="45"/>
    </row>
    <row r="1535" spans="1:10" s="10" customFormat="1" ht="18" customHeight="1">
      <c r="A1535" s="31" t="s">
        <v>1535</v>
      </c>
      <c r="B1535" s="31"/>
      <c r="C1535" s="8"/>
      <c r="D1535" s="8"/>
      <c r="E1535" s="8"/>
      <c r="F1535" s="8"/>
      <c r="G1535" s="31"/>
      <c r="J1535" s="45"/>
    </row>
    <row r="1536" spans="1:10" s="10" customFormat="1" ht="18" customHeight="1">
      <c r="A1536" s="11"/>
      <c r="B1536" s="11"/>
      <c r="C1536" s="12"/>
      <c r="D1536" s="12"/>
      <c r="E1536" s="12"/>
      <c r="F1536" s="12"/>
      <c r="G1536" s="11"/>
      <c r="J1536" s="45"/>
    </row>
    <row r="1537" spans="1:11" ht="18" customHeight="1">
      <c r="B1537" s="5" t="s">
        <v>1536</v>
      </c>
      <c r="G1537" s="5"/>
      <c r="I1537" s="7" t="s">
        <v>1537</v>
      </c>
      <c r="J1537" s="28" t="s">
        <v>1538</v>
      </c>
      <c r="K1537" s="27"/>
    </row>
    <row r="1538" spans="1:11" s="10" customFormat="1" ht="18" customHeight="1">
      <c r="A1538" s="11"/>
      <c r="B1538" s="11"/>
      <c r="C1538" s="12"/>
      <c r="D1538" s="12"/>
      <c r="E1538" s="12"/>
      <c r="F1538" s="12"/>
      <c r="G1538" s="11"/>
      <c r="J1538" s="45"/>
    </row>
    <row r="1539" spans="1:11" s="10" customFormat="1" ht="18" customHeight="1">
      <c r="A1539" s="11"/>
      <c r="B1539" s="11"/>
      <c r="C1539" s="12"/>
      <c r="D1539" s="12"/>
      <c r="E1539" s="12"/>
      <c r="F1539" s="12"/>
      <c r="G1539" s="11"/>
      <c r="J1539" s="45"/>
    </row>
    <row r="1540" spans="1:11" s="10" customFormat="1" ht="18" customHeight="1">
      <c r="A1540" s="11"/>
      <c r="B1540" s="11"/>
      <c r="C1540" s="12"/>
      <c r="D1540" s="12"/>
      <c r="E1540" s="12"/>
      <c r="F1540" s="12"/>
      <c r="G1540" s="11"/>
      <c r="J1540" s="45"/>
    </row>
    <row r="1541" spans="1:11" s="10" customFormat="1" ht="18" customHeight="1">
      <c r="A1541" s="11"/>
      <c r="B1541" s="12"/>
      <c r="C1541" s="11"/>
      <c r="D1541" s="11"/>
      <c r="E1541" s="12"/>
      <c r="F1541" s="12"/>
      <c r="G1541" s="11"/>
      <c r="J1541" s="45"/>
    </row>
    <row r="1542" spans="1:11" s="10" customFormat="1" ht="18" customHeight="1">
      <c r="A1542" s="101" t="s">
        <v>1539</v>
      </c>
      <c r="B1542" s="101"/>
      <c r="C1542" s="101"/>
      <c r="D1542" s="101"/>
      <c r="E1542" s="101"/>
      <c r="F1542" s="101"/>
      <c r="G1542" s="101"/>
      <c r="H1542" s="9"/>
    </row>
    <row r="1543" spans="1:11" s="10" customFormat="1" ht="18" customHeight="1">
      <c r="A1543" s="12"/>
      <c r="B1543" s="12"/>
      <c r="C1543" s="12"/>
      <c r="D1543" s="12"/>
      <c r="E1543" s="12"/>
      <c r="F1543" s="12"/>
      <c r="G1543" s="12"/>
      <c r="H1543" s="9"/>
    </row>
    <row r="1544" spans="1:11" ht="18" customHeight="1">
      <c r="B1544" s="5" t="s">
        <v>1540</v>
      </c>
      <c r="G1544" s="6" t="s">
        <v>1885</v>
      </c>
      <c r="H1544" s="74">
        <v>44223</v>
      </c>
      <c r="I1544" s="7" t="s">
        <v>1541</v>
      </c>
      <c r="J1544" s="89">
        <f>IF(shinsei_PROVO_DATE="","",shinsei_PROVO_DATE)</f>
        <v>44223</v>
      </c>
    </row>
    <row r="1545" spans="1:11" ht="18" customHeight="1">
      <c r="G1545" s="5"/>
    </row>
    <row r="1546" spans="1:11" ht="18" customHeight="1">
      <c r="B1546" s="5" t="s">
        <v>1542</v>
      </c>
      <c r="G1546" s="5" t="s">
        <v>1886</v>
      </c>
      <c r="H1546" s="418" t="s">
        <v>11843</v>
      </c>
      <c r="I1546" s="7" t="s">
        <v>1543</v>
      </c>
      <c r="J1546" s="89" t="str">
        <f>IF(shinsei_PROVO_NO="","",shinsei_PROVO_NO)</f>
        <v>2020事申建築CIAS00909</v>
      </c>
    </row>
    <row r="1547" spans="1:11" ht="18" customHeight="1">
      <c r="G1547" s="5"/>
      <c r="I1547" s="7" t="s">
        <v>10690</v>
      </c>
      <c r="J1547" s="89" t="str">
        <f>IF(shinsei_PROVO_NO="","","第"&amp;shinsei_PROVO_NO&amp;"号")</f>
        <v>第2020事申建築CIAS00909号</v>
      </c>
    </row>
    <row r="1548" spans="1:11" ht="18" customHeight="1">
      <c r="G1548" s="5"/>
    </row>
    <row r="1549" spans="1:11" ht="18" customHeight="1">
      <c r="B1549" s="5" t="s">
        <v>1544</v>
      </c>
      <c r="G1549" s="5" t="s">
        <v>1887</v>
      </c>
      <c r="H1549" s="74">
        <v>44223</v>
      </c>
      <c r="I1549" s="7" t="s">
        <v>1545</v>
      </c>
      <c r="J1549" s="89">
        <f>IF(shinsei_ACCEPT_DATE="","",shinsei_ACCEPT_DATE)</f>
        <v>44223</v>
      </c>
    </row>
    <row r="1551" spans="1:11" ht="18" customHeight="1">
      <c r="B1551" s="5" t="s">
        <v>1546</v>
      </c>
      <c r="G1551" s="6" t="s">
        <v>1888</v>
      </c>
      <c r="H1551" s="74">
        <v>44258</v>
      </c>
      <c r="I1551" s="7" t="s">
        <v>1547</v>
      </c>
      <c r="J1551" s="89">
        <f>IF(shinsei_HIKIUKE_DATE="","",shinsei_HIKIUKE_DATE)</f>
        <v>44258</v>
      </c>
    </row>
    <row r="1552" spans="1:11" ht="18" customHeight="1">
      <c r="I1552" s="7" t="s">
        <v>1548</v>
      </c>
      <c r="J1552" s="90">
        <f>IF(shinsei_HIKIUKE_DATE="",cst_DISP__date,shinsei_HIKIUKE_DATE)</f>
        <v>44258</v>
      </c>
    </row>
    <row r="1553" spans="1:10" ht="18" customHeight="1">
      <c r="B1553" s="5" t="s">
        <v>1549</v>
      </c>
      <c r="I1553" s="9" t="s">
        <v>1550</v>
      </c>
      <c r="J1553" s="88" t="str">
        <f>IF(shinsei_HIKIUKE_DATE="",cst_DISP__date,TEXT(shinsei_HIKIUKE_DATE,"ggg")&amp;"　"&amp;TEXT(shinsei_HIKIUKE_DATE,"e")&amp;"　年　"&amp;TEXT(shinsei_HIKIUKE_DATE,"m")&amp;"　月　"&amp;TEXT(shinsei_HIKIUKE_DATE,"d")&amp;"　日")</f>
        <v>令和　3　年　3　月　3　日</v>
      </c>
    </row>
    <row r="1554" spans="1:10" s="10" customFormat="1" ht="18" customHeight="1">
      <c r="A1554" s="12"/>
      <c r="B1554" s="12"/>
      <c r="C1554" s="12"/>
      <c r="D1554" s="12"/>
      <c r="E1554" s="12"/>
      <c r="F1554" s="12"/>
      <c r="G1554" s="12"/>
      <c r="H1554" s="9"/>
      <c r="I1554" s="7" t="s">
        <v>11577</v>
      </c>
      <c r="J1554" s="90">
        <f ca="1">IF(shinsei_HIKIUKE_DATE="",IF(TODAY()&lt;DATE(2019,5,1),"",TEXT(TODAY(),"ggg")&amp;"　　　年　　　月　　　日"),shinsei_HIKIUKE_DATE)</f>
        <v>44258</v>
      </c>
    </row>
    <row r="1555" spans="1:10" s="10" customFormat="1" ht="18" customHeight="1">
      <c r="A1555" s="12"/>
      <c r="B1555" s="12"/>
      <c r="C1555" s="12"/>
      <c r="D1555" s="12"/>
      <c r="E1555" s="12"/>
      <c r="F1555" s="12"/>
      <c r="G1555" s="12"/>
      <c r="H1555" s="9"/>
      <c r="I1555" s="7" t="s">
        <v>11579</v>
      </c>
      <c r="J1555" s="90" t="str">
        <f ca="1">IF(TODAY()&lt;DATE(2019,5,1),"　　年　　月　　日",TEXT(TODAY(),"ggg")&amp;"　　年　　月　　日")</f>
        <v>令和　　年　　月　　日</v>
      </c>
    </row>
    <row r="1556" spans="1:10" s="10" customFormat="1" ht="18" customHeight="1">
      <c r="A1556" s="12"/>
      <c r="B1556" s="12"/>
      <c r="C1556" s="12"/>
      <c r="D1556" s="12"/>
      <c r="E1556" s="12"/>
      <c r="F1556" s="12"/>
      <c r="G1556" s="12"/>
      <c r="H1556" s="9"/>
    </row>
    <row r="1557" spans="1:10" ht="18" customHeight="1">
      <c r="B1557" s="5" t="s">
        <v>1551</v>
      </c>
      <c r="G1557" s="6" t="s">
        <v>1889</v>
      </c>
      <c r="H1557" s="74"/>
      <c r="I1557" s="7" t="s">
        <v>1552</v>
      </c>
      <c r="J1557" s="89" t="str">
        <f>IF(shinsei_HIKIUKE_TUUTI_DATE="","",shinsei_HIKIUKE_TUUTI_DATE)</f>
        <v/>
      </c>
    </row>
    <row r="1558" spans="1:10" s="18" customFormat="1" ht="18" customHeight="1">
      <c r="A1558" s="5"/>
      <c r="B1558" s="5"/>
      <c r="C1558" s="5"/>
      <c r="D1558" s="5"/>
      <c r="E1558" s="5"/>
      <c r="F1558" s="5"/>
      <c r="G1558" s="14"/>
      <c r="I1558" s="9" t="s">
        <v>11771</v>
      </c>
      <c r="J1558" s="439" t="str">
        <f ca="1">IF(shinsei_HIKIUKE_TUUTI_DATE="",cst_DISP__date,(shinsei_HIKIUKE_TUUTI_DATE))</f>
        <v>令和      年      月      日</v>
      </c>
    </row>
    <row r="1559" spans="1:10" ht="18" customHeight="1">
      <c r="I1559" s="9" t="s">
        <v>9949</v>
      </c>
      <c r="J1559" s="28" t="str">
        <f ca="1">IF(shinsei_HIKIUKE_TUUTI_DATE="",cst_DISP__date,TEXT(shinsei_HIKIUKE_TUUTI_DATE,"ggg")&amp;"　"&amp;TEXT(shinsei_HIKIUKE_TUUTI_DATE,"e")&amp;"　年　"&amp;TEXT(shinsei_HIKIUKE_TUUTI_DATE,"m")&amp;"　月　"&amp;TEXT(shinsei_HIKIUKE_TUUTI_DATE,"d")&amp;"　日")</f>
        <v>令和      年      月      日</v>
      </c>
    </row>
    <row r="1561" spans="1:10" ht="18" customHeight="1">
      <c r="B1561" s="5" t="s">
        <v>1553</v>
      </c>
      <c r="G1561" s="12" t="s">
        <v>1890</v>
      </c>
      <c r="H1561" s="15" t="s">
        <v>11857</v>
      </c>
      <c r="I1561" s="7" t="s">
        <v>1554</v>
      </c>
      <c r="J1561" s="102" t="str">
        <f>IF(shinsei_UKETUKE_NO="","",shinsei_UKETUKE_NO)</f>
        <v>2020確申建築CIAS01650</v>
      </c>
    </row>
    <row r="1562" spans="1:10" ht="18" customHeight="1">
      <c r="I1562" s="7" t="s">
        <v>1555</v>
      </c>
      <c r="J1562" s="28" t="str">
        <f>IF(shinsei_UKETUKE_NO="","","第"&amp;shinsei_UKETUKE_NO&amp;"号")</f>
        <v>第2020確申建築CIAS01650号</v>
      </c>
    </row>
    <row r="1563" spans="1:10" s="10" customFormat="1" ht="18" customHeight="1">
      <c r="A1563" s="12"/>
      <c r="B1563" s="12"/>
      <c r="C1563" s="12"/>
      <c r="D1563" s="12"/>
      <c r="E1563" s="12"/>
      <c r="F1563" s="12"/>
      <c r="G1563" s="12"/>
      <c r="H1563" s="9"/>
      <c r="I1563" s="7" t="s">
        <v>11578</v>
      </c>
      <c r="J1563" s="28" t="str">
        <f>IF(shinsei_UKETUKE_NO="","第　　　確申建築CIAS　　　　　号","第"&amp;shinsei_UKETUKE_NO&amp;"号")</f>
        <v>第2020確申建築CIAS01650号</v>
      </c>
    </row>
    <row r="1564" spans="1:10" s="10" customFormat="1" ht="18" customHeight="1">
      <c r="A1564" s="12"/>
      <c r="B1564" s="12"/>
      <c r="C1564" s="12"/>
      <c r="D1564" s="12"/>
      <c r="E1564" s="12"/>
      <c r="F1564" s="12"/>
      <c r="G1564" s="12"/>
      <c r="H1564" s="9"/>
    </row>
    <row r="1565" spans="1:10" s="10" customFormat="1" ht="18" customHeight="1">
      <c r="A1565" s="12"/>
      <c r="B1565" s="12"/>
      <c r="C1565" s="12"/>
      <c r="D1565" s="12"/>
      <c r="E1565" s="12"/>
      <c r="F1565" s="12"/>
      <c r="G1565" s="12"/>
      <c r="H1565" s="9"/>
    </row>
    <row r="1566" spans="1:10" s="10" customFormat="1" ht="18" customHeight="1">
      <c r="A1566" s="101" t="s">
        <v>1556</v>
      </c>
      <c r="B1566" s="101"/>
      <c r="C1566" s="101"/>
      <c r="D1566" s="101"/>
      <c r="E1566" s="101"/>
      <c r="F1566" s="101"/>
      <c r="G1566" s="101"/>
      <c r="H1566" s="9"/>
    </row>
    <row r="1567" spans="1:10" s="10" customFormat="1" ht="18" customHeight="1">
      <c r="A1567" s="12"/>
      <c r="B1567" s="12"/>
      <c r="C1567" s="12"/>
      <c r="D1567" s="12"/>
      <c r="E1567" s="12"/>
      <c r="F1567" s="12"/>
      <c r="G1567" s="12"/>
      <c r="H1567" s="9"/>
    </row>
    <row r="1568" spans="1:10" ht="18" customHeight="1">
      <c r="B1568" s="5" t="s">
        <v>1557</v>
      </c>
      <c r="G1568" s="6" t="s">
        <v>1891</v>
      </c>
      <c r="H1568" s="74"/>
      <c r="I1568" s="7" t="s">
        <v>1558</v>
      </c>
      <c r="J1568" s="89" t="str">
        <f>IF(shinsei_ISSUE_DATE="","",shinsei_ISSUE_DATE)</f>
        <v/>
      </c>
    </row>
    <row r="1569" spans="1:11" ht="18" customHeight="1">
      <c r="I1569" s="7" t="s">
        <v>1559</v>
      </c>
      <c r="J1569" s="90" t="str">
        <f ca="1">IF(shinsei_ISSUE_DATE="",cst_DISP__date,shinsei_ISSUE_DATE)</f>
        <v>令和      年      月      日</v>
      </c>
    </row>
    <row r="1570" spans="1:11" s="10" customFormat="1" ht="18" customHeight="1">
      <c r="A1570" s="11"/>
      <c r="B1570" s="11"/>
      <c r="C1570" s="12"/>
      <c r="D1570" s="11"/>
      <c r="E1570" s="11"/>
      <c r="F1570" s="11"/>
      <c r="G1570" s="11"/>
      <c r="I1570" s="7" t="s">
        <v>9925</v>
      </c>
      <c r="J1570" s="88" t="str">
        <f ca="1">IF(shinsei_ISSUE_DATE="",cst_DISP__date,TEXT(shinsei_ISSUE_DATE,"ggg")&amp;"　"&amp;TEXT(shinsei_ISSUE_DATE,"e")&amp;"　年　"&amp;TEXT(shinsei_ISSUE_DATE,"m")&amp;"　月　"&amp;TEXT(shinsei_ISSUE_DATE,"d")&amp;"　日")</f>
        <v>令和      年      月      日</v>
      </c>
    </row>
    <row r="1571" spans="1:11" s="10" customFormat="1" ht="18" customHeight="1">
      <c r="A1571" s="11"/>
      <c r="B1571" s="11"/>
      <c r="C1571" s="12"/>
      <c r="D1571" s="11"/>
      <c r="E1571" s="11"/>
      <c r="F1571" s="11"/>
      <c r="G1571" s="11"/>
      <c r="J1571" s="45"/>
    </row>
    <row r="1572" spans="1:11" s="10" customFormat="1" ht="18" customHeight="1">
      <c r="A1572" s="12"/>
      <c r="B1572" s="12" t="s">
        <v>1560</v>
      </c>
      <c r="C1572" s="12"/>
      <c r="D1572" s="12"/>
      <c r="E1572" s="12"/>
      <c r="F1572" s="12"/>
      <c r="G1572" s="12" t="s">
        <v>1561</v>
      </c>
      <c r="H1572" s="15" t="s">
        <v>11787</v>
      </c>
      <c r="I1572" s="10" t="s">
        <v>1562</v>
      </c>
      <c r="J1572" s="24" t="str">
        <f>IF(shinsei_ISSUE_NO="","",shinsei_ISSUE_NO)</f>
        <v/>
      </c>
    </row>
    <row r="1573" spans="1:11" s="10" customFormat="1" ht="18" customHeight="1">
      <c r="A1573" s="12"/>
      <c r="B1573" s="12"/>
      <c r="C1573" s="11"/>
      <c r="D1573" s="11"/>
      <c r="E1573" s="12"/>
      <c r="F1573" s="12"/>
      <c r="G1573" s="12"/>
      <c r="H1573" s="9"/>
      <c r="I1573" s="10" t="s">
        <v>1563</v>
      </c>
      <c r="J1573" s="22" t="str">
        <f>IF(shinsei_ISSUE_NO="",cst_DISP__sign,"第 "&amp;shinsei_ISSUE_NO&amp;" 号")</f>
        <v>第          号</v>
      </c>
      <c r="K1573" s="10" t="s">
        <v>1564</v>
      </c>
    </row>
    <row r="1574" spans="1:11" s="10" customFormat="1" ht="18" customHeight="1">
      <c r="A1574" s="12"/>
      <c r="B1574" s="12"/>
      <c r="C1574" s="12"/>
      <c r="D1574" s="12"/>
      <c r="E1574" s="12"/>
      <c r="F1574" s="12"/>
      <c r="G1574" s="12"/>
      <c r="H1574" s="9"/>
    </row>
    <row r="1575" spans="1:11" s="10" customFormat="1" ht="18" customHeight="1">
      <c r="A1575" s="12"/>
      <c r="B1575" s="12" t="s">
        <v>1565</v>
      </c>
      <c r="C1575" s="12"/>
      <c r="D1575" s="12"/>
      <c r="E1575" s="12"/>
      <c r="F1575" s="12"/>
      <c r="G1575" s="12" t="s">
        <v>1566</v>
      </c>
      <c r="H1575" s="13" t="s">
        <v>11787</v>
      </c>
      <c r="I1575" s="9" t="s">
        <v>1567</v>
      </c>
      <c r="J1575" s="19" t="str">
        <f>IF(shinsei_ISSUE_KOUFU_NAME="","",shinsei_ISSUE_KOUFU_NAME)</f>
        <v/>
      </c>
    </row>
    <row r="1576" spans="1:11" s="10" customFormat="1" ht="18" customHeight="1">
      <c r="A1576" s="12"/>
      <c r="B1576" s="12"/>
      <c r="C1576" s="12"/>
      <c r="D1576" s="12"/>
      <c r="E1576" s="12"/>
      <c r="F1576" s="12"/>
      <c r="G1576" s="12"/>
      <c r="H1576" s="9"/>
      <c r="I1576" s="9" t="s">
        <v>1568</v>
      </c>
      <c r="J1576" s="103" t="str">
        <f>IF(ISERROR(SEARCH("代表",shinsei_ISSUE_KOUFU_NAME)),IF(ISERROR(SEARCH("建築主事",shinsei_ISSUE_KOUFU_NAME)),IF(ISERROR(SEARCH("理事長",shinsei_ISSUE_KOUFU_NAME)),IF(ISERROR(SEARCH("会長",shinsei_ISSUE_KOUFU_NAME)),cst_shinsei_ISSUE_KOUFU_NAME,SUBSTITUTE(shinsei_ISSUE_KOUFU_NAME,"会長",CHAR(10)&amp;"会長")),SUBSTITUTE(shinsei_ISSUE_KOUFU_NAME,"理事長",CHAR(10)&amp;"理事長")),SUBSTITUTE(shinsei_ISSUE_KOUFU_NAME,"建築主事",CHAR(10)&amp;"建築主事")),SUBSTITUTE(shinsei_ISSUE_KOUFU_NAME,"代表",CHAR(10)&amp;"代表"))</f>
        <v/>
      </c>
    </row>
    <row r="1577" spans="1:11" s="10" customFormat="1" ht="18" customHeight="1">
      <c r="A1577" s="12"/>
      <c r="B1577" s="12" t="s">
        <v>1569</v>
      </c>
      <c r="C1577" s="12"/>
      <c r="D1577" s="12"/>
      <c r="E1577" s="12"/>
      <c r="F1577" s="12"/>
      <c r="G1577" s="12"/>
      <c r="H1577" s="9"/>
      <c r="I1577" s="104"/>
    </row>
    <row r="1578" spans="1:11" s="10" customFormat="1" ht="18" customHeight="1">
      <c r="A1578" s="12"/>
      <c r="B1578" s="12"/>
      <c r="C1578" s="12" t="s">
        <v>1570</v>
      </c>
      <c r="D1578" s="12"/>
      <c r="E1578" s="12"/>
      <c r="F1578" s="12"/>
      <c r="G1578" s="12" t="s">
        <v>1571</v>
      </c>
      <c r="H1578" s="20"/>
      <c r="I1578" s="9" t="s">
        <v>1572</v>
      </c>
      <c r="J1578" s="19" t="str">
        <f>IF(shinsei_KENSA_RESULT="","",shinsei_KENSA_RESULT)</f>
        <v/>
      </c>
    </row>
    <row r="1579" spans="1:11" s="10" customFormat="1" ht="18" customHeight="1">
      <c r="A1579" s="12"/>
      <c r="B1579" s="12"/>
      <c r="C1579" s="12" t="s">
        <v>1573</v>
      </c>
      <c r="D1579" s="12"/>
      <c r="E1579" s="12"/>
      <c r="F1579" s="12"/>
      <c r="G1579" s="12" t="s">
        <v>1892</v>
      </c>
      <c r="H1579" s="20"/>
      <c r="I1579" s="9" t="s">
        <v>1574</v>
      </c>
      <c r="J1579" s="87" t="str">
        <f>IF(shinsei_intermediate_KENSA_KEKKA="","",shinsei_intermediate_KENSA_KEKKA)</f>
        <v/>
      </c>
    </row>
    <row r="1580" spans="1:11" s="10" customFormat="1" ht="18" customHeight="1">
      <c r="A1580" s="12"/>
      <c r="B1580" s="12"/>
      <c r="C1580" s="12" t="s">
        <v>1575</v>
      </c>
      <c r="D1580" s="12"/>
      <c r="E1580" s="12"/>
      <c r="F1580" s="12"/>
      <c r="G1580" s="12" t="s">
        <v>1893</v>
      </c>
      <c r="H1580" s="20"/>
      <c r="I1580" s="9" t="s">
        <v>1576</v>
      </c>
      <c r="J1580" s="87" t="str">
        <f>IF(shinsei_KAN_KENSA_KEKKA="","",shinsei_KAN_KENSA_KEKKA)</f>
        <v/>
      </c>
    </row>
    <row r="1581" spans="1:11" s="10" customFormat="1" ht="18" customHeight="1">
      <c r="A1581" s="12"/>
      <c r="B1581" s="12"/>
      <c r="C1581" s="12" t="s">
        <v>1577</v>
      </c>
      <c r="D1581" s="12"/>
      <c r="E1581" s="12"/>
      <c r="F1581" s="12"/>
      <c r="G1581" s="12"/>
      <c r="H1581" s="9"/>
      <c r="I1581" s="9" t="s">
        <v>1578</v>
      </c>
      <c r="J1581" s="22" t="str">
        <f>IF(shinsei_INSPECTION_TYPE="","",IF(OR(shinsei_INSPECTION_TYPE="確認",shinsei_INSPECTION_TYPE="計画変更"),cst_shinsei_KENSA_RESULT,IF(shinsei_INSPECTION_TYPE="中間検査",cst_shinsei_intermediate_KENSA_KEKKA,IF(shinsei_INSPECTION_TYPE="完了検査",cst_shinsei_KAN_KENSA_KEKKA))))</f>
        <v/>
      </c>
    </row>
    <row r="1582" spans="1:11" s="10" customFormat="1" ht="18" customHeight="1">
      <c r="A1582" s="12"/>
      <c r="B1582" s="12"/>
      <c r="C1582" s="12"/>
      <c r="D1582" s="12"/>
      <c r="E1582" s="12"/>
      <c r="F1582" s="12"/>
      <c r="G1582" s="12"/>
      <c r="H1582" s="9"/>
    </row>
    <row r="1583" spans="1:11" s="10" customFormat="1" ht="18" customHeight="1">
      <c r="A1583" s="12"/>
      <c r="B1583" s="12" t="s">
        <v>1579</v>
      </c>
      <c r="C1583" s="12"/>
      <c r="D1583" s="12"/>
      <c r="E1583" s="12"/>
      <c r="F1583" s="12"/>
      <c r="G1583" s="12"/>
      <c r="H1583" s="9"/>
      <c r="I1583" s="9"/>
    </row>
    <row r="1584" spans="1:11" s="10" customFormat="1" ht="18" customHeight="1">
      <c r="A1584" s="12"/>
      <c r="B1584" s="12"/>
      <c r="C1584" s="12" t="s">
        <v>1570</v>
      </c>
      <c r="D1584" s="12"/>
      <c r="E1584" s="12"/>
      <c r="F1584" s="12"/>
      <c r="G1584" s="12" t="s">
        <v>1580</v>
      </c>
      <c r="H1584" s="13" t="s">
        <v>11787</v>
      </c>
      <c r="I1584" s="9" t="s">
        <v>1581</v>
      </c>
      <c r="J1584" s="19" t="str">
        <f>IF(shinsei_KAKUNINZUMI_KENSAIN="","",shinsei_KAKUNINZUMI_KENSAIN)</f>
        <v/>
      </c>
    </row>
    <row r="1585" spans="1:11" s="10" customFormat="1" ht="18" customHeight="1">
      <c r="A1585" s="12"/>
      <c r="B1585" s="11"/>
      <c r="C1585" s="12" t="s">
        <v>1573</v>
      </c>
      <c r="D1585" s="12"/>
      <c r="E1585" s="12"/>
      <c r="F1585" s="12"/>
      <c r="G1585" s="12" t="s">
        <v>1582</v>
      </c>
      <c r="H1585" s="20"/>
      <c r="I1585" s="9" t="s">
        <v>1583</v>
      </c>
      <c r="J1585" s="19" t="str">
        <f>IF(shinsei_intermediate_GOUKAKU_KENSAIN="","",shinsei_intermediate_GOUKAKU_KENSAIN)</f>
        <v/>
      </c>
    </row>
    <row r="1586" spans="1:11" s="10" customFormat="1" ht="18" customHeight="1">
      <c r="A1586" s="12"/>
      <c r="B1586" s="11"/>
      <c r="C1586" s="12" t="s">
        <v>1575</v>
      </c>
      <c r="D1586" s="12"/>
      <c r="E1586" s="12"/>
      <c r="F1586" s="12"/>
      <c r="G1586" s="12" t="s">
        <v>1584</v>
      </c>
      <c r="H1586" s="20"/>
      <c r="I1586" s="9" t="s">
        <v>1585</v>
      </c>
      <c r="J1586" s="24" t="str">
        <f>IF(shinsei_KAN_ZUMI_KENSAIN="","",shinsei_KAN_ZUMI_KENSAIN)</f>
        <v/>
      </c>
    </row>
    <row r="1587" spans="1:11" s="10" customFormat="1" ht="18" customHeight="1">
      <c r="A1587" s="12"/>
      <c r="B1587" s="11"/>
      <c r="C1587" s="12" t="s">
        <v>1577</v>
      </c>
      <c r="D1587" s="12"/>
      <c r="E1587" s="12"/>
      <c r="F1587" s="12"/>
      <c r="G1587" s="12"/>
      <c r="H1587" s="9"/>
      <c r="I1587" s="9" t="s">
        <v>1586</v>
      </c>
      <c r="J1587" s="22" t="str">
        <f>IF(shinsei_INSPECTION_TYPE="","",IF(cst_shinsei_INSPECTION_TYPE_class3="確認申請",cst_shinsei_KAKUNINZUMI_KENSAIN,IF(shinsei_INSPECTION_TYPE="中間検査",cst_shinsei_intermediate_GOUKAKU_KENSAIN,IF(shinsei_INSPECTION_TYPE="完了検査",cst_shinsei_KAN_ZUMI_KENSAIN))))</f>
        <v/>
      </c>
      <c r="K1587" s="10" t="s">
        <v>1587</v>
      </c>
    </row>
    <row r="1588" spans="1:11" s="10" customFormat="1" ht="18" customHeight="1">
      <c r="A1588" s="12"/>
      <c r="B1588" s="11"/>
      <c r="C1588" s="12" t="s">
        <v>11123</v>
      </c>
      <c r="D1588" s="12"/>
      <c r="E1588" s="12"/>
      <c r="F1588" s="12"/>
      <c r="G1588" s="12" t="s">
        <v>11124</v>
      </c>
      <c r="H1588" s="517"/>
      <c r="I1588" s="9" t="s">
        <v>11125</v>
      </c>
      <c r="J1588" s="22" t="str">
        <f>IF(shinsei_KOUZOU_ROUTE2_KENSA_USER_ID="","",shinsei_KOUZOU_ROUTE2_KENSA_USER_ID)</f>
        <v/>
      </c>
    </row>
    <row r="1589" spans="1:11" s="10" customFormat="1" ht="18" customHeight="1">
      <c r="A1589" s="12"/>
      <c r="B1589" s="11"/>
      <c r="C1589" s="12" t="s">
        <v>11126</v>
      </c>
      <c r="D1589" s="12"/>
      <c r="E1589" s="12"/>
      <c r="F1589" s="12"/>
      <c r="G1589" s="12" t="s">
        <v>11127</v>
      </c>
      <c r="H1589" s="517"/>
      <c r="I1589" s="9"/>
      <c r="J1589" s="516"/>
    </row>
    <row r="1590" spans="1:11" s="10" customFormat="1" ht="18" customHeight="1">
      <c r="A1590" s="12"/>
      <c r="B1590" s="12"/>
      <c r="C1590" s="12"/>
      <c r="D1590" s="12"/>
      <c r="E1590" s="12"/>
      <c r="F1590" s="12"/>
      <c r="G1590" s="12"/>
      <c r="H1590" s="9"/>
    </row>
    <row r="1591" spans="1:11" s="10" customFormat="1" ht="18" customHeight="1">
      <c r="A1591" s="11"/>
      <c r="B1591" s="12" t="s">
        <v>1588</v>
      </c>
      <c r="C1591" s="12"/>
      <c r="D1591" s="12"/>
      <c r="E1591" s="12"/>
      <c r="F1591" s="12"/>
      <c r="G1591" s="12"/>
      <c r="H1591" s="9"/>
      <c r="I1591" s="9"/>
      <c r="J1591" s="9"/>
    </row>
    <row r="1592" spans="1:11" s="10" customFormat="1" ht="18" customHeight="1">
      <c r="A1592" s="11"/>
      <c r="B1592" s="12"/>
      <c r="C1592" s="12" t="s">
        <v>1573</v>
      </c>
      <c r="D1592" s="12"/>
      <c r="E1592" s="12"/>
      <c r="F1592" s="12"/>
      <c r="G1592" s="12" t="s">
        <v>1589</v>
      </c>
      <c r="H1592" s="74"/>
      <c r="I1592" s="9" t="s">
        <v>1590</v>
      </c>
      <c r="J1592" s="87" t="str">
        <f>IF(shinsei_intermediate_KENSA_DATE="","",shinsei_intermediate_KENSA_DATE)</f>
        <v/>
      </c>
    </row>
    <row r="1593" spans="1:11" s="10" customFormat="1" ht="18" customHeight="1">
      <c r="A1593" s="11"/>
      <c r="B1593" s="12"/>
      <c r="C1593" s="12" t="s">
        <v>1575</v>
      </c>
      <c r="D1593" s="12"/>
      <c r="E1593" s="12"/>
      <c r="F1593" s="12"/>
      <c r="G1593" s="12" t="s">
        <v>1591</v>
      </c>
      <c r="H1593" s="74"/>
      <c r="I1593" s="9" t="s">
        <v>1592</v>
      </c>
      <c r="J1593" s="87" t="str">
        <f>IF(shinsei_KAN_HOUKOKU_KENSA_DATE="","",shinsei_KAN_HOUKOKU_KENSA_DATE)</f>
        <v/>
      </c>
    </row>
    <row r="1594" spans="1:11" s="10" customFormat="1" ht="18" customHeight="1">
      <c r="A1594" s="12"/>
      <c r="B1594" s="12"/>
      <c r="C1594" s="12" t="s">
        <v>1593</v>
      </c>
      <c r="D1594" s="12"/>
      <c r="E1594" s="12"/>
      <c r="F1594" s="12"/>
      <c r="G1594" s="11"/>
      <c r="I1594" s="9" t="s">
        <v>1594</v>
      </c>
      <c r="J1594" s="22" t="str">
        <f>IF(shinsei_INSPECTION_TYPE="","",IF(cst_shinsei_INSPECTION_TYPE_class3="確認申請","",IF(shinsei_INSPECTION_TYPE="中間検査",cst_shinsei_intermediate_KENSA_DATE,IF(shinsei_INSPECTION_TYPE="完了検査",cst_shinsei_KAN_HOUKOKU_KENSA_DATE))))</f>
        <v/>
      </c>
      <c r="K1594" s="10" t="s">
        <v>1587</v>
      </c>
    </row>
    <row r="1595" spans="1:11" s="10" customFormat="1" ht="18" customHeight="1">
      <c r="A1595" s="12"/>
      <c r="B1595" s="12"/>
      <c r="C1595" s="12"/>
      <c r="D1595" s="12"/>
      <c r="E1595" s="12"/>
      <c r="F1595" s="12"/>
      <c r="G1595" s="12"/>
      <c r="H1595" s="9"/>
      <c r="I1595" s="9" t="s">
        <v>1595</v>
      </c>
      <c r="J1595" s="22" t="str">
        <f ca="1">IF(cst_shinsei_KENSA_DATE="",cst_DISP__date,cst_shinsei_KENSA_DATE)</f>
        <v>令和      年      月      日</v>
      </c>
      <c r="K1595" s="10" t="s">
        <v>1596</v>
      </c>
    </row>
    <row r="1596" spans="1:11" s="10" customFormat="1" ht="18" customHeight="1">
      <c r="A1596" s="12"/>
      <c r="B1596" s="12" t="s">
        <v>1597</v>
      </c>
      <c r="C1596" s="12"/>
      <c r="D1596" s="12"/>
      <c r="E1596" s="12"/>
      <c r="F1596" s="12"/>
      <c r="G1596" s="12"/>
      <c r="H1596" s="9"/>
      <c r="I1596" s="9"/>
      <c r="J1596" s="9"/>
    </row>
    <row r="1597" spans="1:11" s="10" customFormat="1" ht="18" customHeight="1">
      <c r="A1597" s="12"/>
      <c r="B1597" s="11"/>
      <c r="C1597" s="12" t="s">
        <v>1573</v>
      </c>
      <c r="D1597" s="12"/>
      <c r="E1597" s="12"/>
      <c r="F1597" s="12"/>
      <c r="G1597" s="12" t="s">
        <v>1598</v>
      </c>
      <c r="H1597" s="20"/>
      <c r="I1597" s="9" t="s">
        <v>1599</v>
      </c>
      <c r="J1597" s="19" t="str">
        <f>IF(shinsei_Intermediate_GOUKAKU_TOKKI_JIKOU="","",shinsei_Intermediate_GOUKAKU_TOKKI_JIKOU)</f>
        <v/>
      </c>
    </row>
    <row r="1598" spans="1:11" s="10" customFormat="1" ht="18" customHeight="1">
      <c r="A1598" s="12"/>
      <c r="B1598" s="12"/>
      <c r="C1598" s="12" t="s">
        <v>1575</v>
      </c>
      <c r="D1598" s="12"/>
      <c r="E1598" s="12"/>
      <c r="F1598" s="12"/>
      <c r="G1598" s="12" t="s">
        <v>1600</v>
      </c>
      <c r="H1598" s="20"/>
      <c r="I1598" s="9" t="s">
        <v>1601</v>
      </c>
      <c r="J1598" s="19" t="str">
        <f>IF(shinsei_KAN_ZUMI_TOKKI_JIKOU="","",shinsei_KAN_ZUMI_TOKKI_JIKOU)</f>
        <v/>
      </c>
    </row>
    <row r="1599" spans="1:11" s="10" customFormat="1" ht="18" customHeight="1">
      <c r="A1599" s="12"/>
      <c r="B1599" s="12"/>
      <c r="C1599" s="12" t="s">
        <v>1593</v>
      </c>
      <c r="D1599" s="12"/>
      <c r="E1599" s="12"/>
      <c r="F1599" s="12"/>
      <c r="G1599" s="12"/>
      <c r="H1599" s="9"/>
      <c r="I1599" s="9" t="s">
        <v>1602</v>
      </c>
      <c r="J1599" s="129" t="str">
        <f>IF(shinsei_INSPECTION_TYPE="","",IF(cst_shinsei_INSPECTION_TYPE_class3="確認申請","",IF(shinsei_INSPECTION_TYPE="中間検査",cst_shinsei_Intermediate_GOUKAKU_TOKKI_JIKOU,IF(shinsei_INSPECTION_TYPE="完了検査",cst_shinsei_KAN_ZUMI_TOKKI_JIKOU))))</f>
        <v/>
      </c>
    </row>
    <row r="1600" spans="1:11" s="10" customFormat="1" ht="18" customHeight="1">
      <c r="A1600" s="12"/>
      <c r="B1600" s="12"/>
      <c r="C1600" s="12"/>
      <c r="D1600" s="12"/>
      <c r="E1600" s="12"/>
      <c r="F1600" s="12"/>
      <c r="G1600" s="12"/>
      <c r="H1600" s="9"/>
      <c r="I1600" s="10" t="s">
        <v>10945</v>
      </c>
      <c r="J1600" s="29" t="str">
        <f>IF(cst_shinsei_TOKKI_JIKOU="","なし",CHAR(10)&amp;cst_shinsei_TOKKI_JIKOU)</f>
        <v>なし</v>
      </c>
    </row>
    <row r="1601" spans="1:11" s="10" customFormat="1" ht="18" customHeight="1">
      <c r="A1601" s="12"/>
      <c r="B1601" s="12"/>
      <c r="C1601" s="12"/>
      <c r="D1601" s="12"/>
      <c r="E1601" s="12"/>
      <c r="F1601" s="12"/>
      <c r="G1601" s="12"/>
      <c r="H1601" s="9"/>
      <c r="I1601" s="10" t="s">
        <v>11375</v>
      </c>
      <c r="J1601" s="29" t="str">
        <f>IF(cst_shinsei_TOKKI_JIKOU="","　なし","　"&amp;cst_shinsei_TOKKI_JIKOU)</f>
        <v>　なし</v>
      </c>
    </row>
    <row r="1602" spans="1:11" s="10" customFormat="1" ht="18" customHeight="1">
      <c r="A1602" s="12"/>
      <c r="B1602" s="12"/>
      <c r="C1602" s="12"/>
      <c r="D1602" s="12"/>
      <c r="E1602" s="12"/>
      <c r="F1602" s="12"/>
      <c r="G1602" s="12"/>
      <c r="H1602" s="9"/>
    </row>
    <row r="1603" spans="1:11" s="10" customFormat="1" ht="18" customHeight="1">
      <c r="A1603" s="12"/>
      <c r="B1603" s="12" t="s">
        <v>1603</v>
      </c>
      <c r="C1603" s="12"/>
      <c r="D1603" s="12"/>
      <c r="E1603" s="12"/>
      <c r="F1603" s="12"/>
      <c r="G1603" s="12" t="s">
        <v>1604</v>
      </c>
      <c r="H1603" s="74"/>
      <c r="I1603" s="9" t="s">
        <v>1605</v>
      </c>
      <c r="J1603" s="89" t="str">
        <f>IF(shinsei_HOUKOKU_DATE="","",shinsei_HOUKOKU_DATE)</f>
        <v/>
      </c>
      <c r="K1603" s="10" t="s">
        <v>1606</v>
      </c>
    </row>
    <row r="1604" spans="1:11" s="10" customFormat="1" ht="18" customHeight="1">
      <c r="A1604" s="12"/>
      <c r="B1604" s="12"/>
      <c r="C1604" s="12"/>
      <c r="D1604" s="12"/>
      <c r="E1604" s="12"/>
      <c r="F1604" s="12"/>
      <c r="G1604" s="12"/>
      <c r="H1604" s="9"/>
      <c r="I1604" s="9" t="s">
        <v>9929</v>
      </c>
      <c r="J1604" s="29" t="str">
        <f ca="1">IF(shinsei_HOUKOKU_DATE="",cst_DISP__date,TEXT(shinsei_HOUKOKU_DATE,"ggg")&amp;"　"&amp;TEXT(shinsei_HOUKOKU_DATE,"e")&amp;"　年　"&amp;TEXT(shinsei_HOUKOKU_DATE,"m")&amp;"　月　"&amp;TEXT(shinsei_HOUKOKU_DATE,"d")&amp;"　日")</f>
        <v>令和      年      月      日</v>
      </c>
    </row>
    <row r="1605" spans="1:11" s="10" customFormat="1" ht="18" customHeight="1">
      <c r="A1605" s="12"/>
      <c r="B1605" s="12"/>
      <c r="C1605" s="12"/>
      <c r="D1605" s="12"/>
      <c r="E1605" s="12"/>
      <c r="F1605" s="12"/>
      <c r="G1605" s="12"/>
      <c r="H1605" s="9"/>
    </row>
    <row r="1606" spans="1:11" s="10" customFormat="1" ht="18" customHeight="1">
      <c r="A1606" s="12"/>
      <c r="B1606" s="12" t="s">
        <v>1607</v>
      </c>
      <c r="C1606" s="12"/>
      <c r="D1606" s="12"/>
      <c r="E1606" s="12"/>
      <c r="F1606" s="12"/>
      <c r="G1606" s="12" t="s">
        <v>1894</v>
      </c>
      <c r="H1606" s="20"/>
      <c r="I1606" s="10" t="s">
        <v>1608</v>
      </c>
      <c r="J1606" s="10" t="str">
        <f>IF(shinsei_ISSUETAB_MEMO="","",shinsei_ISSUETAB_MEMO)</f>
        <v/>
      </c>
    </row>
    <row r="1607" spans="1:11" s="10" customFormat="1" ht="18" customHeight="1">
      <c r="A1607" s="12"/>
      <c r="B1607" s="12"/>
      <c r="C1607" s="12"/>
      <c r="D1607" s="12"/>
      <c r="E1607" s="12"/>
      <c r="F1607" s="12"/>
      <c r="G1607" s="12"/>
      <c r="H1607" s="9"/>
    </row>
    <row r="1608" spans="1:11" s="10" customFormat="1" ht="18" customHeight="1">
      <c r="A1608" s="12"/>
      <c r="B1608" s="12"/>
      <c r="C1608" s="12"/>
      <c r="D1608" s="12"/>
      <c r="E1608" s="12"/>
      <c r="F1608" s="12"/>
      <c r="G1608" s="12"/>
      <c r="H1608" s="9"/>
    </row>
    <row r="1609" spans="1:11" s="10" customFormat="1" ht="18" customHeight="1">
      <c r="A1609" s="11"/>
      <c r="B1609" s="105" t="s">
        <v>11550</v>
      </c>
      <c r="C1609" s="105"/>
      <c r="D1609" s="105"/>
      <c r="E1609" s="105"/>
      <c r="F1609" s="105"/>
      <c r="G1609" s="12"/>
      <c r="H1609" s="9"/>
    </row>
    <row r="1610" spans="1:11" s="10" customFormat="1" ht="18" customHeight="1">
      <c r="A1610" s="12"/>
      <c r="B1610" s="12"/>
      <c r="C1610" s="12"/>
      <c r="D1610" s="12"/>
      <c r="E1610" s="12"/>
      <c r="F1610" s="12"/>
      <c r="G1610" s="12"/>
      <c r="H1610" s="9"/>
    </row>
    <row r="1611" spans="1:11" s="10" customFormat="1" ht="18" customHeight="1">
      <c r="A1611" s="11"/>
      <c r="B1611" s="12"/>
      <c r="C1611" s="12" t="s">
        <v>1612</v>
      </c>
      <c r="D1611" s="12"/>
      <c r="E1611" s="12"/>
      <c r="F1611" s="12"/>
      <c r="G1611" s="12" t="s">
        <v>1613</v>
      </c>
      <c r="H1611" s="13" t="s">
        <v>11787</v>
      </c>
      <c r="I1611" s="9" t="s">
        <v>1614</v>
      </c>
      <c r="J1611" s="19" t="str">
        <f>IF(shinsei_KAKU_SUMI_NO="","",shinsei_KAKU_SUMI_NO)</f>
        <v/>
      </c>
    </row>
    <row r="1612" spans="1:11" s="10" customFormat="1" ht="18" customHeight="1">
      <c r="A1612" s="11"/>
      <c r="B1612" s="12"/>
      <c r="C1612" s="12"/>
      <c r="D1612" s="12"/>
      <c r="E1612" s="12"/>
      <c r="F1612" s="12"/>
      <c r="G1612" s="12"/>
      <c r="H1612" s="12"/>
      <c r="I1612" s="9" t="s">
        <v>11168</v>
      </c>
      <c r="J1612" s="517" t="str">
        <f>IF(shinsei_KAKU_SUMI_NO="","",IF(ISERROR(FIND("第",shinsei_KAKU_SUMI_NO)),"第 "&amp;shinsei_KAKU_SUMI_NO,shinsei_KAKU_SUMI_NO))</f>
        <v/>
      </c>
    </row>
    <row r="1613" spans="1:11" s="10" customFormat="1" ht="18" customHeight="1">
      <c r="A1613" s="11"/>
      <c r="B1613" s="12"/>
      <c r="C1613" s="12"/>
      <c r="D1613" s="12"/>
      <c r="E1613" s="12"/>
      <c r="F1613" s="12"/>
      <c r="G1613" s="12"/>
      <c r="H1613" s="12"/>
      <c r="I1613" s="9" t="s">
        <v>11169</v>
      </c>
      <c r="J1613" s="517" t="str">
        <f>IF(shinsei_KAKU_SUMI_NO="","",IF(ISERROR(FIND("号",cst_shinsei_KAKU_SUMI_NO__top)),cst_shinsei_KAKU_SUMI_NO__top&amp;" 号",cst_shinsei_KAKU_SUMI_NO__top))</f>
        <v/>
      </c>
    </row>
    <row r="1614" spans="1:11" s="10" customFormat="1" ht="18" customHeight="1">
      <c r="A1614" s="11"/>
      <c r="B1614" s="12"/>
      <c r="C1614" s="12"/>
      <c r="D1614" s="12"/>
      <c r="E1614" s="12"/>
      <c r="F1614" s="12"/>
      <c r="G1614" s="11"/>
      <c r="I1614" s="9" t="s">
        <v>1615</v>
      </c>
      <c r="J1614" s="22" t="str">
        <f>IF(shinsei_KAKU_SUMI_NO="",cst_DISP__sign,cst_shinsei_KAKU_SUMI_NO__bottom)</f>
        <v>第          号</v>
      </c>
      <c r="K1614" s="10" t="s">
        <v>1564</v>
      </c>
    </row>
    <row r="1615" spans="1:11" s="10" customFormat="1" ht="18" customHeight="1">
      <c r="A1615" s="11"/>
      <c r="B1615" s="12"/>
      <c r="C1615" s="12"/>
      <c r="D1615" s="12"/>
      <c r="E1615" s="12"/>
      <c r="F1615" s="12"/>
      <c r="G1615" s="11"/>
      <c r="I1615" s="9" t="s">
        <v>10712</v>
      </c>
      <c r="J1615" s="22" t="str">
        <f>IF(shinsei_KAKU_SUMI_NO="","",cst_shinsei_KAKU_SUMI_NO__bottom)</f>
        <v/>
      </c>
      <c r="K1615" s="10" t="s">
        <v>1564</v>
      </c>
    </row>
    <row r="1616" spans="1:11" s="10" customFormat="1" ht="18" customHeight="1">
      <c r="A1616" s="12"/>
      <c r="B1616" s="12"/>
      <c r="C1616" s="12"/>
      <c r="D1616" s="12"/>
      <c r="E1616" s="12"/>
      <c r="F1616" s="12"/>
      <c r="G1616" s="12"/>
      <c r="H1616" s="9"/>
    </row>
    <row r="1617" spans="1:16" s="10" customFormat="1" ht="18" customHeight="1">
      <c r="A1617" s="11"/>
      <c r="B1617" s="12"/>
      <c r="C1617" s="12" t="s">
        <v>1616</v>
      </c>
      <c r="D1617" s="12"/>
      <c r="E1617" s="12"/>
      <c r="F1617" s="12"/>
      <c r="G1617" s="12" t="s">
        <v>1617</v>
      </c>
      <c r="H1617" s="74"/>
      <c r="I1617" s="10" t="s">
        <v>1618</v>
      </c>
      <c r="J1617" s="106" t="str">
        <f>IF(shinsei_KAKU_SUMI_KOUFU_DATE="","",shinsei_KAKU_SUMI_KOUFU_DATE)</f>
        <v/>
      </c>
    </row>
    <row r="1618" spans="1:16" s="10" customFormat="1" ht="18" customHeight="1">
      <c r="A1618" s="11"/>
      <c r="B1618" s="14"/>
      <c r="C1618" s="12"/>
      <c r="D1618" s="12"/>
      <c r="E1618" s="12"/>
      <c r="F1618" s="12"/>
      <c r="G1618" s="11"/>
      <c r="I1618" s="9" t="s">
        <v>1619</v>
      </c>
      <c r="J1618" s="88" t="str">
        <f ca="1">IF(shinsei_KAKU_SUMI_KOUFU_DATE="",cst_DISP__date,shinsei_KAKU_SUMI_KOUFU_DATE)</f>
        <v>令和      年      月      日</v>
      </c>
      <c r="K1618" s="10" t="s">
        <v>1596</v>
      </c>
    </row>
    <row r="1619" spans="1:16" s="10" customFormat="1" ht="18" customHeight="1">
      <c r="A1619" s="12"/>
      <c r="B1619" s="12"/>
      <c r="C1619" s="12"/>
      <c r="D1619" s="12"/>
      <c r="E1619" s="12"/>
      <c r="F1619" s="12"/>
      <c r="G1619" s="12"/>
      <c r="H1619" s="9"/>
      <c r="I1619" s="9" t="s">
        <v>9930</v>
      </c>
      <c r="J1619" s="88" t="str">
        <f ca="1">IF(shinsei_KAKU_SUMI_KOUFU_DATE="",cst_DISP__date,TEXT(shinsei_KAKU_SUMI_KOUFU_DATE,"ggg")&amp;"　"&amp;TEXT(shinsei_KAKU_SUMI_KOUFU_DATE,"e")&amp;"　年　"&amp;TEXT(shinsei_KAKU_SUMI_KOUFU_DATE,"m")&amp;"　月　"&amp;TEXT(shinsei_KAKU_SUMI_KOUFU_DATE,"d")&amp;"　日")</f>
        <v>令和      年      月      日</v>
      </c>
    </row>
    <row r="1620" spans="1:16" s="10" customFormat="1" ht="18" customHeight="1">
      <c r="A1620" s="12"/>
      <c r="B1620" s="12"/>
      <c r="C1620" s="12"/>
      <c r="D1620" s="12"/>
      <c r="E1620" s="12"/>
      <c r="F1620" s="12"/>
      <c r="G1620" s="12"/>
      <c r="H1620" s="9"/>
      <c r="I1620" s="9" t="s">
        <v>10711</v>
      </c>
      <c r="J1620" s="88" t="str">
        <f>IF(shinsei_KAKU_SUMI_KOUFU_DATE="","",TEXT(shinsei_KAKU_SUMI_KOUFU_DATE,"ggg")&amp;"　"&amp;TEXT(shinsei_KAKU_SUMI_KOUFU_DATE,"e")&amp;"　年　"&amp;TEXT(shinsei_KAKU_SUMI_KOUFU_DATE,"m")&amp;"　月　"&amp;TEXT(shinsei_KAKU_SUMI_KOUFU_DATE,"d")&amp;"　日")</f>
        <v/>
      </c>
    </row>
    <row r="1621" spans="1:16" s="10" customFormat="1" ht="18" customHeight="1">
      <c r="A1621" s="12"/>
      <c r="B1621" s="12"/>
      <c r="C1621" s="12"/>
      <c r="D1621" s="12"/>
      <c r="E1621" s="12"/>
      <c r="F1621" s="12"/>
      <c r="G1621" s="12"/>
      <c r="H1621" s="9"/>
    </row>
    <row r="1622" spans="1:16" s="10" customFormat="1" ht="18" customHeight="1">
      <c r="A1622" s="11"/>
      <c r="B1622" s="12"/>
      <c r="C1622" s="12" t="s">
        <v>1620</v>
      </c>
      <c r="D1622" s="12"/>
      <c r="E1622" s="12"/>
      <c r="F1622" s="12"/>
      <c r="G1622" s="12" t="s">
        <v>1621</v>
      </c>
      <c r="H1622" s="13" t="s">
        <v>11787</v>
      </c>
      <c r="I1622" s="9" t="s">
        <v>1622</v>
      </c>
      <c r="J1622" s="19" t="str">
        <f>IF(shinsei_KAKU_SUMI_KOUFU_NAME="","",shinsei_KAKU_SUMI_KOUFU_NAME)</f>
        <v/>
      </c>
    </row>
    <row r="1623" spans="1:16" s="10" customFormat="1" ht="18" customHeight="1">
      <c r="A1623" s="11"/>
      <c r="B1623" s="12"/>
      <c r="C1623" s="12"/>
      <c r="D1623" s="12"/>
      <c r="E1623" s="12"/>
      <c r="F1623" s="12"/>
      <c r="G1623" s="12"/>
      <c r="I1623" s="9" t="s">
        <v>1623</v>
      </c>
      <c r="J1623" s="107" t="str">
        <f>IF(ISERROR(SEARCH("代表",shinsei_KAKU_SUMI_KOUFU_NAME)),IF(ISERROR(SEARCH("建築主事",shinsei_KAKU_SUMI_KOUFU_NAME)),IF(ISERROR(SEARCH("理事長",shinsei_KAKU_SUMI_KOUFU_NAME)),IF(ISERROR(SEARCH("会長",shinsei_KAKU_SUMI_KOUFU_NAME)),cst_shinsei_KAKU_SUMI_KOUFU_NAME,SUBSTITUTE(shinsei_KAKU_SUMI_KOUFU_NAME,"会長",CHAR(10)&amp;"会長")),SUBSTITUTE(shinsei_KAKU_SUMI_KOUFU_NAME,"理事長",CHAR(10)&amp;"理事長")),SUBSTITUTE(shinsei_KAKU_SUMI_KOUFU_NAME,"建築主事",CHAR(10)&amp;"建築主事")),SUBSTITUTE(shinsei_KAKU_SUMI_KOUFU_NAME,"代表",CHAR(10)&amp;"代表"))</f>
        <v/>
      </c>
      <c r="K1623" s="10" t="s">
        <v>1624</v>
      </c>
    </row>
    <row r="1624" spans="1:16" s="10" customFormat="1" ht="18" customHeight="1">
      <c r="A1624" s="12"/>
      <c r="B1624" s="12"/>
      <c r="C1624" s="12"/>
      <c r="D1624" s="12"/>
      <c r="E1624" s="12"/>
      <c r="F1624" s="12"/>
      <c r="G1624" s="12"/>
      <c r="H1624" s="9"/>
    </row>
    <row r="1625" spans="1:16" s="10" customFormat="1" ht="18" customHeight="1">
      <c r="A1625" s="11"/>
      <c r="B1625" s="12"/>
      <c r="C1625" s="12" t="s">
        <v>11551</v>
      </c>
      <c r="D1625" s="12"/>
      <c r="E1625" s="12"/>
      <c r="F1625" s="12"/>
      <c r="G1625" s="6" t="s">
        <v>9916</v>
      </c>
      <c r="H1625" s="74"/>
      <c r="I1625" s="7" t="s">
        <v>1609</v>
      </c>
      <c r="J1625" s="89" t="str">
        <f>IF(kakaru_shinsei_ACCEPT_DATE="","",kakaru_shinsei_ACCEPT_DATE)</f>
        <v/>
      </c>
    </row>
    <row r="1626" spans="1:16" s="10" customFormat="1" ht="18" customHeight="1">
      <c r="A1626" s="11"/>
      <c r="B1626" s="12"/>
      <c r="C1626" s="12" t="s">
        <v>11552</v>
      </c>
      <c r="D1626" s="12"/>
      <c r="E1626" s="12"/>
      <c r="F1626" s="12"/>
      <c r="G1626" s="6" t="s">
        <v>9917</v>
      </c>
      <c r="H1626" s="74"/>
      <c r="I1626" s="7" t="s">
        <v>1610</v>
      </c>
      <c r="J1626" s="89" t="str">
        <f>IF(kakaru_shinsei_HIKIUKE_DATE="","",kakaru_shinsei_HIKIUKE_DATE)</f>
        <v/>
      </c>
    </row>
    <row r="1627" spans="1:16" s="10" customFormat="1" ht="18" customHeight="1">
      <c r="A1627" s="11"/>
      <c r="B1627" s="12"/>
      <c r="C1627" s="12" t="s">
        <v>11553</v>
      </c>
      <c r="D1627" s="12"/>
      <c r="E1627" s="12"/>
      <c r="F1627" s="12"/>
      <c r="G1627" s="12" t="s">
        <v>9918</v>
      </c>
      <c r="H1627" s="13" t="s">
        <v>11787</v>
      </c>
      <c r="I1627" s="9" t="s">
        <v>1611</v>
      </c>
      <c r="J1627" s="19" t="str">
        <f>IF(kakaru_shinsei_UKETUKE_NO="","",kakaru_shinsei_UKETUKE_NO)</f>
        <v/>
      </c>
    </row>
    <row r="1628" spans="1:16" s="10" customFormat="1" ht="18" customHeight="1">
      <c r="A1628" s="11"/>
      <c r="B1628" s="11"/>
      <c r="C1628" s="11" t="s">
        <v>11554</v>
      </c>
      <c r="D1628" s="11"/>
      <c r="E1628" s="11"/>
      <c r="F1628" s="11"/>
      <c r="G1628" s="11" t="s">
        <v>9921</v>
      </c>
      <c r="H1628" s="34" t="s">
        <v>11787</v>
      </c>
      <c r="J1628" s="81"/>
    </row>
    <row r="1629" spans="1:16" s="10" customFormat="1" ht="18" customHeight="1">
      <c r="A1629" s="11"/>
      <c r="B1629" s="11"/>
      <c r="C1629" s="11" t="s">
        <v>11555</v>
      </c>
      <c r="D1629" s="11"/>
      <c r="E1629" s="11"/>
      <c r="F1629" s="11"/>
      <c r="G1629" s="11" t="s">
        <v>9922</v>
      </c>
      <c r="H1629" s="74"/>
      <c r="I1629" s="10" t="s">
        <v>1625</v>
      </c>
      <c r="J1629" s="108" t="str">
        <f>IF(kakaru_shinsei_ISSUE_DATE="","",kakaru_shinsei_ISSUE_DATE)</f>
        <v/>
      </c>
    </row>
    <row r="1630" spans="1:16" s="47" customFormat="1" ht="18" customHeight="1">
      <c r="A1630" s="46"/>
      <c r="B1630" s="46"/>
      <c r="C1630" s="46"/>
      <c r="D1630" s="46"/>
      <c r="E1630" s="46"/>
      <c r="F1630" s="46"/>
      <c r="G1630" s="46"/>
      <c r="K1630" s="48"/>
      <c r="N1630" s="46"/>
      <c r="O1630" s="79"/>
      <c r="P1630" s="79"/>
    </row>
    <row r="1631" spans="1:16" s="10" customFormat="1" ht="18" customHeight="1">
      <c r="A1631" s="11"/>
      <c r="B1631" s="11"/>
      <c r="C1631" s="11" t="s">
        <v>11556</v>
      </c>
      <c r="D1631" s="11"/>
      <c r="E1631" s="11"/>
      <c r="F1631" s="11"/>
      <c r="G1631" s="11" t="s">
        <v>9923</v>
      </c>
      <c r="H1631" s="13" t="s">
        <v>11787</v>
      </c>
      <c r="J1631" s="81"/>
    </row>
    <row r="1632" spans="1:16" s="10" customFormat="1" ht="18" customHeight="1">
      <c r="A1632" s="11"/>
      <c r="B1632" s="11"/>
      <c r="C1632" s="11" t="s">
        <v>11557</v>
      </c>
      <c r="D1632" s="11"/>
      <c r="E1632" s="11"/>
      <c r="F1632" s="11"/>
      <c r="G1632" s="11" t="s">
        <v>9924</v>
      </c>
      <c r="H1632" s="34" t="s">
        <v>11787</v>
      </c>
      <c r="J1632" s="81"/>
    </row>
    <row r="1633" spans="1:27" s="47" customFormat="1" ht="18" customHeight="1">
      <c r="A1633" s="46"/>
      <c r="B1633" s="46"/>
      <c r="C1633" s="46"/>
      <c r="D1633" s="46"/>
      <c r="E1633" s="46"/>
      <c r="F1633" s="46"/>
      <c r="G1633" s="46"/>
      <c r="K1633" s="48"/>
      <c r="L1633" s="46"/>
      <c r="M1633" s="79"/>
      <c r="N1633" s="79"/>
    </row>
    <row r="1634" spans="1:27" s="10" customFormat="1" ht="18" customHeight="1">
      <c r="A1634" s="12"/>
      <c r="B1634" s="12"/>
      <c r="C1634" s="12" t="s">
        <v>11545</v>
      </c>
      <c r="D1634" s="12"/>
      <c r="E1634" s="12"/>
      <c r="F1634" s="12"/>
      <c r="G1634" s="12" t="s">
        <v>11541</v>
      </c>
      <c r="H1634" s="74"/>
    </row>
    <row r="1635" spans="1:27" s="10" customFormat="1" ht="18" customHeight="1">
      <c r="A1635" s="12"/>
      <c r="B1635" s="12"/>
      <c r="C1635" s="12"/>
      <c r="D1635" s="12"/>
      <c r="E1635" s="12" t="s">
        <v>75</v>
      </c>
      <c r="F1635" s="12"/>
      <c r="G1635" s="12"/>
      <c r="H1635" s="9"/>
      <c r="I1635" s="12" t="s">
        <v>11542</v>
      </c>
      <c r="J1635" s="548" t="str">
        <f>IF(kakaru_shinsei_FIRE_SUBMIT_DATE="","",TEXT(kakaru_shinsei_FIRE_SUBMIT_DATE,"ggge"))</f>
        <v/>
      </c>
    </row>
    <row r="1636" spans="1:27" s="10" customFormat="1" ht="18" customHeight="1">
      <c r="A1636" s="12"/>
      <c r="B1636" s="12"/>
      <c r="C1636" s="12"/>
      <c r="D1636" s="12"/>
      <c r="E1636" s="12" t="s">
        <v>74</v>
      </c>
      <c r="F1636" s="12"/>
      <c r="G1636" s="12"/>
      <c r="H1636" s="9"/>
      <c r="I1636" s="12" t="s">
        <v>11543</v>
      </c>
      <c r="J1636" s="548" t="str">
        <f>IF(kakaru_shinsei_FIRE_SUBMIT_DATE="","",TEXT(kakaru_shinsei_FIRE_SUBMIT_DATE,"m"))</f>
        <v/>
      </c>
    </row>
    <row r="1637" spans="1:27" s="10" customFormat="1" ht="18" customHeight="1">
      <c r="A1637" s="12"/>
      <c r="B1637" s="12"/>
      <c r="C1637" s="12"/>
      <c r="D1637" s="12"/>
      <c r="E1637" s="12" t="s">
        <v>11027</v>
      </c>
      <c r="F1637" s="12"/>
      <c r="G1637" s="12"/>
      <c r="H1637" s="9"/>
      <c r="I1637" s="12" t="s">
        <v>11544</v>
      </c>
      <c r="J1637" s="548" t="str">
        <f>IF(kakaru_shinsei_FIRE_SUBMIT_DATE="","",TEXT(kakaru_shinsei_FIRE_SUBMIT_DATE,"d"))</f>
        <v/>
      </c>
    </row>
    <row r="1638" spans="1:27" s="10" customFormat="1" ht="18" customHeight="1">
      <c r="A1638" s="12"/>
      <c r="B1638" s="12"/>
      <c r="C1638" s="12"/>
      <c r="D1638" s="12"/>
      <c r="E1638" s="12"/>
      <c r="F1638" s="12"/>
      <c r="G1638" s="12"/>
      <c r="H1638" s="9"/>
    </row>
    <row r="1639" spans="1:27" s="10" customFormat="1" ht="18" customHeight="1">
      <c r="A1639" s="12"/>
      <c r="B1639" s="12"/>
      <c r="C1639" s="12"/>
      <c r="D1639" s="12"/>
      <c r="E1639" s="12"/>
      <c r="F1639" s="12"/>
      <c r="G1639" s="12"/>
      <c r="H1639" s="9"/>
    </row>
    <row r="1640" spans="1:27" s="10" customFormat="1" ht="18" customHeight="1">
      <c r="A1640" s="11"/>
      <c r="B1640" s="105" t="s">
        <v>11558</v>
      </c>
      <c r="C1640" s="105"/>
      <c r="D1640" s="105"/>
      <c r="E1640" s="105"/>
      <c r="F1640" s="105"/>
      <c r="G1640" s="12"/>
      <c r="H1640" s="9"/>
    </row>
    <row r="1641" spans="1:27" s="10" customFormat="1" ht="18" customHeight="1">
      <c r="A1641" s="12"/>
      <c r="B1641" s="12"/>
      <c r="C1641" s="12"/>
      <c r="D1641" s="12"/>
      <c r="E1641" s="12"/>
      <c r="F1641" s="12"/>
      <c r="G1641" s="12"/>
      <c r="H1641" s="9"/>
    </row>
    <row r="1642" spans="1:27" s="10" customFormat="1" ht="18" customHeight="1">
      <c r="A1642" s="12"/>
      <c r="B1642" s="12"/>
      <c r="C1642" s="12" t="s">
        <v>11567</v>
      </c>
      <c r="D1642" s="12"/>
      <c r="E1642" s="12"/>
      <c r="F1642" s="12"/>
      <c r="G1642" s="12"/>
      <c r="H1642" s="9"/>
    </row>
    <row r="1643" spans="1:27" s="18" customFormat="1" ht="18" customHeight="1">
      <c r="A1643" s="14"/>
      <c r="B1643" s="14"/>
      <c r="C1643" s="12" t="s">
        <v>11559</v>
      </c>
      <c r="D1643" s="12"/>
      <c r="E1643" s="12"/>
      <c r="F1643" s="12"/>
      <c r="G1643" s="12" t="s">
        <v>11171</v>
      </c>
      <c r="H1643" s="74"/>
      <c r="I1643" s="27"/>
      <c r="J1643" s="27"/>
      <c r="M1643" s="117"/>
      <c r="N1643" s="117"/>
      <c r="O1643" s="117"/>
      <c r="P1643" s="117"/>
      <c r="Q1643" s="117"/>
      <c r="X1643" s="27"/>
      <c r="Y1643" s="27"/>
      <c r="AA1643" s="27"/>
    </row>
    <row r="1644" spans="1:27" s="18" customFormat="1" ht="18" customHeight="1">
      <c r="A1644" s="14"/>
      <c r="B1644" s="14"/>
      <c r="C1644" s="14"/>
      <c r="D1644" s="12"/>
      <c r="E1644" s="12"/>
      <c r="F1644" s="12"/>
      <c r="G1644" s="12"/>
      <c r="H1644" s="80"/>
      <c r="I1644" s="27" t="s">
        <v>11176</v>
      </c>
      <c r="J1644" s="513" t="str">
        <f>IF(shinsei_HEN_SUMI_KOUFU_DATE="","",TEXT(shinsei_HEN_SUMI_KOUFU_DATE,"ggg")&amp;"　"&amp;TEXT(shinsei_HEN_SUMI_KOUFU_DATE,"e")&amp;"　年　"&amp;TEXT(shinsei_HEN_SUMI_KOUFU_DATE,"m")&amp;"　月　"&amp;TEXT(shinsei_HEN_SUMI_KOUFU_DATE,"d")&amp;"　日")</f>
        <v/>
      </c>
      <c r="M1644" s="117"/>
      <c r="N1644" s="117"/>
      <c r="O1644" s="117"/>
      <c r="P1644" s="117"/>
      <c r="Q1644" s="117"/>
      <c r="X1644" s="27"/>
      <c r="Y1644" s="27"/>
      <c r="AA1644" s="27"/>
    </row>
    <row r="1645" spans="1:27" s="18" customFormat="1" ht="18" customHeight="1">
      <c r="A1645" s="14"/>
      <c r="B1645" s="14"/>
      <c r="C1645" s="12" t="s">
        <v>11560</v>
      </c>
      <c r="D1645" s="12"/>
      <c r="E1645" s="12"/>
      <c r="F1645" s="12"/>
      <c r="G1645" s="12" t="s">
        <v>11170</v>
      </c>
      <c r="H1645" s="13" t="s">
        <v>11787</v>
      </c>
      <c r="I1645" s="27"/>
      <c r="J1645" s="27"/>
      <c r="M1645" s="117"/>
      <c r="N1645" s="117"/>
      <c r="O1645" s="117"/>
      <c r="P1645" s="117"/>
      <c r="Q1645" s="117"/>
      <c r="X1645" s="27"/>
      <c r="Y1645" s="27"/>
      <c r="AA1645" s="27"/>
    </row>
    <row r="1646" spans="1:27" s="18" customFormat="1" ht="18" customHeight="1">
      <c r="A1646" s="14"/>
      <c r="B1646" s="14"/>
      <c r="C1646" s="14"/>
      <c r="D1646" s="12"/>
      <c r="E1646" s="12"/>
      <c r="F1646" s="12"/>
      <c r="G1646" s="12"/>
      <c r="H1646" s="12"/>
      <c r="I1646" s="12" t="s">
        <v>11175</v>
      </c>
      <c r="J1646" s="513" t="str">
        <f>IF(shinsei_HEN_SUMI_NO="","",cst_shinsei_HEN_SUMI_NO__bottom)</f>
        <v/>
      </c>
      <c r="M1646" s="117"/>
      <c r="N1646" s="117"/>
      <c r="O1646" s="117"/>
      <c r="P1646" s="117"/>
      <c r="Q1646" s="117"/>
      <c r="X1646" s="27"/>
      <c r="Y1646" s="27"/>
      <c r="AA1646" s="27"/>
    </row>
    <row r="1647" spans="1:27" s="10" customFormat="1" ht="18" customHeight="1">
      <c r="A1647" s="11"/>
      <c r="B1647" s="12"/>
      <c r="C1647" s="12"/>
      <c r="D1647" s="12"/>
      <c r="E1647" s="12"/>
      <c r="F1647" s="12"/>
      <c r="G1647" s="12"/>
      <c r="H1647" s="12"/>
      <c r="I1647" s="12" t="s">
        <v>11173</v>
      </c>
      <c r="J1647" s="517" t="str">
        <f>IF(shinsei_HEN_SUMI_NO="","",IF(ISERROR(FIND("第",shinsei_HEN_SUMI_NO)),"第 "&amp;shinsei_HEN_SUMI_NO,shinsei_HEN_SUMI_NO))</f>
        <v/>
      </c>
    </row>
    <row r="1648" spans="1:27" s="10" customFormat="1" ht="18" customHeight="1">
      <c r="A1648" s="11"/>
      <c r="B1648" s="12"/>
      <c r="C1648" s="12"/>
      <c r="D1648" s="12"/>
      <c r="E1648" s="12"/>
      <c r="F1648" s="12"/>
      <c r="G1648" s="12"/>
      <c r="H1648" s="12"/>
      <c r="I1648" s="12" t="s">
        <v>11174</v>
      </c>
      <c r="J1648" s="517" t="str">
        <f>IF(shinsei_HEN_SUMI_NO="","",IF(ISERROR(FIND("号",cst_shinsei_HEN_SUMI_NO__top)),cst_shinsei_HEN_SUMI_NO__top&amp;" 号",cst_shinsei_HEN_SUMI_NO__top))</f>
        <v/>
      </c>
    </row>
    <row r="1649" spans="1:27" s="18" customFormat="1" ht="18" customHeight="1">
      <c r="A1649" s="14"/>
      <c r="B1649" s="14"/>
      <c r="C1649" s="12" t="s">
        <v>11561</v>
      </c>
      <c r="D1649" s="12"/>
      <c r="E1649" s="12"/>
      <c r="F1649" s="12"/>
      <c r="G1649" s="12" t="s">
        <v>11172</v>
      </c>
      <c r="H1649" s="13" t="s">
        <v>11787</v>
      </c>
      <c r="I1649" s="27"/>
      <c r="J1649" s="27"/>
      <c r="M1649" s="117"/>
      <c r="N1649" s="117"/>
      <c r="O1649" s="117"/>
      <c r="P1649" s="117"/>
      <c r="Q1649" s="117"/>
      <c r="X1649" s="27"/>
      <c r="Y1649" s="27"/>
      <c r="AA1649" s="27"/>
    </row>
    <row r="1650" spans="1:27" s="18" customFormat="1" ht="18" customHeight="1">
      <c r="A1650" s="14"/>
      <c r="B1650" s="14"/>
      <c r="C1650" s="14"/>
      <c r="D1650" s="12"/>
      <c r="E1650" s="12"/>
      <c r="F1650" s="12"/>
      <c r="G1650" s="12"/>
      <c r="H1650" s="104"/>
      <c r="I1650" s="27"/>
      <c r="J1650" s="27"/>
      <c r="M1650" s="117"/>
      <c r="N1650" s="117"/>
      <c r="O1650" s="117"/>
      <c r="P1650" s="117"/>
      <c r="Q1650" s="117"/>
      <c r="X1650" s="27"/>
      <c r="Y1650" s="27"/>
      <c r="AA1650" s="27"/>
    </row>
    <row r="1651" spans="1:27" s="10" customFormat="1" ht="18" customHeight="1">
      <c r="A1651" s="12"/>
      <c r="B1651" s="12"/>
      <c r="C1651" s="12"/>
      <c r="D1651" s="12"/>
      <c r="E1651" s="12"/>
      <c r="F1651" s="12"/>
      <c r="G1651" s="12"/>
      <c r="H1651" s="9"/>
    </row>
    <row r="1652" spans="1:27" s="10" customFormat="1" ht="18" customHeight="1">
      <c r="A1652" s="12"/>
      <c r="B1652" s="12"/>
      <c r="C1652" s="12" t="s">
        <v>11562</v>
      </c>
      <c r="D1652" s="12"/>
      <c r="E1652" s="12"/>
      <c r="F1652" s="12"/>
      <c r="G1652" s="12"/>
      <c r="H1652" s="9"/>
    </row>
    <row r="1653" spans="1:27" s="10" customFormat="1" ht="18" customHeight="1">
      <c r="A1653" s="12"/>
      <c r="B1653" s="12"/>
      <c r="C1653" s="12"/>
      <c r="D1653" s="12"/>
      <c r="E1653" s="12"/>
      <c r="F1653" s="12"/>
      <c r="G1653" s="12"/>
      <c r="H1653" s="9"/>
    </row>
    <row r="1654" spans="1:27" s="10" customFormat="1" ht="18" customHeight="1">
      <c r="A1654" s="12"/>
      <c r="B1654" s="12"/>
      <c r="C1654" s="12" t="s">
        <v>11563</v>
      </c>
      <c r="D1654" s="12"/>
      <c r="F1654" s="12"/>
      <c r="G1654" s="12" t="s">
        <v>11572</v>
      </c>
      <c r="H1654" s="9"/>
    </row>
    <row r="1655" spans="1:27" s="10" customFormat="1" ht="18" customHeight="1">
      <c r="A1655" s="12"/>
      <c r="B1655" s="12"/>
      <c r="C1655" s="12" t="s">
        <v>11564</v>
      </c>
      <c r="D1655" s="12"/>
      <c r="F1655" s="12"/>
      <c r="G1655" s="12" t="s">
        <v>11573</v>
      </c>
      <c r="H1655" s="9"/>
    </row>
    <row r="1656" spans="1:27" s="10" customFormat="1" ht="18" customHeight="1">
      <c r="A1656" s="12"/>
      <c r="B1656" s="12"/>
      <c r="C1656" s="12" t="s">
        <v>11565</v>
      </c>
      <c r="D1656" s="12"/>
      <c r="F1656" s="12"/>
      <c r="G1656" s="12" t="s">
        <v>11574</v>
      </c>
      <c r="H1656" s="9"/>
    </row>
    <row r="1657" spans="1:27" s="10" customFormat="1" ht="18" customHeight="1">
      <c r="A1657" s="12"/>
      <c r="B1657" s="12"/>
      <c r="C1657" s="12" t="s">
        <v>11566</v>
      </c>
      <c r="E1657" s="12"/>
      <c r="F1657" s="12"/>
      <c r="G1657" s="12" t="s">
        <v>11575</v>
      </c>
      <c r="H1657" s="9"/>
    </row>
    <row r="1658" spans="1:27" s="10" customFormat="1" ht="18" customHeight="1">
      <c r="A1658" s="12"/>
      <c r="B1658" s="12"/>
      <c r="C1658" s="12"/>
      <c r="D1658" s="12"/>
      <c r="E1658" s="12"/>
      <c r="F1658" s="12"/>
      <c r="G1658" s="12"/>
      <c r="H1658" s="9"/>
    </row>
    <row r="1659" spans="1:27" s="10" customFormat="1" ht="18" customHeight="1">
      <c r="A1659" s="12"/>
      <c r="B1659" s="12"/>
      <c r="C1659" s="12" t="s">
        <v>11568</v>
      </c>
      <c r="D1659" s="12"/>
      <c r="E1659" s="12"/>
      <c r="F1659" s="12"/>
      <c r="G1659" s="12" t="s">
        <v>11569</v>
      </c>
      <c r="H1659" s="74"/>
    </row>
    <row r="1660" spans="1:27" s="10" customFormat="1" ht="18" customHeight="1">
      <c r="A1660" s="12"/>
      <c r="B1660" s="12"/>
      <c r="C1660" s="12"/>
      <c r="D1660" s="12"/>
      <c r="E1660" s="12" t="s">
        <v>75</v>
      </c>
      <c r="F1660" s="12"/>
      <c r="G1660" s="12"/>
      <c r="H1660" s="9"/>
      <c r="I1660" s="12" t="s">
        <v>11570</v>
      </c>
      <c r="J1660" s="548" t="str">
        <f>IF(cyokuzen_shinsei_FIRE_SUBMIT_DATE="","",TEXT(cyokuzen_shinsei_FIRE_SUBMIT_DATE,"ggge"))</f>
        <v/>
      </c>
    </row>
    <row r="1661" spans="1:27" s="10" customFormat="1" ht="18" customHeight="1">
      <c r="A1661" s="12"/>
      <c r="B1661" s="12"/>
      <c r="C1661" s="12"/>
      <c r="D1661" s="12"/>
      <c r="E1661" s="12" t="s">
        <v>74</v>
      </c>
      <c r="F1661" s="12"/>
      <c r="G1661" s="12"/>
      <c r="H1661" s="9"/>
      <c r="I1661" s="12" t="s">
        <v>11576</v>
      </c>
      <c r="J1661" s="548" t="str">
        <f>IF(cyokuzen_shinsei_FIRE_SUBMIT_DATE="","",TEXT(cyokuzen_shinsei_FIRE_SUBMIT_DATE,"m"))</f>
        <v/>
      </c>
    </row>
    <row r="1662" spans="1:27" s="10" customFormat="1" ht="18" customHeight="1">
      <c r="A1662" s="12"/>
      <c r="B1662" s="12"/>
      <c r="C1662" s="12"/>
      <c r="D1662" s="12"/>
      <c r="E1662" s="12" t="s">
        <v>11027</v>
      </c>
      <c r="F1662" s="12"/>
      <c r="G1662" s="12"/>
      <c r="H1662" s="9"/>
      <c r="I1662" s="12" t="s">
        <v>11571</v>
      </c>
      <c r="J1662" s="548" t="str">
        <f>IF(cyokuzen_shinsei_FIRE_SUBMIT_DATE="","",TEXT(cyokuzen_shinsei_FIRE_SUBMIT_DATE,"d"))</f>
        <v/>
      </c>
    </row>
    <row r="1663" spans="1:27" s="10" customFormat="1" ht="18" customHeight="1">
      <c r="A1663" s="12"/>
      <c r="B1663" s="12"/>
      <c r="C1663" s="12"/>
      <c r="D1663" s="12"/>
      <c r="E1663" s="12"/>
      <c r="F1663" s="12"/>
      <c r="G1663" s="12"/>
      <c r="H1663" s="9"/>
    </row>
    <row r="1664" spans="1:27" s="10" customFormat="1" ht="18" customHeight="1">
      <c r="A1664" s="12"/>
      <c r="B1664" s="12"/>
      <c r="C1664" s="12"/>
      <c r="D1664" s="12"/>
      <c r="E1664" s="12"/>
      <c r="F1664" s="12"/>
      <c r="G1664" s="12"/>
      <c r="H1664" s="9"/>
    </row>
    <row r="1665" spans="1:13" s="10" customFormat="1" ht="18" customHeight="1">
      <c r="A1665" s="12"/>
      <c r="B1665" s="12"/>
      <c r="C1665" s="12"/>
      <c r="D1665" s="12"/>
      <c r="E1665" s="12"/>
      <c r="F1665" s="12"/>
      <c r="G1665" s="12"/>
      <c r="H1665" s="9"/>
    </row>
    <row r="1666" spans="1:13" s="10" customFormat="1" ht="18" customHeight="1">
      <c r="A1666" s="101" t="s">
        <v>1626</v>
      </c>
      <c r="B1666" s="101"/>
      <c r="C1666" s="101"/>
      <c r="D1666" s="101"/>
      <c r="E1666" s="101"/>
      <c r="F1666" s="101"/>
      <c r="G1666" s="101"/>
      <c r="H1666" s="9"/>
    </row>
    <row r="1667" spans="1:13" s="10" customFormat="1" ht="18" customHeight="1">
      <c r="A1667" s="12"/>
      <c r="B1667" s="12"/>
      <c r="C1667" s="12"/>
      <c r="D1667" s="12"/>
      <c r="E1667" s="12"/>
      <c r="F1667" s="12"/>
      <c r="G1667" s="12"/>
      <c r="H1667" s="9"/>
    </row>
    <row r="1668" spans="1:13" s="10" customFormat="1" ht="18" customHeight="1">
      <c r="A1668" s="11"/>
      <c r="B1668" s="12" t="s">
        <v>1627</v>
      </c>
      <c r="C1668" s="11"/>
      <c r="D1668" s="11"/>
      <c r="E1668" s="12"/>
      <c r="F1668" s="12"/>
      <c r="G1668" s="11"/>
      <c r="I1668" s="10" t="s">
        <v>5120</v>
      </c>
      <c r="J1668" s="422" t="str">
        <f ca="1">cst_shinsei_xx_NOTIFY_DATE</f>
        <v/>
      </c>
    </row>
    <row r="1669" spans="1:13" s="111" customFormat="1" ht="18" customHeight="1">
      <c r="A1669" s="109"/>
      <c r="B1669" s="109"/>
      <c r="C1669" s="110"/>
      <c r="D1669" s="110"/>
      <c r="E1669" s="109"/>
      <c r="F1669" s="109"/>
      <c r="G1669" s="109"/>
      <c r="I1669" s="9" t="s">
        <v>1974</v>
      </c>
      <c r="J1669" s="112" t="str">
        <f ca="1">IF(cst_shinsei__NOTIFY_DATE="",cst_DISP__date,cst_shinsei__NOTIFY_DATE)</f>
        <v>令和      年      月      日</v>
      </c>
      <c r="K1669" s="18"/>
    </row>
    <row r="1670" spans="1:13" s="10" customFormat="1" ht="18" customHeight="1">
      <c r="A1670" s="12"/>
      <c r="B1670" s="12"/>
      <c r="C1670" s="12"/>
      <c r="D1670" s="12"/>
      <c r="E1670" s="12"/>
      <c r="F1670" s="12"/>
      <c r="G1670" s="11"/>
      <c r="J1670" s="45"/>
    </row>
    <row r="1671" spans="1:13" s="10" customFormat="1" ht="18" customHeight="1">
      <c r="A1671" s="12"/>
      <c r="B1671" s="12"/>
      <c r="C1671" s="12"/>
      <c r="D1671" s="12"/>
      <c r="E1671" s="12"/>
      <c r="F1671" s="12"/>
      <c r="G1671" s="11"/>
      <c r="J1671" s="45"/>
    </row>
    <row r="1672" spans="1:13" s="10" customFormat="1" ht="18" customHeight="1">
      <c r="A1672" s="12"/>
      <c r="B1672" s="12"/>
      <c r="C1672" s="12"/>
      <c r="D1672" s="12"/>
      <c r="E1672" s="12"/>
      <c r="F1672" s="12"/>
      <c r="G1672" s="11"/>
      <c r="J1672" s="45"/>
    </row>
    <row r="1673" spans="1:13" s="10" customFormat="1" ht="18" customHeight="1">
      <c r="A1673" s="12"/>
      <c r="B1673" s="12"/>
      <c r="C1673" s="12"/>
      <c r="D1673" s="12"/>
      <c r="E1673" s="12"/>
      <c r="F1673" s="12"/>
      <c r="G1673" s="12"/>
      <c r="H1673" s="9"/>
      <c r="I1673" s="9"/>
    </row>
    <row r="1674" spans="1:13" s="10" customFormat="1" ht="18" customHeight="1">
      <c r="A1674" s="101" t="s">
        <v>1628</v>
      </c>
      <c r="B1674" s="101"/>
      <c r="C1674" s="101"/>
      <c r="D1674" s="101"/>
      <c r="E1674" s="101"/>
      <c r="F1674" s="101"/>
      <c r="G1674" s="101"/>
      <c r="H1674" s="9"/>
      <c r="L1674" s="45"/>
      <c r="M1674" s="45"/>
    </row>
    <row r="1675" spans="1:13" s="10" customFormat="1" ht="18" customHeight="1">
      <c r="A1675" s="11"/>
      <c r="B1675" s="11"/>
      <c r="C1675" s="12"/>
      <c r="D1675" s="12"/>
      <c r="E1675" s="12"/>
      <c r="F1675" s="12"/>
      <c r="G1675" s="11"/>
      <c r="J1675" s="45"/>
    </row>
    <row r="1676" spans="1:13" s="10" customFormat="1" ht="18" customHeight="1">
      <c r="A1676" s="11"/>
      <c r="B1676" s="12" t="s">
        <v>1629</v>
      </c>
      <c r="C1676" s="12"/>
      <c r="D1676" s="12"/>
      <c r="E1676" s="12"/>
      <c r="F1676" s="12"/>
      <c r="G1676" s="12" t="s">
        <v>1630</v>
      </c>
      <c r="H1676" s="13" t="s">
        <v>11787</v>
      </c>
      <c r="I1676" s="9" t="s">
        <v>1631</v>
      </c>
      <c r="J1676" s="19" t="str">
        <f>IF(shinsei_STRUCTRESULT_NOTIFY_KOUFU_NAME="","",shinsei_STRUCTRESULT_NOTIFY_KOUFU_NAME)</f>
        <v/>
      </c>
    </row>
    <row r="1677" spans="1:13" s="10" customFormat="1" ht="18" customHeight="1">
      <c r="A1677" s="11"/>
      <c r="B1677" s="11"/>
      <c r="C1677" s="9" t="s">
        <v>1632</v>
      </c>
      <c r="D1677" s="9"/>
      <c r="E1677" s="9"/>
      <c r="F1677" s="9"/>
      <c r="G1677" s="9" t="s">
        <v>1895</v>
      </c>
      <c r="H1677" s="20"/>
      <c r="L1677" s="45"/>
      <c r="M1677" s="45"/>
    </row>
    <row r="1678" spans="1:13" s="10" customFormat="1" ht="18" customHeight="1">
      <c r="A1678" s="11"/>
      <c r="B1678" s="11"/>
      <c r="C1678" s="12"/>
      <c r="D1678" s="11"/>
      <c r="E1678" s="12"/>
      <c r="F1678" s="12"/>
      <c r="G1678" s="12"/>
      <c r="H1678" s="9"/>
      <c r="L1678" s="45"/>
      <c r="M1678" s="45"/>
    </row>
    <row r="1679" spans="1:13" s="10" customFormat="1" ht="18" customHeight="1">
      <c r="A1679" s="11"/>
      <c r="B1679" s="11"/>
      <c r="C1679" s="12"/>
      <c r="D1679" s="11"/>
      <c r="E1679" s="12"/>
      <c r="F1679" s="12"/>
      <c r="G1679" s="12"/>
      <c r="H1679" s="9"/>
      <c r="L1679" s="45"/>
      <c r="M1679" s="45"/>
    </row>
    <row r="1680" spans="1:13" ht="18" customHeight="1">
      <c r="B1680" s="12" t="s">
        <v>1633</v>
      </c>
      <c r="C1680" s="12"/>
      <c r="D1680" s="12"/>
      <c r="E1680" s="12"/>
      <c r="F1680" s="12"/>
      <c r="G1680" s="12" t="s">
        <v>1896</v>
      </c>
      <c r="H1680" s="40"/>
      <c r="I1680" s="7" t="s">
        <v>1635</v>
      </c>
      <c r="J1680" s="102">
        <f>IF(shinsei_STR_SHINSEI_TOWERS="",0,shinsei_STR_SHINSEI_TOWERS)</f>
        <v>0</v>
      </c>
    </row>
    <row r="1681" spans="1:13" ht="18" customHeight="1">
      <c r="G1681" s="5"/>
      <c r="I1681" s="7" t="s">
        <v>1636</v>
      </c>
      <c r="J1681" s="28" t="e">
        <f>ROUNDUP(cst_shinsei_STR_SHINSEI_TOWERS/4,0)</f>
        <v>#VALUE!</v>
      </c>
    </row>
    <row r="1682" spans="1:13" ht="18" customHeight="1">
      <c r="G1682" s="5"/>
    </row>
    <row r="1683" spans="1:13" ht="18" customHeight="1">
      <c r="B1683" s="5" t="s">
        <v>1637</v>
      </c>
      <c r="F1683" s="442" t="s">
        <v>9967</v>
      </c>
      <c r="H1683" s="99">
        <f>shinsei_strtower01_JUDGE</f>
        <v>0</v>
      </c>
      <c r="I1683" s="7" t="s">
        <v>1638</v>
      </c>
      <c r="J1683" s="40" t="str">
        <f>IF(shinsei_strtower01_JUDGE="","",shinsei_strtower01_JUDGE)</f>
        <v/>
      </c>
    </row>
    <row r="1684" spans="1:13" ht="18" customHeight="1">
      <c r="G1684" s="5"/>
    </row>
    <row r="1685" spans="1:13" ht="18" customHeight="1">
      <c r="B1685" s="5" t="s">
        <v>1639</v>
      </c>
      <c r="G1685" s="5" t="s">
        <v>3876</v>
      </c>
      <c r="H1685" s="40"/>
      <c r="I1685" s="7" t="s">
        <v>1640</v>
      </c>
      <c r="J1685" s="40" t="str">
        <f>IF(firstconf_shinsei_strtower01_JUDGE="","",firstconf_shinsei_strtower01_JUDGE)</f>
        <v/>
      </c>
    </row>
    <row r="1686" spans="1:13" ht="18" customHeight="1">
      <c r="G1686" s="5"/>
    </row>
    <row r="1687" spans="1:13" ht="18" customHeight="1">
      <c r="B1687" s="12" t="s">
        <v>1641</v>
      </c>
      <c r="C1687" s="12"/>
      <c r="D1687" s="12"/>
      <c r="E1687" s="12"/>
      <c r="F1687" s="12"/>
      <c r="G1687" s="12" t="s">
        <v>5032</v>
      </c>
      <c r="H1687" s="74"/>
    </row>
    <row r="1688" spans="1:13" ht="18" customHeight="1">
      <c r="B1688" s="12" t="s">
        <v>1642</v>
      </c>
      <c r="C1688" s="12"/>
      <c r="D1688" s="12"/>
      <c r="E1688" s="12"/>
      <c r="F1688" s="12"/>
      <c r="G1688" s="12" t="s">
        <v>5060</v>
      </c>
      <c r="H1688" s="74"/>
    </row>
    <row r="1689" spans="1:13" s="10" customFormat="1" ht="18" customHeight="1">
      <c r="A1689" s="11"/>
      <c r="B1689" s="12" t="s">
        <v>1643</v>
      </c>
      <c r="C1689" s="12"/>
      <c r="D1689" s="12"/>
      <c r="E1689" s="12"/>
      <c r="F1689" s="125" t="s">
        <v>9968</v>
      </c>
      <c r="H1689" s="443">
        <f>shinsei_STRIRAI_TEKIHAN_ACCEPT_DATE</f>
        <v>0</v>
      </c>
      <c r="I1689" s="10" t="s">
        <v>1644</v>
      </c>
      <c r="J1689" s="113" t="str">
        <f>IF(shinsei_STRIRAI_TEKIHAN_ACCEPT_DATE="","",shinsei_STRIRAI_TEKIHAN_ACCEPT_DATE)</f>
        <v/>
      </c>
    </row>
    <row r="1690" spans="1:13" s="10" customFormat="1" ht="18" customHeight="1">
      <c r="A1690" s="11"/>
      <c r="B1690" s="12" t="s">
        <v>1645</v>
      </c>
      <c r="C1690" s="12"/>
      <c r="D1690" s="12"/>
      <c r="E1690" s="12"/>
      <c r="F1690" s="125" t="s">
        <v>9969</v>
      </c>
      <c r="H1690" s="127" t="str">
        <f>shinsei_STRIRAI_TEKIHAN_ACCEPT_NO</f>
        <v/>
      </c>
      <c r="I1690" s="10" t="s">
        <v>1647</v>
      </c>
      <c r="J1690" s="23" t="str">
        <f>IF(shinsei_STRIRAI_TEKIHAN_ACCEPT_NO="","",shinsei_STRIRAI_TEKIHAN_ACCEPT_NO)</f>
        <v/>
      </c>
    </row>
    <row r="1691" spans="1:13" s="10" customFormat="1" ht="18" customHeight="1">
      <c r="A1691" s="11"/>
      <c r="B1691" s="86" t="s">
        <v>1648</v>
      </c>
      <c r="C1691" s="86"/>
      <c r="D1691" s="86"/>
      <c r="E1691" s="86"/>
      <c r="F1691" s="86"/>
      <c r="G1691" s="86" t="s">
        <v>5072</v>
      </c>
      <c r="H1691" s="74"/>
      <c r="L1691" s="45"/>
      <c r="M1691" s="45"/>
    </row>
    <row r="1692" spans="1:13" s="10" customFormat="1" ht="18" customHeight="1">
      <c r="A1692" s="11"/>
      <c r="B1692" s="12" t="s">
        <v>1649</v>
      </c>
      <c r="C1692" s="12"/>
      <c r="D1692" s="12"/>
      <c r="E1692" s="86"/>
      <c r="F1692" s="86"/>
      <c r="G1692" s="86" t="s">
        <v>5087</v>
      </c>
      <c r="H1692" s="74"/>
      <c r="L1692" s="45"/>
      <c r="M1692" s="45"/>
    </row>
    <row r="1693" spans="1:13" s="10" customFormat="1" ht="18" customHeight="1">
      <c r="A1693" s="11"/>
      <c r="B1693" s="5" t="s">
        <v>1650</v>
      </c>
      <c r="C1693" s="12"/>
      <c r="D1693" s="11"/>
      <c r="E1693" s="12"/>
      <c r="F1693" s="12"/>
      <c r="G1693" s="12"/>
      <c r="H1693" s="9"/>
      <c r="I1693" s="47" t="s">
        <v>1651</v>
      </c>
      <c r="J1693" s="112" t="str">
        <f>IF(cst__button_kind="","",IF(cst_shinsei_xx_STRUCT_TUIKA_NOTIFT_DATE="","",cst_shinsei_xx_STRUCT_TUIKA_NOTIFT_DATE))</f>
        <v/>
      </c>
      <c r="L1693" s="45"/>
      <c r="M1693" s="45"/>
    </row>
    <row r="1694" spans="1:13" s="10" customFormat="1" ht="18" customHeight="1">
      <c r="A1694" s="11"/>
      <c r="B1694" s="14" t="s">
        <v>1652</v>
      </c>
      <c r="C1694" s="12"/>
      <c r="D1694" s="11"/>
      <c r="E1694" s="12"/>
      <c r="F1694" s="12"/>
      <c r="G1694" s="12"/>
      <c r="H1694" s="9"/>
      <c r="I1694" s="16" t="s">
        <v>1654</v>
      </c>
      <c r="J1694" s="112" t="str">
        <f>IF(cst__button_kind="","",IF(cst_shinsei_xx_STRUCT_HENKOU_NOTIFT_DATE="","",cst_shinsei_xx_STRUCT_HENKOU_NOTIFT_DATE))</f>
        <v/>
      </c>
      <c r="L1694" s="45"/>
      <c r="M1694" s="45"/>
    </row>
    <row r="1695" spans="1:13" s="10" customFormat="1" ht="18" customHeight="1">
      <c r="A1695" s="11"/>
      <c r="B1695" s="11"/>
      <c r="C1695" s="12"/>
      <c r="D1695" s="11"/>
      <c r="E1695" s="12"/>
      <c r="F1695" s="12"/>
      <c r="G1695" s="12"/>
      <c r="H1695" s="9"/>
      <c r="L1695" s="45"/>
      <c r="M1695" s="45"/>
    </row>
    <row r="1696" spans="1:13" s="10" customFormat="1" ht="18" customHeight="1">
      <c r="A1696" s="11"/>
      <c r="B1696" s="12" t="s">
        <v>1655</v>
      </c>
      <c r="C1696" s="12"/>
      <c r="D1696" s="12"/>
      <c r="E1696" s="12"/>
      <c r="F1696" s="12"/>
      <c r="G1696" s="12"/>
      <c r="H1696" s="9"/>
      <c r="I1696" s="9"/>
      <c r="J1696" s="9"/>
    </row>
    <row r="1697" spans="1:13" s="10" customFormat="1" ht="18" customHeight="1">
      <c r="A1697" s="11"/>
      <c r="B1697" s="12"/>
      <c r="C1697" s="12" t="s">
        <v>4405</v>
      </c>
      <c r="D1697" s="12"/>
      <c r="E1697" s="12"/>
      <c r="F1697" s="12"/>
      <c r="G1697" s="12" t="s">
        <v>1656</v>
      </c>
      <c r="H1697" s="74"/>
      <c r="I1697" s="10" t="s">
        <v>1657</v>
      </c>
      <c r="J1697" s="106" t="str">
        <f>IF(shinsei_STRUCTRESULT_NOTIFY_DATE="","",shinsei_STRUCTRESULT_NOTIFY_DATE)</f>
        <v/>
      </c>
    </row>
    <row r="1698" spans="1:13" s="10" customFormat="1" ht="18" customHeight="1">
      <c r="A1698" s="11"/>
      <c r="B1698" s="12"/>
      <c r="C1698" s="12" t="s">
        <v>1658</v>
      </c>
      <c r="D1698" s="12"/>
      <c r="E1698" s="12"/>
      <c r="F1698" s="12"/>
      <c r="G1698" s="12" t="s">
        <v>1659</v>
      </c>
      <c r="H1698" s="13" t="s">
        <v>11787</v>
      </c>
      <c r="I1698" s="10" t="s">
        <v>1660</v>
      </c>
      <c r="J1698" s="19" t="str">
        <f>IF(shinsei_STRUCTRESULT_NOTIFY_NO="","",shinsei_STRUCTRESULT_NOTIFY_NO)</f>
        <v/>
      </c>
    </row>
    <row r="1699" spans="1:13" s="10" customFormat="1" ht="18" customHeight="1">
      <c r="A1699" s="11"/>
      <c r="B1699" s="12"/>
      <c r="C1699" s="12" t="s">
        <v>1661</v>
      </c>
      <c r="D1699" s="12"/>
      <c r="E1699" s="12"/>
      <c r="F1699" s="12"/>
      <c r="G1699" s="12" t="s">
        <v>1662</v>
      </c>
      <c r="H1699" s="20"/>
      <c r="I1699" s="10" t="s">
        <v>1664</v>
      </c>
      <c r="J1699" s="24" t="str">
        <f>IF(shinsei_STRUCTRESULT_NOTIFY_RESULT="","",shinsei_STRUCTRESULT_NOTIFY_RESULT)</f>
        <v/>
      </c>
    </row>
    <row r="1700" spans="1:13" s="10" customFormat="1" ht="18" customHeight="1">
      <c r="A1700" s="11"/>
      <c r="B1700" s="12"/>
      <c r="C1700" s="12" t="s">
        <v>1666</v>
      </c>
      <c r="D1700" s="12"/>
      <c r="E1700" s="12"/>
      <c r="F1700" s="12"/>
      <c r="G1700" s="12" t="s">
        <v>1667</v>
      </c>
      <c r="H1700" s="20"/>
      <c r="I1700" s="9"/>
      <c r="J1700" s="9"/>
    </row>
    <row r="1701" spans="1:13" s="10" customFormat="1" ht="18" customHeight="1">
      <c r="A1701" s="11"/>
      <c r="B1701" s="11"/>
      <c r="C1701" s="12"/>
      <c r="D1701" s="11"/>
      <c r="E1701" s="12"/>
      <c r="F1701" s="12"/>
      <c r="G1701" s="12"/>
      <c r="H1701" s="9"/>
      <c r="L1701" s="45"/>
      <c r="M1701" s="45"/>
    </row>
    <row r="1702" spans="1:13" s="10" customFormat="1" ht="18" customHeight="1">
      <c r="A1702" s="11"/>
      <c r="B1702" s="11"/>
      <c r="C1702" s="12"/>
      <c r="D1702" s="11"/>
      <c r="E1702" s="12"/>
      <c r="F1702" s="12"/>
      <c r="G1702" s="12"/>
      <c r="H1702" s="9"/>
      <c r="L1702" s="45"/>
      <c r="M1702" s="45"/>
    </row>
    <row r="1703" spans="1:13" s="10" customFormat="1" ht="18" customHeight="1">
      <c r="A1703" s="11"/>
      <c r="B1703" s="11"/>
      <c r="C1703" s="12"/>
      <c r="D1703" s="11"/>
      <c r="E1703" s="12"/>
      <c r="F1703" s="12"/>
      <c r="G1703" s="12"/>
      <c r="H1703" s="9"/>
      <c r="L1703" s="45"/>
      <c r="M1703" s="45"/>
    </row>
    <row r="1704" spans="1:13" s="10" customFormat="1" ht="18" customHeight="1">
      <c r="A1704" s="11"/>
      <c r="B1704" s="11"/>
      <c r="C1704" s="12"/>
      <c r="D1704" s="11"/>
      <c r="E1704" s="12"/>
      <c r="F1704" s="12"/>
      <c r="G1704" s="12"/>
      <c r="H1704" s="9"/>
      <c r="L1704" s="45"/>
      <c r="M1704" s="45"/>
    </row>
    <row r="1705" spans="1:13" s="10" customFormat="1" ht="18" customHeight="1">
      <c r="A1705" s="101" t="s">
        <v>345</v>
      </c>
      <c r="B1705" s="101"/>
      <c r="C1705" s="101"/>
      <c r="D1705" s="101"/>
      <c r="E1705" s="101"/>
      <c r="F1705" s="101"/>
      <c r="G1705" s="101"/>
      <c r="H1705" s="9"/>
      <c r="L1705" s="45"/>
      <c r="M1705" s="45"/>
    </row>
    <row r="1706" spans="1:13" s="10" customFormat="1" ht="18" customHeight="1">
      <c r="A1706" s="11"/>
      <c r="B1706" s="11"/>
      <c r="C1706" s="12"/>
      <c r="D1706" s="11"/>
      <c r="E1706" s="12"/>
      <c r="F1706" s="12"/>
      <c r="G1706" s="12"/>
      <c r="H1706" s="9"/>
      <c r="L1706" s="45"/>
      <c r="M1706" s="45"/>
    </row>
    <row r="1707" spans="1:13" s="10" customFormat="1" ht="18" customHeight="1">
      <c r="A1707" s="11"/>
      <c r="B1707" s="11" t="s">
        <v>346</v>
      </c>
      <c r="C1707" s="12"/>
      <c r="D1707" s="11"/>
      <c r="E1707" s="12"/>
      <c r="F1707" s="12"/>
      <c r="G1707" s="12"/>
      <c r="H1707" s="9"/>
      <c r="L1707" s="45"/>
      <c r="M1707" s="45"/>
    </row>
    <row r="1708" spans="1:13" s="10" customFormat="1" ht="18" customHeight="1">
      <c r="A1708" s="11"/>
      <c r="B1708" s="11" t="s">
        <v>347</v>
      </c>
      <c r="C1708" s="12"/>
      <c r="D1708" s="11"/>
      <c r="E1708" s="12"/>
      <c r="F1708" s="12"/>
      <c r="G1708" s="12"/>
      <c r="H1708" s="9"/>
      <c r="L1708" s="45"/>
      <c r="M1708" s="45"/>
    </row>
    <row r="1709" spans="1:13" s="10" customFormat="1" ht="18" customHeight="1">
      <c r="A1709" s="11"/>
      <c r="B1709" s="11"/>
      <c r="C1709" s="12"/>
      <c r="D1709" s="11"/>
      <c r="E1709" s="12"/>
      <c r="F1709" s="12"/>
      <c r="G1709" s="12"/>
      <c r="H1709" s="9"/>
      <c r="L1709" s="45"/>
      <c r="M1709" s="45"/>
    </row>
    <row r="1710" spans="1:13" s="10" customFormat="1" ht="18" customHeight="1">
      <c r="A1710" s="11"/>
      <c r="B1710" s="11"/>
      <c r="C1710" s="12" t="s">
        <v>348</v>
      </c>
      <c r="D1710" s="11"/>
      <c r="E1710" s="12"/>
      <c r="F1710" s="12"/>
      <c r="G1710" s="12"/>
      <c r="H1710" s="9"/>
      <c r="I1710" s="10" t="s">
        <v>351</v>
      </c>
      <c r="J1710" s="25" t="str">
        <f>IF(OR(shinsei_UKETUKE_OFFICE_ID__ID=1,shinsei_UKETUKE_OFFICE_ID__ID=2,shinsei_UKETUKE_OFFICE_ID__ID=4),"","（裏面）")</f>
        <v/>
      </c>
      <c r="L1710" s="45"/>
      <c r="M1710" s="45"/>
    </row>
    <row r="1711" spans="1:13" s="10" customFormat="1" ht="18" customHeight="1">
      <c r="A1711" s="11"/>
      <c r="B1711" s="11"/>
      <c r="C1711" s="12"/>
      <c r="D1711" s="11"/>
      <c r="E1711" s="12"/>
      <c r="F1711" s="12"/>
      <c r="G1711" s="12"/>
      <c r="H1711" s="9"/>
      <c r="L1711" s="45"/>
      <c r="M1711" s="45"/>
    </row>
    <row r="1712" spans="1:13" s="10" customFormat="1" ht="18" customHeight="1">
      <c r="A1712" s="11"/>
      <c r="B1712" s="11"/>
      <c r="C1712" s="12" t="s">
        <v>349</v>
      </c>
      <c r="D1712" s="11"/>
      <c r="E1712" s="12"/>
      <c r="F1712" s="12"/>
      <c r="G1712" s="12"/>
      <c r="H1712" s="9"/>
      <c r="I1712" s="10" t="s">
        <v>352</v>
      </c>
      <c r="J1712" s="25" t="str">
        <f>IF(OR(shinsei_UKETUKE_OFFICE_ID__ID=1,shinsei_UKETUKE_OFFICE_ID__ID=2,shinsei_UKETUKE_OFFICE_ID__ID=4),"","注意事項：")</f>
        <v/>
      </c>
      <c r="L1712" s="45"/>
      <c r="M1712" s="45"/>
    </row>
    <row r="1713" spans="1:13" s="10" customFormat="1" ht="18" customHeight="1">
      <c r="A1713" s="11"/>
      <c r="B1713" s="11"/>
      <c r="C1713" s="12"/>
      <c r="D1713" s="11"/>
      <c r="E1713" s="12"/>
      <c r="F1713" s="12"/>
      <c r="G1713" s="12"/>
      <c r="H1713" s="9"/>
      <c r="L1713" s="45"/>
      <c r="M1713" s="45"/>
    </row>
    <row r="1714" spans="1:13" s="10" customFormat="1" ht="18" customHeight="1">
      <c r="A1714" s="11"/>
      <c r="B1714" s="11"/>
      <c r="C1714" s="12" t="s">
        <v>350</v>
      </c>
      <c r="D1714" s="11"/>
      <c r="E1714" s="12"/>
      <c r="F1714" s="12"/>
      <c r="G1714" s="12"/>
      <c r="H1714" s="9"/>
      <c r="I1714" s="10" t="s">
        <v>353</v>
      </c>
      <c r="J1714" s="25" t="str">
        <f>IF(OR(shinsei_UKETUKE_OFFICE_ID__ID=1,shinsei_UKETUKE_OFFICE_ID__ID=2,shinsei_UKETUKE_OFFICE_ID__ID=4),"","①決裁者が病院・出張その他止むを得ない事由により不在であり、かつ当該業務の執行が急を要する場合においては、決裁者が属する部署の他の担当部長が当該決裁を代行する。")</f>
        <v/>
      </c>
      <c r="L1714" s="45"/>
      <c r="M1714" s="45"/>
    </row>
    <row r="1715" spans="1:13" s="10" customFormat="1" ht="18" customHeight="1">
      <c r="A1715" s="11"/>
      <c r="B1715" s="11"/>
      <c r="C1715" s="12"/>
      <c r="D1715" s="11"/>
      <c r="E1715" s="12"/>
      <c r="F1715" s="12"/>
      <c r="G1715" s="12"/>
      <c r="H1715" s="9"/>
      <c r="L1715" s="45"/>
      <c r="M1715" s="45"/>
    </row>
    <row r="1716" spans="1:13" s="10" customFormat="1" ht="18" customHeight="1">
      <c r="A1716" s="11"/>
      <c r="B1716" s="11"/>
      <c r="C1716" s="12"/>
      <c r="D1716" s="11"/>
      <c r="E1716" s="12"/>
      <c r="F1716" s="12"/>
      <c r="G1716" s="12"/>
      <c r="H1716" s="9"/>
      <c r="L1716" s="45"/>
      <c r="M1716" s="45"/>
    </row>
    <row r="1717" spans="1:13" s="10" customFormat="1" ht="18" customHeight="1">
      <c r="A1717" s="11"/>
      <c r="B1717" s="11"/>
      <c r="C1717" s="12"/>
      <c r="D1717" s="11"/>
      <c r="E1717" s="12"/>
      <c r="F1717" s="12"/>
      <c r="G1717" s="12"/>
      <c r="H1717" s="9"/>
      <c r="L1717" s="45"/>
      <c r="M1717" s="45"/>
    </row>
    <row r="1718" spans="1:13" s="10" customFormat="1" ht="18" customHeight="1">
      <c r="A1718" s="11"/>
      <c r="B1718" s="11"/>
      <c r="C1718" s="12"/>
      <c r="D1718" s="12"/>
      <c r="E1718" s="12"/>
      <c r="F1718" s="12"/>
      <c r="G1718" s="11"/>
      <c r="J1718" s="45"/>
    </row>
    <row r="1719" spans="1:13" s="10" customFormat="1" ht="18" customHeight="1">
      <c r="A1719" s="8" t="s">
        <v>1668</v>
      </c>
      <c r="B1719" s="31"/>
      <c r="C1719" s="8"/>
      <c r="D1719" s="8"/>
      <c r="E1719" s="8"/>
      <c r="F1719" s="8"/>
      <c r="G1719" s="31"/>
      <c r="J1719" s="45"/>
    </row>
    <row r="1720" spans="1:13" s="10" customFormat="1" ht="18" customHeight="1">
      <c r="A1720" s="12"/>
      <c r="B1720" s="11"/>
      <c r="C1720" s="12"/>
      <c r="D1720" s="12"/>
      <c r="E1720" s="12"/>
      <c r="F1720" s="12"/>
      <c r="G1720" s="11"/>
      <c r="J1720" s="45"/>
    </row>
    <row r="1721" spans="1:13" s="9" customFormat="1" ht="18" customHeight="1">
      <c r="A1721" s="12"/>
      <c r="B1721" s="12" t="s">
        <v>1669</v>
      </c>
      <c r="C1721" s="12"/>
      <c r="D1721" s="12"/>
      <c r="E1721" s="12"/>
      <c r="F1721" s="12"/>
      <c r="G1721" s="11"/>
      <c r="K1721" s="10"/>
    </row>
    <row r="1722" spans="1:13" s="10" customFormat="1" ht="18" customHeight="1">
      <c r="A1722" s="11"/>
      <c r="B1722" s="11"/>
      <c r="C1722" s="11"/>
      <c r="D1722" s="11" t="s">
        <v>1670</v>
      </c>
      <c r="E1722" s="11"/>
      <c r="F1722" s="11"/>
      <c r="G1722" s="11"/>
      <c r="I1722" s="10" t="s">
        <v>1671</v>
      </c>
      <c r="J1722" s="419" t="str">
        <f ca="1">IF(cst_shinsei_REPORT_DEST_SYUJI_NAME__decision="","",IF(OR(RIGHT(cst_shinsei_REPORT_DEST_SYUJI_NAME__decision)="課",RIGHT(cst_shinsei_REPORT_DEST_SYUJI_NAME__decision)="庁"),SUBSTITUTE(cst_shinsei_REPORT_DEST_SYUJI_NAME__decision,"　",CHAR(10))&amp;"　御中",SUBSTITUTE(cst_shinsei_REPORT_DEST_SYUJI_NAME__decision,"　",CHAR(10))&amp;"　様"))</f>
        <v>東大阪市建築主事　様</v>
      </c>
    </row>
    <row r="1723" spans="1:13" s="10" customFormat="1" ht="18" customHeight="1">
      <c r="A1723" s="11"/>
      <c r="B1723" s="11"/>
      <c r="C1723" s="11"/>
      <c r="D1723" s="11"/>
      <c r="E1723" s="11"/>
      <c r="F1723" s="11"/>
      <c r="G1723" s="11"/>
    </row>
    <row r="1724" spans="1:13" s="47" customFormat="1" ht="18" customHeight="1">
      <c r="A1724" s="12"/>
      <c r="B1724" s="114" t="s">
        <v>1672</v>
      </c>
      <c r="C1724" s="114"/>
      <c r="D1724" s="114"/>
      <c r="E1724" s="114"/>
      <c r="F1724" s="114"/>
      <c r="G1724" s="11"/>
      <c r="H1724" s="10"/>
      <c r="K1724" s="48"/>
    </row>
    <row r="1725" spans="1:13" s="10" customFormat="1" ht="18" customHeight="1">
      <c r="A1725" s="11"/>
      <c r="B1725" s="11"/>
      <c r="C1725" s="11"/>
      <c r="D1725" s="11" t="s">
        <v>1670</v>
      </c>
      <c r="E1725" s="11"/>
      <c r="F1725" s="11"/>
      <c r="G1725" s="11"/>
      <c r="I1725" s="10" t="s">
        <v>1673</v>
      </c>
      <c r="J1725" s="419" t="str">
        <f ca="1">IF(cst_shinsei_REPORT_DEST_GYOUSEI_NAME__decision="","",IF(OR(RIGHT(cst_shinsei_REPORT_DEST_GYOUSEI_NAME__decision)="課",RIGHT(cst_shinsei_REPORT_DEST_GYOUSEI_NAME__decision)="庁"),SUBSTITUTE(cst_shinsei_REPORT_DEST_GYOUSEI_NAME__decision,"　",CHAR(10))&amp;"　御中",SUBSTITUTE(cst_shinsei_REPORT_DEST_GYOUSEI_NAME__decision,"　",CHAR(10))&amp;"　様"))</f>
        <v>東大阪市長　様</v>
      </c>
    </row>
    <row r="1727" spans="1:13" s="10" customFormat="1" ht="18" customHeight="1">
      <c r="A1727" s="11"/>
      <c r="B1727" s="11" t="s">
        <v>1674</v>
      </c>
      <c r="C1727" s="12"/>
      <c r="D1727" s="12"/>
      <c r="E1727" s="12"/>
      <c r="F1727" s="12"/>
      <c r="G1727" s="11"/>
      <c r="I1727" s="9" t="s">
        <v>1675</v>
      </c>
      <c r="J1727" s="29" t="str">
        <f>IF(_button_kind="交付",cst_shinsei_ISSUE_NO__disp,cst_shinsei_UKETUKE_NO__disp)</f>
        <v>第2020確申建築CIAS01650号</v>
      </c>
    </row>
    <row r="1728" spans="1:13" s="10" customFormat="1" ht="18" customHeight="1">
      <c r="A1728" s="11"/>
      <c r="B1728" s="11"/>
      <c r="C1728" s="12"/>
      <c r="D1728" s="12"/>
      <c r="E1728" s="12"/>
      <c r="F1728" s="12"/>
      <c r="G1728" s="11"/>
      <c r="J1728" s="45"/>
    </row>
    <row r="1729" spans="1:13" s="10" customFormat="1" ht="18" customHeight="1">
      <c r="A1729" s="11"/>
      <c r="B1729" s="11" t="s">
        <v>1676</v>
      </c>
      <c r="C1729" s="11"/>
      <c r="D1729" s="11"/>
      <c r="E1729" s="11"/>
      <c r="F1729" s="11"/>
      <c r="G1729" s="11"/>
      <c r="I1729" s="10" t="s">
        <v>2011</v>
      </c>
      <c r="J1729" s="122" t="str">
        <f>IF(_button_kind="交付",cst_shinsei_HOUKOKU_DATE,IF(cst__button_kind="","",IF(cst_shinsei_xx_REPORT_DATE="","",cst_shinsei_xx_REPORT_DATE)))</f>
        <v/>
      </c>
    </row>
    <row r="1730" spans="1:13" s="10" customFormat="1" ht="18" customHeight="1">
      <c r="A1730" s="11" t="s">
        <v>1694</v>
      </c>
      <c r="B1730" s="11"/>
      <c r="C1730" s="12"/>
      <c r="D1730" s="12"/>
      <c r="E1730" s="12"/>
      <c r="F1730" s="12"/>
      <c r="G1730" s="11"/>
      <c r="I1730" s="10" t="s">
        <v>9928</v>
      </c>
      <c r="J1730" s="88" t="str">
        <f ca="1">IF(cst_shinsei_xy_REPORT_DATE="",TEXT(TODAY(),"ggg")&amp;"　　年　　月　　日",TEXT(cst_shinsei_xy_REPORT_DATE,"ggg")&amp;"　"&amp;TEXT(cst_shinsei_xy_REPORT_DATE,"e")&amp;"　年　"&amp;TEXT(cst_shinsei_xy_REPORT_DATE,"m")&amp;"　月　"&amp;TEXT(cst_shinsei_xy_REPORT_DATE,"d")&amp;"　日")</f>
        <v>令和　　年　　月　　日</v>
      </c>
    </row>
    <row r="1731" spans="1:13" s="10" customFormat="1" ht="18" customHeight="1">
      <c r="A1731" s="12"/>
      <c r="B1731" s="12"/>
      <c r="C1731" s="12"/>
      <c r="D1731" s="12"/>
      <c r="E1731" s="12"/>
      <c r="F1731" s="12"/>
      <c r="G1731" s="11"/>
      <c r="I1731" s="419" t="s">
        <v>1677</v>
      </c>
      <c r="J1731" s="122" t="str">
        <f ca="1">IF(cst_shinsei_xy_REPORT_DATE="",cst_DISP__date,cst_shinsei_xy_REPORT_DATE)</f>
        <v>令和      年      月      日</v>
      </c>
    </row>
    <row r="1732" spans="1:13" s="10" customFormat="1" ht="18" customHeight="1">
      <c r="A1732" s="12"/>
      <c r="B1732" s="12"/>
      <c r="C1732" s="12" t="s">
        <v>1678</v>
      </c>
      <c r="D1732" s="12"/>
      <c r="E1732" s="12"/>
      <c r="F1732" s="12"/>
      <c r="G1732" s="11"/>
      <c r="I1732" s="10" t="s">
        <v>1679</v>
      </c>
      <c r="J1732" s="90" t="str">
        <f ca="1">IF(_button_kind="交付",cst_shinsei_ISSUE_DATE,cst_shinsei__NOTIFY_DATE)</f>
        <v/>
      </c>
    </row>
    <row r="1733" spans="1:13" s="10" customFormat="1" ht="18" customHeight="1">
      <c r="A1733" s="12"/>
      <c r="B1733" s="12"/>
      <c r="C1733" s="12"/>
      <c r="D1733" s="12"/>
      <c r="E1733" s="12"/>
      <c r="F1733" s="12"/>
      <c r="G1733" s="11"/>
      <c r="I1733" s="10" t="s">
        <v>1680</v>
      </c>
      <c r="J1733" s="90" t="str">
        <f ca="1">IF(cst_shinsei__REPORT_DATE__disp="",cst_DISP__date,cst_shinsei__REPORT_DATE__disp)</f>
        <v>令和      年      月      日</v>
      </c>
    </row>
    <row r="1734" spans="1:13" s="10" customFormat="1" ht="18" customHeight="1">
      <c r="A1734" s="12"/>
      <c r="B1734" s="12"/>
      <c r="C1734" s="12"/>
      <c r="D1734" s="12"/>
      <c r="E1734" s="12"/>
      <c r="F1734" s="12"/>
      <c r="G1734" s="11"/>
      <c r="J1734" s="45"/>
    </row>
    <row r="1735" spans="1:13" s="10" customFormat="1" ht="18" customHeight="1">
      <c r="A1735" s="11"/>
      <c r="B1735" s="12" t="s">
        <v>1681</v>
      </c>
      <c r="C1735" s="12"/>
      <c r="D1735" s="12"/>
      <c r="E1735" s="12"/>
      <c r="F1735" s="12"/>
      <c r="G1735" s="11"/>
      <c r="I1735" s="10" t="s">
        <v>1682</v>
      </c>
      <c r="J1735" s="29" t="str">
        <f>IF(cst_shinsei__NOTIFY_LIMIT_DATE__disp="","",IF(ISERROR(FIND("[ 期限年月日参照 ]",cst_shinsei__NOTIFY_NOTE)),"（備考）",""))</f>
        <v/>
      </c>
    </row>
    <row r="1736" spans="1:13" s="10" customFormat="1" ht="18" customHeight="1">
      <c r="A1736" s="11"/>
      <c r="B1736" s="12" t="s">
        <v>1683</v>
      </c>
      <c r="C1736" s="12"/>
      <c r="D1736" s="12"/>
      <c r="E1736" s="12"/>
      <c r="F1736" s="12"/>
      <c r="G1736" s="11"/>
      <c r="I1736" s="10" t="s">
        <v>1684</v>
      </c>
      <c r="J1736" s="29" t="str">
        <f>IF(cst_shinsei__NOTIFY_LIMIT_DATE__disp="","（備考）",IF(ISERROR(FIND("[ 期限年月日参照 ]",cst_shinsei__NOTIFY_NOTE)),"","（備考）"))</f>
        <v>（備考）</v>
      </c>
    </row>
    <row r="1737" spans="1:13" s="10" customFormat="1" ht="18" customHeight="1">
      <c r="A1737" s="11"/>
      <c r="B1737" s="11" t="s">
        <v>1685</v>
      </c>
      <c r="C1737" s="11"/>
      <c r="D1737" s="11"/>
      <c r="E1737" s="11"/>
      <c r="F1737" s="11"/>
      <c r="G1737" s="11"/>
      <c r="I1737" s="9" t="s">
        <v>1686</v>
      </c>
      <c r="J1737" s="112" t="str">
        <f>IF(cst__button_kind="","",IF(OR(_button_kind="impossx",AND(cst_shinsei_INSPECTION_TYPE_class2="確認申請",_button_kind="ng"),_button_kind="ngx"),"",IF(cst_shinsei_xx_NOTIFY_LIMIT_DATE="","期限日： "&amp;cst_DISP__date,"期限日： "&amp;
TEXT(cst_shinsei_xx_NOTIFY_LIMIT_DATE,"ggg")&amp;TEXT(cst_shinsei_xx_NOTIFY_LIMIT_DATE,"ee")&amp;"年"&amp;TEXT(cst_shinsei_xx_NOTIFY_LIMIT_DATE,"nm")&amp;"月"&amp;TEXT(cst_shinsei_xx_NOTIFY_LIMIT_DATE,"dd")&amp;"日")))</f>
        <v/>
      </c>
      <c r="K1737" s="10" t="s">
        <v>1687</v>
      </c>
    </row>
    <row r="1738" spans="1:13" s="10" customFormat="1" ht="18" customHeight="1">
      <c r="A1738" s="11"/>
      <c r="B1738" s="11"/>
      <c r="C1738" s="11"/>
      <c r="D1738" s="11"/>
      <c r="E1738" s="11"/>
      <c r="F1738" s="11"/>
      <c r="G1738" s="11"/>
      <c r="I1738" s="9" t="s">
        <v>1688</v>
      </c>
      <c r="J1738" s="112" t="str">
        <f>IF(cst__button_kind="","",IF(OR(_button_kind="impossx",AND(cst_shinsei_INSPECTION_TYPE_class2="確認申請",_button_kind="ng"),_button_kind="ngx"),"",IF(cst_shinsei_xx_NOTIFY_LIMIT_DATE="",CHAR(10)&amp;"軽微な補正及び追加説明の提出期限： "&amp;cst_DISP__date,CHAR(10)&amp;"軽微な補正及び追加説明の提出期限： "&amp;
TEXT(cst_shinsei_xx_NOTIFY_LIMIT_DATE,"ggg")&amp;TEXT(cst_shinsei_xx_NOTIFY_LIMIT_DATE,"ee")&amp;"年"&amp;TEXT(cst_shinsei_xx_NOTIFY_LIMIT_DATE,"m")&amp;"月"&amp;TEXT(cst_shinsei_xx_NOTIFY_LIMIT_DATE,"d")&amp;"日")))</f>
        <v/>
      </c>
      <c r="K1738" s="10" t="s">
        <v>1689</v>
      </c>
    </row>
    <row r="1739" spans="1:13" s="10" customFormat="1" ht="18" customHeight="1">
      <c r="A1739" s="11"/>
      <c r="B1739" s="12" t="s">
        <v>1690</v>
      </c>
      <c r="C1739" s="11"/>
      <c r="D1739" s="11"/>
      <c r="E1739" s="11"/>
      <c r="F1739" s="11"/>
      <c r="G1739" s="11"/>
      <c r="I1739" s="9" t="s">
        <v>1691</v>
      </c>
      <c r="J1739" s="112" t="str">
        <f>IF(cst__button_kind="","",IF(OR(_button_kind="impossx",AND(cst_shinsei_INSPECTION_TYPE_class2="確認申請",_button_kind="ng"),_button_kind="ngx"),"",cst_shinsei_xx_NOTIFY_LIMIT_DATE))</f>
        <v/>
      </c>
      <c r="L1739" s="45"/>
      <c r="M1739" s="45"/>
    </row>
    <row r="1740" spans="1:13" s="10" customFormat="1" ht="18" customHeight="1">
      <c r="A1740" s="11"/>
      <c r="B1740" s="12" t="s">
        <v>1692</v>
      </c>
      <c r="C1740" s="11"/>
      <c r="D1740" s="11"/>
      <c r="E1740" s="11"/>
      <c r="F1740" s="11"/>
      <c r="G1740" s="11"/>
      <c r="I1740" s="9" t="s">
        <v>1693</v>
      </c>
      <c r="J1740" s="112" t="str">
        <f ca="1">IF(cst_shinsei__NOTIFY_LIMIT_DATE="",cst_DISP__date,TEXT(cst_shinsei__NOTIFY_LIMIT_DATE,"ggg")&amp;cst_shinsei__NOTIFY_LIMIT_DATE__ee&amp;"年"&amp;cst_shinsei__NOTIFY_LIMIT_DATE__mm&amp;"月"&amp;cst_shinsei__NOTIFY_LIMIT_DATE__dd&amp;"日")</f>
        <v>令和      年      月      日</v>
      </c>
      <c r="L1740" s="45"/>
      <c r="M1740" s="45"/>
    </row>
    <row r="1741" spans="1:13" s="10" customFormat="1" ht="18" customHeight="1">
      <c r="A1741" s="11" t="s">
        <v>1694</v>
      </c>
      <c r="B1741" s="11" t="s">
        <v>1695</v>
      </c>
      <c r="C1741" s="11"/>
      <c r="D1741" s="11"/>
      <c r="E1741" s="11"/>
      <c r="F1741" s="11"/>
      <c r="G1741" s="11"/>
      <c r="I1741" s="9" t="s">
        <v>1696</v>
      </c>
      <c r="J1741" s="112" t="str">
        <f>IF(ISERROR(FIND("[ 期限年月日参照 ]",cst_shinsei__NOTIFY_NOTE)),cst_shinsei__NOTIFY_LIMIT_DATE__disp,"")</f>
        <v/>
      </c>
    </row>
    <row r="1742" spans="1:13" s="10" customFormat="1" ht="18" customHeight="1">
      <c r="A1742" s="11"/>
      <c r="B1742" s="12" t="s">
        <v>1697</v>
      </c>
      <c r="C1742" s="11"/>
      <c r="D1742" s="12"/>
      <c r="E1742" s="12"/>
      <c r="F1742" s="12"/>
      <c r="G1742" s="11"/>
      <c r="I1742" s="9" t="s">
        <v>1698</v>
      </c>
      <c r="J1742" s="29" t="str">
        <f>IF(cst__button_kind="","",IF(cst_shinsei_xx_NOTIFY_CAUSE="","",cst_shinsei_xx_NOTIFY_CAUSE))</f>
        <v/>
      </c>
    </row>
    <row r="1743" spans="1:13" s="10" customFormat="1" ht="18" customHeight="1">
      <c r="A1743" s="11"/>
      <c r="B1743" s="12" t="s">
        <v>1699</v>
      </c>
      <c r="C1743" s="11"/>
      <c r="D1743" s="12"/>
      <c r="E1743" s="12"/>
      <c r="F1743" s="12"/>
      <c r="G1743" s="11"/>
      <c r="I1743" s="9" t="s">
        <v>1700</v>
      </c>
      <c r="J1743" s="29" t="str">
        <f>IF(cst__button_kind="","",IF(cst_shinsei_xx_NOTIFY_NOTE="","",cst_shinsei_xx_NOTIFY_NOTE))</f>
        <v/>
      </c>
    </row>
    <row r="1744" spans="1:13" s="10" customFormat="1" ht="18" customHeight="1">
      <c r="A1744" s="11"/>
      <c r="B1744" s="11" t="s">
        <v>9951</v>
      </c>
      <c r="C1744" s="12"/>
      <c r="D1744" s="12"/>
      <c r="E1744" s="12"/>
      <c r="F1744" s="12"/>
      <c r="G1744" s="11"/>
      <c r="I1744" s="10" t="s">
        <v>9950</v>
      </c>
      <c r="J1744" s="440" t="str">
        <f>IF(_button_kind="交付","",cst_shinsei__NOTIFY_CAUSE&amp;"　"&amp;cst_shinsei__NOTIFY_NOTE)</f>
        <v>　</v>
      </c>
    </row>
    <row r="1745" spans="1:13" s="10" customFormat="1" ht="18" customHeight="1">
      <c r="A1745" s="11"/>
      <c r="B1745" s="11"/>
      <c r="C1745" s="12"/>
      <c r="D1745" s="12"/>
      <c r="E1745" s="12"/>
      <c r="F1745" s="12"/>
      <c r="G1745" s="11"/>
      <c r="J1745" s="45"/>
    </row>
    <row r="1746" spans="1:13" s="10" customFormat="1" ht="18" customHeight="1">
      <c r="A1746" s="11" t="s">
        <v>4354</v>
      </c>
      <c r="B1746" s="12" t="s">
        <v>1701</v>
      </c>
      <c r="C1746" s="11"/>
      <c r="D1746" s="12"/>
      <c r="E1746" s="12"/>
      <c r="F1746" s="12"/>
      <c r="G1746" s="11"/>
      <c r="I1746" s="9" t="s">
        <v>1702</v>
      </c>
      <c r="J1746" s="29" t="str">
        <f>IF(cst_shinsei_INSPECTION_TYPE_class2="確認申請",cst_shinsei_BILL_NAME__common&amp;CHAR(10),"")&amp;IF(cst__button_kind="","",SUBSTITUTE(cst_shinsei__NOTIFY_NOTE,"[ 期限年月日参照 ]",cst_shinsei__NOTIFY_LIMIT_DATE__text))</f>
        <v xml:space="preserve">（仮称）ブランニード河内小阪マンションギャラリー新築工事
</v>
      </c>
      <c r="K1746" s="10" t="s">
        <v>1703</v>
      </c>
    </row>
    <row r="1747" spans="1:13" s="10" customFormat="1" ht="18" customHeight="1">
      <c r="A1747" s="11"/>
      <c r="B1747" s="12" t="s">
        <v>1704</v>
      </c>
      <c r="C1747" s="12"/>
      <c r="D1747" s="12"/>
      <c r="E1747" s="12"/>
      <c r="F1747" s="12"/>
      <c r="G1747" s="11"/>
      <c r="J1747" s="45"/>
    </row>
    <row r="1748" spans="1:13" s="10" customFormat="1" ht="18" customHeight="1">
      <c r="A1748" s="12"/>
      <c r="B1748" s="11"/>
      <c r="C1748" s="12" t="s">
        <v>1705</v>
      </c>
      <c r="D1748" s="11"/>
      <c r="E1748" s="12"/>
      <c r="F1748" s="12"/>
      <c r="G1748" s="12"/>
      <c r="H1748" s="9"/>
      <c r="I1748" s="9" t="s">
        <v>1706</v>
      </c>
      <c r="J1748" s="29" t="str">
        <f>IF(cst__button_kind="","",cst_shinsei_ngx_CAUSE)</f>
        <v/>
      </c>
      <c r="L1748" s="45"/>
      <c r="M1748" s="45"/>
    </row>
    <row r="1749" spans="1:13" s="10" customFormat="1" ht="18" customHeight="1">
      <c r="A1749" s="11"/>
      <c r="B1749" s="12"/>
      <c r="C1749" s="12" t="s">
        <v>1707</v>
      </c>
      <c r="D1749" s="11"/>
      <c r="E1749" s="12"/>
      <c r="F1749" s="12"/>
      <c r="G1749" s="12"/>
      <c r="H1749" s="9"/>
      <c r="I1749" s="9" t="s">
        <v>1708</v>
      </c>
      <c r="J1749" s="29" t="str">
        <f>IF(cst_shinsei__NOTIFY_CAUSE="",cst_shinsei__REPORT_CAUSE,cst_shinsei__NOTIFY_CAUSE)</f>
        <v/>
      </c>
      <c r="L1749" s="45"/>
      <c r="M1749" s="45"/>
    </row>
    <row r="1750" spans="1:13" s="47" customFormat="1" ht="18" customHeight="1">
      <c r="A1750" s="46"/>
      <c r="B1750" s="46"/>
      <c r="C1750" s="46"/>
      <c r="D1750" s="46"/>
      <c r="E1750" s="46"/>
      <c r="F1750" s="46"/>
      <c r="G1750" s="46"/>
      <c r="K1750" s="78"/>
      <c r="L1750" s="79"/>
      <c r="M1750" s="79"/>
    </row>
    <row r="1751" spans="1:13" s="10" customFormat="1" ht="18" customHeight="1">
      <c r="A1751" s="12"/>
      <c r="B1751" s="11"/>
      <c r="C1751" s="12"/>
      <c r="D1751" s="12"/>
      <c r="E1751" s="12"/>
      <c r="F1751" s="12"/>
      <c r="G1751" s="11"/>
      <c r="I1751" s="9" t="s">
        <v>1709</v>
      </c>
      <c r="J1751" s="112" t="str">
        <f>IF(_button_kind="交付",cst_shinsei_KENSA_DATE,IF(cst__button_kind="","",IF(cst_shinsei_INSPECTION_TYPE_class2="検査申請",IF(cst_shinsei_xx_NOTIFY_KENSA_DATE="","",cst_shinsei_xx_NOTIFY_KENSA_DATE),"")))</f>
        <v/>
      </c>
    </row>
    <row r="1752" spans="1:13" s="10" customFormat="1" ht="18" customHeight="1">
      <c r="A1752" s="12"/>
      <c r="B1752" s="12" t="s">
        <v>1588</v>
      </c>
      <c r="C1752" s="11"/>
      <c r="D1752" s="12"/>
      <c r="E1752" s="12"/>
      <c r="F1752" s="12"/>
      <c r="G1752" s="12"/>
      <c r="H1752" s="9"/>
      <c r="I1752" s="9" t="s">
        <v>9953</v>
      </c>
      <c r="J1752" s="112" t="str">
        <f ca="1">IF(cst_shinsei__NOTIFY_KENSA_DATE="",cst_DISP__date,TEXT(cst_shinsei__NOTIFY_KENSA_DATE,"ggg")&amp;"　"&amp;TEXT(cst_shinsei__NOTIFY_KENSA_DATE,"e")&amp;"　年　"&amp;TEXT(cst_shinsei__NOTIFY_KENSA_DATE,"m")&amp;"　月　"&amp;TEXT(cst_shinsei__NOTIFY_KENSA_DATE,"d")&amp;"　日")</f>
        <v>令和      年      月      日</v>
      </c>
      <c r="K1752" s="115"/>
      <c r="L1752" s="45"/>
      <c r="M1752" s="45"/>
    </row>
    <row r="1753" spans="1:13" s="10" customFormat="1" ht="18" customHeight="1">
      <c r="A1753" s="12"/>
      <c r="B1753" s="11"/>
      <c r="C1753" s="12"/>
      <c r="D1753" s="12"/>
      <c r="E1753" s="12"/>
      <c r="F1753" s="12"/>
      <c r="G1753" s="11"/>
      <c r="J1753" s="45"/>
    </row>
    <row r="1754" spans="1:13" s="10" customFormat="1" ht="18" customHeight="1">
      <c r="A1754" s="11"/>
      <c r="B1754" s="12" t="s">
        <v>1710</v>
      </c>
      <c r="C1754" s="12"/>
      <c r="D1754" s="12"/>
      <c r="E1754" s="11"/>
      <c r="F1754" s="11"/>
      <c r="G1754" s="11"/>
      <c r="J1754" s="45"/>
    </row>
    <row r="1755" spans="1:13" s="10" customFormat="1" ht="18" customHeight="1">
      <c r="A1755" s="11"/>
      <c r="B1755" s="11"/>
      <c r="C1755" s="12" t="s">
        <v>1711</v>
      </c>
      <c r="D1755" s="11"/>
      <c r="E1755" s="12"/>
      <c r="F1755" s="12"/>
      <c r="G1755" s="12"/>
      <c r="H1755" s="9"/>
      <c r="I1755" s="9" t="s">
        <v>1712</v>
      </c>
      <c r="J1755" s="29" t="str">
        <f>IF(_button_kind="交付","適合",IF(AND(cst_shinsei_INSPECTION_TYPE_class2="確認申請",_button_kind="ng"),"不適合",IF(cst__button_kind="","","適合するかどうかを決定することができない")))</f>
        <v/>
      </c>
      <c r="L1755" s="45"/>
      <c r="M1755" s="45"/>
    </row>
    <row r="1756" spans="1:13" ht="18" customHeight="1">
      <c r="D1756" s="5" t="s">
        <v>1713</v>
      </c>
      <c r="J1756" s="29" t="str">
        <f>IF(_button_kind="交付","適合",IF(AND(cst_shinsei_INSPECTION_TYPE_class2="確認申請",_button_kind="ng"),"不適合",IF(cst__button_kind="","","適合するかどうかを決定することができない")))</f>
        <v/>
      </c>
    </row>
    <row r="1757" spans="1:13" s="10" customFormat="1" ht="18" customHeight="1">
      <c r="A1757" s="11"/>
      <c r="B1757" s="12" t="s">
        <v>1714</v>
      </c>
      <c r="C1757" s="11"/>
      <c r="D1757" s="12"/>
      <c r="E1757" s="12"/>
      <c r="F1757" s="12"/>
      <c r="G1757" s="11"/>
      <c r="I1757" s="9" t="s">
        <v>1715</v>
      </c>
      <c r="J1757" s="29" t="str">
        <f>IF(_button_kind="交付",cst_shinsei_KENSAIN,IF(cst__button_kind="","",IF(cst_shinsei_xx_NOTIFY_USER="","",cst_shinsei_xx_NOTIFY_USER)))</f>
        <v/>
      </c>
    </row>
    <row r="1759" spans="1:13" s="10" customFormat="1" ht="18" customHeight="1">
      <c r="A1759" s="11"/>
      <c r="B1759" s="12" t="s">
        <v>1716</v>
      </c>
      <c r="C1759" s="11"/>
      <c r="D1759" s="11"/>
      <c r="E1759" s="12"/>
      <c r="F1759" s="12"/>
      <c r="G1759" s="11"/>
      <c r="H1759" s="9"/>
      <c r="L1759" s="45"/>
      <c r="M1759" s="45"/>
    </row>
    <row r="1760" spans="1:13" s="10" customFormat="1" ht="18" customHeight="1">
      <c r="A1760" s="11"/>
      <c r="B1760" s="12"/>
      <c r="C1760" s="11"/>
      <c r="D1760" s="11"/>
      <c r="E1760" s="12" t="s">
        <v>1717</v>
      </c>
      <c r="F1760" s="12"/>
      <c r="G1760" s="12"/>
      <c r="H1760" s="9"/>
      <c r="L1760" s="45"/>
      <c r="M1760" s="45"/>
    </row>
    <row r="1761" spans="1:13" s="10" customFormat="1" ht="18" customHeight="1">
      <c r="A1761" s="11"/>
      <c r="B1761" s="11"/>
      <c r="C1761" s="11"/>
      <c r="D1761" s="11"/>
      <c r="E1761" s="12" t="s">
        <v>1718</v>
      </c>
      <c r="F1761" s="12"/>
      <c r="G1761" s="11"/>
      <c r="L1761" s="45"/>
      <c r="M1761" s="45"/>
    </row>
    <row r="1762" spans="1:13" s="10" customFormat="1" ht="18" customHeight="1">
      <c r="A1762" s="11"/>
      <c r="B1762" s="11"/>
      <c r="C1762" s="11" t="s">
        <v>1719</v>
      </c>
      <c r="D1762" s="109"/>
      <c r="E1762" s="11"/>
      <c r="F1762" s="11"/>
      <c r="G1762" s="11"/>
      <c r="I1762" s="9" t="s">
        <v>1720</v>
      </c>
      <c r="J1762" s="29" t="str">
        <f>IF(AND(_button_kind="交付",cst_shinsei_INSPECTION_TYPE_class2="確認申請"),cst_shinsei_ISSUE_NO__disp,IF(cst_shinsei_INSPECTION_TYPE_class2="検査申請",cst_shinsei_KAKU_SUMI_NO__disp,""))</f>
        <v/>
      </c>
      <c r="L1762" s="45"/>
      <c r="M1762" s="45"/>
    </row>
    <row r="1763" spans="1:13" s="10" customFormat="1" ht="18" customHeight="1">
      <c r="A1763" s="11"/>
      <c r="B1763" s="11"/>
      <c r="C1763" s="11"/>
      <c r="D1763" s="11"/>
      <c r="E1763" s="11"/>
      <c r="F1763" s="11"/>
      <c r="G1763" s="11"/>
      <c r="H1763" s="9"/>
      <c r="L1763" s="45"/>
      <c r="M1763" s="45"/>
    </row>
    <row r="1764" spans="1:13" s="47" customFormat="1" ht="18" customHeight="1">
      <c r="A1764" s="46"/>
      <c r="B1764" s="46"/>
      <c r="C1764" s="11" t="s">
        <v>1721</v>
      </c>
      <c r="D1764" s="109"/>
      <c r="E1764" s="46"/>
      <c r="F1764" s="46"/>
      <c r="G1764" s="46"/>
      <c r="I1764" s="9" t="s">
        <v>1722</v>
      </c>
      <c r="J1764" s="29" t="str">
        <f>IF(AND(_button_kind="交付",cst_shinsei_INSPECTION_TYPE_class2="確認申請"),cst_shinsei_ISSUE_NO__disp,IF(cst_shinsei_INSPECTION_TYPE_class2="検査申請",cst_shinsei_KAKU_SUMI_NO__disp,cst_DISP__sign))</f>
        <v>第          号</v>
      </c>
      <c r="K1764" s="78"/>
      <c r="L1764" s="79"/>
      <c r="M1764" s="79"/>
    </row>
    <row r="1765" spans="1:13" s="52" customFormat="1" ht="18" customHeight="1">
      <c r="A1765" s="53"/>
      <c r="B1765" s="53"/>
      <c r="C1765" s="53"/>
      <c r="D1765" s="53"/>
      <c r="E1765" s="53"/>
      <c r="F1765" s="53"/>
      <c r="G1765" s="53"/>
      <c r="K1765" s="56"/>
    </row>
    <row r="1766" spans="1:13" s="10" customFormat="1" ht="18" customHeight="1">
      <c r="A1766" s="11"/>
      <c r="B1766" s="12" t="s">
        <v>1723</v>
      </c>
      <c r="C1766" s="11"/>
      <c r="D1766" s="11"/>
      <c r="E1766" s="12"/>
      <c r="F1766" s="12"/>
      <c r="G1766" s="11"/>
      <c r="H1766" s="9"/>
      <c r="L1766" s="45"/>
      <c r="M1766" s="45"/>
    </row>
    <row r="1767" spans="1:13" s="10" customFormat="1" ht="18" customHeight="1">
      <c r="A1767" s="11"/>
      <c r="B1767" s="12"/>
      <c r="C1767" s="11"/>
      <c r="D1767" s="11"/>
      <c r="E1767" s="12" t="s">
        <v>1717</v>
      </c>
      <c r="F1767" s="12"/>
      <c r="G1767" s="12"/>
      <c r="H1767" s="9"/>
      <c r="L1767" s="45"/>
      <c r="M1767" s="45"/>
    </row>
    <row r="1768" spans="1:13" s="10" customFormat="1" ht="18" customHeight="1">
      <c r="A1768" s="11"/>
      <c r="B1768" s="11"/>
      <c r="C1768" s="11"/>
      <c r="D1768" s="11"/>
      <c r="E1768" s="12" t="s">
        <v>1718</v>
      </c>
      <c r="F1768" s="12"/>
      <c r="G1768" s="11"/>
      <c r="L1768" s="45"/>
      <c r="M1768" s="45"/>
    </row>
    <row r="1769" spans="1:13" s="10" customFormat="1" ht="18" customHeight="1">
      <c r="A1769" s="11"/>
      <c r="B1769" s="11"/>
      <c r="C1769" s="11" t="s">
        <v>1719</v>
      </c>
      <c r="D1769" s="109"/>
      <c r="E1769" s="11"/>
      <c r="F1769" s="11"/>
      <c r="G1769" s="12"/>
      <c r="I1769" s="9" t="s">
        <v>1724</v>
      </c>
      <c r="J1769" s="112" t="str">
        <f>IF(AND(_button_kind="交付",cst_shinsei_INSPECTION_TYPE_class2="確認申請"),cst_shinsei_ISSUE_DATE__text,IF(cst_shinsei_INSPECTION_TYPE_class2="検査申請",cst_shinsei_KAKU_SUMI_KOUFU_DATE__text,""))</f>
        <v/>
      </c>
      <c r="L1769" s="45"/>
      <c r="M1769" s="45"/>
    </row>
    <row r="1770" spans="1:13" s="10" customFormat="1" ht="18" customHeight="1">
      <c r="A1770" s="11"/>
      <c r="B1770" s="11"/>
      <c r="C1770" s="11"/>
      <c r="D1770" s="11"/>
      <c r="E1770" s="11"/>
      <c r="L1770" s="45"/>
      <c r="M1770" s="45"/>
    </row>
    <row r="1771" spans="1:13" s="10" customFormat="1" ht="18" customHeight="1">
      <c r="A1771" s="11"/>
      <c r="B1771" s="11"/>
      <c r="C1771" s="11"/>
      <c r="D1771" s="11"/>
      <c r="E1771" s="11"/>
      <c r="F1771" s="11" t="s">
        <v>1596</v>
      </c>
      <c r="L1771" s="45"/>
      <c r="M1771" s="45"/>
    </row>
    <row r="1772" spans="1:13" s="47" customFormat="1" ht="18" customHeight="1">
      <c r="A1772" s="46"/>
      <c r="B1772" s="46"/>
      <c r="C1772" s="11" t="s">
        <v>1721</v>
      </c>
      <c r="D1772" s="109"/>
      <c r="E1772" s="46"/>
      <c r="F1772" s="46"/>
      <c r="G1772" s="46"/>
      <c r="I1772" s="9" t="s">
        <v>1725</v>
      </c>
      <c r="J1772" s="112" t="str">
        <f ca="1">IF(AND(_button_kind="交付",cst_shinsei_INSPECTION_TYPE_class2="確認申請"),cst_shinsei_ISSUE_DATE__text,IF(cst_shinsei_INSPECTION_TYPE_class2="検査申請",cst_shinsei_KAKU_SUMI_KOUFU_DATE__text,cst_DISP__date))</f>
        <v>令和      年      月      日</v>
      </c>
      <c r="K1772" s="78"/>
      <c r="L1772" s="79"/>
      <c r="M1772" s="79"/>
    </row>
    <row r="1774" spans="1:13" s="10" customFormat="1" ht="18" customHeight="1">
      <c r="A1774" s="11"/>
      <c r="B1774" s="12" t="s">
        <v>1726</v>
      </c>
      <c r="C1774" s="11"/>
      <c r="D1774" s="11"/>
      <c r="E1774" s="12"/>
      <c r="F1774" s="12"/>
      <c r="G1774" s="11"/>
      <c r="H1774" s="9"/>
      <c r="L1774" s="45"/>
      <c r="M1774" s="45"/>
    </row>
    <row r="1775" spans="1:13" s="10" customFormat="1" ht="18" customHeight="1">
      <c r="A1775" s="11"/>
      <c r="B1775" s="12"/>
      <c r="C1775" s="12"/>
      <c r="D1775" s="12"/>
      <c r="E1775" s="12" t="s">
        <v>1717</v>
      </c>
      <c r="F1775" s="12"/>
      <c r="G1775" s="11"/>
      <c r="H1775" s="9"/>
      <c r="L1775" s="45"/>
      <c r="M1775" s="45"/>
    </row>
    <row r="1776" spans="1:13" s="10" customFormat="1" ht="18" customHeight="1">
      <c r="A1776" s="11"/>
      <c r="B1776" s="11"/>
      <c r="C1776" s="11" t="s">
        <v>1727</v>
      </c>
      <c r="D1776" s="11"/>
      <c r="E1776" s="12"/>
      <c r="F1776" s="12"/>
      <c r="G1776" s="11"/>
      <c r="H1776" s="9"/>
      <c r="I1776" s="9" t="s">
        <v>1728</v>
      </c>
      <c r="J1776" s="29" t="str">
        <f>IF(AND(_button_kind="交付",cst_shinsei_INSPECTION_TYPE_class2="確認申請"),cst_shinsei_ISSUE_KOUFU_NAME__code,IF(cst_shinsei_INSPECTION_TYPE_class2="検査申請",cst_shinsei_KAKU_SUMI_KOUFU_NAME__code,""))</f>
        <v/>
      </c>
      <c r="L1776" s="45"/>
      <c r="M1776" s="45"/>
    </row>
    <row r="1777" spans="1:13" s="10" customFormat="1" ht="18" customHeight="1">
      <c r="A1777" s="11"/>
      <c r="B1777" s="11"/>
      <c r="C1777" s="12"/>
      <c r="D1777" s="12"/>
      <c r="E1777" s="11"/>
      <c r="F1777" s="11"/>
      <c r="G1777" s="11"/>
      <c r="J1777" s="45"/>
    </row>
    <row r="1779" spans="1:13" s="10" customFormat="1" ht="18" customHeight="1">
      <c r="A1779" s="11"/>
      <c r="B1779" s="11" t="s">
        <v>1729</v>
      </c>
      <c r="C1779" s="12"/>
      <c r="D1779" s="11"/>
      <c r="E1779" s="12"/>
      <c r="F1779" s="12"/>
      <c r="G1779" s="12"/>
      <c r="H1779" s="9"/>
      <c r="L1779" s="45"/>
      <c r="M1779" s="45"/>
    </row>
    <row r="1780" spans="1:13" s="47" customFormat="1" ht="18" customHeight="1">
      <c r="A1780" s="46" t="s">
        <v>1694</v>
      </c>
      <c r="B1780" s="46"/>
      <c r="C1780" s="12" t="s">
        <v>1730</v>
      </c>
      <c r="D1780" s="46"/>
      <c r="E1780" s="46"/>
      <c r="F1780" s="46"/>
      <c r="G1780" s="46"/>
      <c r="I1780" s="10" t="s">
        <v>1731</v>
      </c>
      <c r="J1780" s="106" t="str">
        <f>IF(cst_shinsei_STRUCTRESULT_NOTIFY_KOUFU_NAME="","・・・",cst_shinsei_STRUCTRESULT_NOTIFY_DATE)</f>
        <v>・・・</v>
      </c>
      <c r="K1780" s="48"/>
    </row>
    <row r="1781" spans="1:13" s="47" customFormat="1" ht="18" customHeight="1">
      <c r="A1781" s="46"/>
      <c r="B1781" s="46"/>
      <c r="C1781" s="12" t="s">
        <v>1732</v>
      </c>
      <c r="D1781" s="46"/>
      <c r="E1781" s="46"/>
      <c r="F1781" s="46"/>
      <c r="G1781" s="46"/>
      <c r="K1781" s="48"/>
    </row>
    <row r="1782" spans="1:13" s="47" customFormat="1" ht="18" customHeight="1">
      <c r="A1782" s="46"/>
      <c r="B1782" s="46"/>
      <c r="C1782" s="12"/>
      <c r="D1782" s="46" t="s">
        <v>1733</v>
      </c>
      <c r="E1782" s="46"/>
      <c r="F1782" s="46"/>
      <c r="G1782" s="46"/>
      <c r="I1782" s="10" t="s">
        <v>1734</v>
      </c>
      <c r="J1782" s="24" t="str">
        <f>IF(cst_shinsei_STRUCTRESULT_NOTIFY_KOUFU_NAME="","",cst_shinsei_STRUCTRESULT_NOTIFY_NO)</f>
        <v/>
      </c>
      <c r="K1782" s="48"/>
    </row>
    <row r="1783" spans="1:13" s="47" customFormat="1" ht="18" customHeight="1">
      <c r="A1783" s="46"/>
      <c r="B1783" s="46"/>
      <c r="C1783" s="12"/>
      <c r="D1783" s="46" t="s">
        <v>1735</v>
      </c>
      <c r="E1783" s="46"/>
      <c r="F1783" s="46"/>
      <c r="G1783" s="46"/>
      <c r="I1783" s="10" t="s">
        <v>1736</v>
      </c>
      <c r="J1783" s="24" t="str">
        <f>IF(cst_shinsei_STRUCTRESULT_NOTIFY_KOUFU_NAME="","",IF(_button_kind="交付",IF(shinsei_STRUCTRESULT_NOTIFY_NO="",IF(shinsei_STRIRAI_TEKIHAN_ACCEPT_NO="","",shinsei_STRIRAI_TEKIHAN_ACCEPT_NO),shinsei_STRUCTRESULT_NOTIFY_NO),IF(cst__button_kind="","",IF(cst_shinsei_xx_STRUCT_NOTIFT_DATE="","",IF(cst_shinsei_xx_STRUCT_NOTIFT_NO="",IF(shinsei_STRUCTRESULT_NOTIFY_NO="",IF(shinsei_STRIRAI_TEKIHAN_ACCEPT_NO="","",shinsei_STRIRAI_TEKIHAN_ACCEPT_NO),shinsei_STRUCTRESULT_NOTIFY_NO),cst_shinsei_xx_STRUCT_NOTIFT_NO)))))</f>
        <v/>
      </c>
      <c r="K1783" s="48"/>
    </row>
    <row r="1784" spans="1:13" s="47" customFormat="1" ht="18" customHeight="1">
      <c r="A1784" s="46"/>
      <c r="B1784" s="46"/>
      <c r="C1784" s="12"/>
      <c r="D1784" s="46"/>
      <c r="E1784" s="46" t="s">
        <v>1737</v>
      </c>
      <c r="F1784" s="46"/>
      <c r="G1784" s="46"/>
      <c r="I1784" s="10" t="s">
        <v>1738</v>
      </c>
      <c r="J1784" s="29" t="str">
        <f>IF(cst_shinsei_STRUCTRESULT_NOTIFY_KOUFU_NAME="","－",IF(_button_kind="交付",IF(shinsei_STRUCTRESULT_NOTIFY_NO="",IF(shinsei_STRIRAI_TEKIHAN_ACCEPT_NO="","",shinsei_STRIRAI_TEKIHAN_ACCEPT_NO),shinsei_STRUCTRESULT_NOTIFY_NO),IF(cst__button_kind="","",IF(cst_shinsei_xx_STRUCT_NOTIFT_DATE="","",IF(cst_shinsei_xx_STRUCT_NOTIFT_NO="",IF(shinsei_STRUCTRESULT_NOTIFY_NO="",IF(shinsei_STRIRAI_TEKIHAN_ACCEPT_NO="","",shinsei_STRIRAI_TEKIHAN_ACCEPT_NO),shinsei_STRUCTRESULT_NOTIFY_NO),cst_shinsei_xx_STRUCT_NOTIFT_NO)))))</f>
        <v>－</v>
      </c>
    </row>
    <row r="1785" spans="1:13" s="116" customFormat="1" ht="18" customHeight="1">
      <c r="A1785" s="114"/>
      <c r="B1785" s="114"/>
      <c r="C1785" s="12"/>
      <c r="D1785" s="114"/>
      <c r="E1785" s="114"/>
      <c r="F1785" s="114"/>
      <c r="G1785" s="114"/>
      <c r="I1785" s="47" t="s">
        <v>1739</v>
      </c>
      <c r="J1785" s="29" t="str">
        <f>IF(cst_shinsei_STRUCTRESULT_NOTIFY_KOUFU_NAME="","",IF(_button_kind="交付",IF(shinsei_STRUCTRESULT_NOTIFY_NO="",IF(shinsei_STRIRAI_TEKIHAN_ACCEPT_NO="","",""),"第"&amp;shinsei_STRUCTRESULT_NOTIFY_NO&amp;"号"),IF(cst__button_kind="","",IF(cst_shinsei_xx_STRUCT_NOTIFT_DATE="","",IF(cst_shinsei_xx_STRUCT_NOTIFT_NO="",IF(shinsei_STRUCTRESULT_NOTIFY_NO="",IF(shinsei_STRIRAI_TEKIHAN_ACCEPT_NO="","","第"&amp;shinsei_STRIRAI_TEKIHAN_ACCEPT_NO&amp;"号"),"第"&amp;shinsei_STRUCTRESULT_NOTIFY_NO&amp;"号"),"第"&amp;cst_shinsei_xx_STRUCT_NOTIFT_NO&amp;"号")))))</f>
        <v/>
      </c>
      <c r="K1785" s="10"/>
    </row>
    <row r="1786" spans="1:13" s="116" customFormat="1" ht="18" customHeight="1">
      <c r="A1786" s="46" t="s">
        <v>1694</v>
      </c>
      <c r="B1786" s="114"/>
      <c r="C1786" s="12"/>
      <c r="D1786" s="114"/>
      <c r="E1786" s="114"/>
      <c r="F1786" s="114"/>
      <c r="G1786" s="114"/>
      <c r="I1786" s="47" t="s">
        <v>1740</v>
      </c>
      <c r="J1786" s="29" t="str">
        <f>IF(cst_shinsei_STRUCTRESULT_NOTIFY_KOUFU_NAME="","・・・",IF(_button_kind="交付",IF(shinsei_STRUCTRESULT_NOTIFY_NO="",IF(shinsei_STRIRAI_TEKIHAN_ACCEPT_NO="","・・・",""),shinsei_STRUCTRESULT_NOTIFY_NO),IF(cst__button_kind="","・・・",IF(cst_shinsei_xx_STRUCT_NOTIFT_DATE="","・・・",IF(cst_shinsei_xx_STRUCT_NOTIFT_NO="",IF(shinsei_STRUCTRESULT_NOTIFY_NO="",IF(shinsei_STRIRAI_TEKIHAN_ACCEPT_NO="","・・・",shinsei_STRIRAI_TEKIHAN_ACCEPT_NO),shinsei_STRUCTRESULT_NOTIFY_NO),cst_shinsei_xx_STRUCT_NOTIFT_NO)))))</f>
        <v>・・・</v>
      </c>
      <c r="K1786" s="10"/>
    </row>
    <row r="1787" spans="1:13" s="116" customFormat="1" ht="18" customHeight="1">
      <c r="A1787" s="114"/>
      <c r="B1787" s="114"/>
      <c r="C1787" s="12"/>
      <c r="D1787" s="114"/>
      <c r="E1787" s="114"/>
      <c r="F1787" s="114"/>
      <c r="G1787" s="114"/>
      <c r="I1787" s="10" t="s">
        <v>1741</v>
      </c>
      <c r="J1787" s="10" t="str">
        <f>IF(shinsei_TEKIHAN_KIKAN_CODE="日総試",cst_shinsei__REPORT_STRUCTRESULT_NOTIFY_NO__search_disp3,IF(shinsei_TEKIHAN_KIKAN_CODE="日総試2",cst_shinsei__REPORT_STRUCTRESULT_NOTIFY_NO__search_disp3,cst_shinsei__REPORT_STRUCTRESULT_NOTIFY_NO__search_disp2))</f>
        <v/>
      </c>
      <c r="K1787" s="10"/>
    </row>
    <row r="1788" spans="1:13" s="10" customFormat="1" ht="18" customHeight="1">
      <c r="A1788" s="46" t="s">
        <v>1694</v>
      </c>
      <c r="B1788" s="11"/>
      <c r="C1788" s="12" t="s">
        <v>632</v>
      </c>
      <c r="D1788" s="12"/>
      <c r="E1788" s="12"/>
      <c r="F1788" s="12"/>
      <c r="G1788" s="11"/>
      <c r="I1788" s="10" t="s">
        <v>1742</v>
      </c>
      <c r="J1788" s="419" t="str">
        <f>IF(cst_shinsei_STRUCTRESULT_NOTIFY_KOUFU_NAME="","",cst_JUDGE_OFFICE_CORP_DAIHYOUSHA__HOUKOKU_code)</f>
        <v/>
      </c>
    </row>
    <row r="1789" spans="1:13" s="10" customFormat="1" ht="18" customHeight="1">
      <c r="A1789" s="46" t="s">
        <v>8826</v>
      </c>
      <c r="B1789" s="11"/>
      <c r="C1789" s="12" t="s">
        <v>633</v>
      </c>
      <c r="D1789" s="12"/>
      <c r="E1789" s="12"/>
      <c r="F1789" s="12"/>
      <c r="G1789" s="11"/>
      <c r="I1789" s="10" t="s">
        <v>634</v>
      </c>
      <c r="J1789" s="419" t="str">
        <f>IF(cst_shinsei_STRUCTRESULT_NOTIFY_KOUFU_NAME="","・・・","")</f>
        <v>・・・</v>
      </c>
    </row>
    <row r="1790" spans="1:13" s="10" customFormat="1" ht="18" customHeight="1">
      <c r="A1790" s="46"/>
      <c r="B1790" s="11"/>
      <c r="C1790" s="12" t="s">
        <v>1743</v>
      </c>
      <c r="D1790" s="12"/>
      <c r="E1790" s="12"/>
      <c r="F1790" s="12"/>
      <c r="G1790" s="11"/>
      <c r="I1790" s="10" t="s">
        <v>1744</v>
      </c>
      <c r="J1790" s="24" t="str">
        <f>IF(shinsei_TEKIHAN_KIKAN_CODE="兵庫県2",cst_shinsei__REPORT_STRUCTRESULT_NOTIFY_RESULT_word,cst_shinsei__REPORT_STRUCTRESULT_NOTIFY_RESULT)</f>
        <v>・・・</v>
      </c>
    </row>
    <row r="1791" spans="1:13" s="47" customFormat="1" ht="18" customHeight="1">
      <c r="A1791" s="46" t="s">
        <v>1694</v>
      </c>
      <c r="B1791" s="46"/>
      <c r="D1791" s="46"/>
      <c r="E1791" s="46"/>
      <c r="F1791" s="46"/>
      <c r="G1791" s="46"/>
      <c r="I1791" s="10" t="s">
        <v>1745</v>
      </c>
      <c r="J1791" s="29" t="str">
        <f>IF(cst_shinsei_STRUCTRESULT_NOTIFY_KOUFU_NAME="","・・・",IF(_button_kind="交付",cst_shinsei__REPORT_STRUCTRESULT_NOTIFY_RESULT_word,IF(cst__button_kind="","・・・",IF(cst_shinsei_xx_STRUCT_NOTIFT_DATE="","・・・",IF(_button_kind="ng","適正に行われたものであると判定しない","適合するかどうかを決定することができない")))))</f>
        <v>・・・</v>
      </c>
      <c r="K1791" s="78" t="s">
        <v>1746</v>
      </c>
      <c r="L1791" s="79"/>
      <c r="M1791" s="79"/>
    </row>
    <row r="1792" spans="1:13" ht="18" customHeight="1">
      <c r="F1792" s="7" t="s">
        <v>1747</v>
      </c>
      <c r="I1792" s="7" t="s">
        <v>9931</v>
      </c>
      <c r="J1792" s="28" t="str">
        <f>IF(shinsei_TEKIHAN_KIKAN_CODE="兵庫県2","適合","適正")</f>
        <v>適正</v>
      </c>
      <c r="K1792" s="7" t="s">
        <v>1663</v>
      </c>
    </row>
    <row r="1793" spans="1:13" ht="18" customHeight="1">
      <c r="I1793" s="7" t="s">
        <v>11428</v>
      </c>
      <c r="J1793" s="28" t="str">
        <f>IF(cst_shinsei_STRUCTRESULT_NOTIFY_KOUFU_NAME="","",IF(_button_kind="交付","適合",IF(cst__button_kind="","",IF(cst_shinsei_xx_STRUCT_NOTIFT_DATE="","",IF(_button_kind="ng","適正に行われたものであると判定しない","適合するかどうかを決定することができない")))))</f>
        <v/>
      </c>
    </row>
    <row r="1794" spans="1:13" s="10" customFormat="1" ht="18" customHeight="1">
      <c r="A1794" s="11"/>
      <c r="B1794" s="11" t="s">
        <v>1748</v>
      </c>
      <c r="C1794" s="11"/>
      <c r="D1794" s="12"/>
      <c r="E1794" s="11"/>
      <c r="F1794" s="11"/>
      <c r="G1794" s="11"/>
    </row>
    <row r="1795" spans="1:13" s="10" customFormat="1" ht="18" customHeight="1">
      <c r="A1795" s="11"/>
      <c r="B1795" s="12"/>
      <c r="C1795" s="12" t="s">
        <v>3211</v>
      </c>
      <c r="D1795" s="12"/>
      <c r="E1795" s="12"/>
      <c r="F1795" s="12"/>
      <c r="G1795" s="12"/>
      <c r="H1795" s="9"/>
      <c r="I1795" s="9" t="s">
        <v>3212</v>
      </c>
      <c r="J1795" s="29" t="str">
        <f>IF(AND(OR(shinsei_INSPECTION_TYPE="中間検査",shinsei_INSPECTION_TYPE="完了検査"),_button_kind="交付"),cst_shinsei_ISSUE_NO__disp,"")</f>
        <v/>
      </c>
      <c r="L1795" s="45"/>
      <c r="M1795" s="45"/>
    </row>
    <row r="1796" spans="1:13" s="10" customFormat="1" ht="18" customHeight="1">
      <c r="A1796" s="11"/>
      <c r="B1796" s="12"/>
      <c r="C1796" s="12"/>
      <c r="D1796" s="12"/>
      <c r="E1796" s="12"/>
      <c r="F1796" s="12"/>
      <c r="G1796" s="12"/>
      <c r="H1796" s="9"/>
      <c r="L1796" s="45"/>
      <c r="M1796" s="45"/>
    </row>
    <row r="1797" spans="1:13" s="10" customFormat="1" ht="18" customHeight="1">
      <c r="A1797" s="11"/>
      <c r="B1797" s="11" t="s">
        <v>3213</v>
      </c>
      <c r="C1797" s="11"/>
      <c r="D1797" s="11"/>
      <c r="E1797" s="12"/>
      <c r="F1797" s="12"/>
      <c r="G1797" s="12"/>
      <c r="L1797" s="45"/>
      <c r="M1797" s="45"/>
    </row>
    <row r="1798" spans="1:13" s="10" customFormat="1" ht="18" customHeight="1">
      <c r="A1798" s="11"/>
      <c r="B1798" s="12"/>
      <c r="C1798" s="12" t="s">
        <v>3211</v>
      </c>
      <c r="D1798" s="12"/>
      <c r="E1798" s="12"/>
      <c r="F1798" s="12"/>
      <c r="G1798" s="12"/>
      <c r="H1798" s="9"/>
      <c r="I1798" s="9" t="s">
        <v>3214</v>
      </c>
      <c r="J1798" s="507" t="str">
        <f ca="1">IF(AND(OR(shinsei_INSPECTION_TYPE="中間検査",shinsei_INSPECTION_TYPE="完了検査"),_button_kind="交付"),cst_shinsei_ISSUE_DATE__disp,cst_DISP__date)</f>
        <v>令和      年      月      日</v>
      </c>
      <c r="L1798" s="45"/>
      <c r="M1798" s="45"/>
    </row>
    <row r="1799" spans="1:13" s="10" customFormat="1" ht="18" customHeight="1">
      <c r="A1799" s="12"/>
      <c r="B1799" s="12"/>
      <c r="C1799" s="12"/>
      <c r="D1799" s="12"/>
      <c r="E1799" s="12"/>
      <c r="F1799" s="12"/>
      <c r="G1799" s="11"/>
      <c r="I1799" s="9" t="s">
        <v>10979</v>
      </c>
      <c r="J1799" s="112" t="str">
        <f ca="1">IF(AND(OR(shinsei_INSPECTION_TYPE="中間検査",shinsei_INSPECTION_TYPE="完了検査"),_button_kind="交付"),IF(cst_shinsei_ISSUE_DATE__disp="",cst_DISP__date,TEXT(cst_shinsei_ISSUE_DATE__disp,"ggg")&amp;"　"&amp;TEXT(cst_shinsei_ISSUE_DATE__disp,"e")&amp;"　年　"&amp;TEXT(cst_shinsei_ISSUE_DATE__disp,"m")&amp;"　月　"&amp;TEXT(cst_shinsei_ISSUE_DATE__disp,"d")&amp;"　日"),cst_DISP__date)</f>
        <v>令和      年      月      日</v>
      </c>
    </row>
    <row r="1800" spans="1:13" s="10" customFormat="1" ht="18" customHeight="1">
      <c r="A1800" s="12"/>
      <c r="B1800" s="12"/>
      <c r="C1800" s="12"/>
      <c r="D1800" s="12"/>
      <c r="E1800" s="12"/>
      <c r="F1800" s="12"/>
      <c r="G1800" s="11"/>
      <c r="I1800" s="10" t="s">
        <v>11510</v>
      </c>
      <c r="J1800" s="543" t="str">
        <f>IF(AND(OR(shinsei_INSPECTION_TYPE="中間検査",shinsei_INSPECTION_TYPE="完了検査"),_button_kind="交付"),IF(cst_shinsei_ISSUE_DATE="","",TEXT(cst_shinsei_ISSUE_DATE,"ggg")&amp;"　"&amp;TEXT(cst_shinsei_ISSUE_DATE,"e")&amp;"　年　"&amp;TEXT(cst_shinsei_ISSUE_DATE,"m")&amp;"　月　"&amp;TEXT(cst_shinsei_ISSUE_DATE,"d")&amp;"　日"),"")</f>
        <v/>
      </c>
      <c r="L1800" s="10" t="s">
        <v>11511</v>
      </c>
    </row>
    <row r="1801" spans="1:13" s="10" customFormat="1" ht="18" customHeight="1">
      <c r="A1801" s="12"/>
      <c r="B1801" s="12"/>
      <c r="C1801" s="12"/>
      <c r="D1801" s="12"/>
      <c r="E1801" s="12"/>
      <c r="F1801" s="12"/>
      <c r="G1801" s="11"/>
      <c r="J1801" s="45"/>
    </row>
    <row r="1802" spans="1:13" s="10" customFormat="1" ht="18" customHeight="1">
      <c r="A1802" s="12"/>
      <c r="B1802" s="12"/>
      <c r="C1802" s="12"/>
      <c r="D1802" s="12"/>
      <c r="E1802" s="12"/>
      <c r="F1802" s="12"/>
      <c r="G1802" s="11"/>
      <c r="J1802" s="45"/>
    </row>
    <row r="1804" spans="1:13" s="18" customFormat="1" ht="18" customHeight="1">
      <c r="A1804" s="26" t="s">
        <v>3215</v>
      </c>
      <c r="B1804" s="26"/>
      <c r="C1804" s="26"/>
      <c r="D1804" s="26"/>
      <c r="E1804" s="8"/>
      <c r="F1804" s="8"/>
      <c r="G1804" s="8"/>
      <c r="H1804" s="9"/>
    </row>
    <row r="1805" spans="1:13" s="10" customFormat="1" ht="18" customHeight="1">
      <c r="A1805" s="11"/>
      <c r="B1805" s="11"/>
      <c r="C1805" s="12"/>
      <c r="D1805" s="12"/>
      <c r="E1805" s="12"/>
      <c r="F1805" s="12"/>
      <c r="G1805" s="11"/>
      <c r="J1805" s="45"/>
    </row>
    <row r="1806" spans="1:13" s="10" customFormat="1" ht="18" customHeight="1">
      <c r="A1806" s="12" t="s">
        <v>3216</v>
      </c>
      <c r="B1806" s="12"/>
      <c r="C1806" s="12"/>
      <c r="D1806" s="12"/>
      <c r="E1806" s="12"/>
      <c r="F1806" s="12"/>
      <c r="G1806" s="12"/>
      <c r="H1806" s="9"/>
      <c r="I1806" s="9"/>
    </row>
    <row r="1807" spans="1:13" s="18" customFormat="1" ht="18" customHeight="1">
      <c r="A1807" s="5" t="s">
        <v>3217</v>
      </c>
      <c r="B1807" s="5"/>
      <c r="C1807" s="5"/>
      <c r="D1807" s="5"/>
      <c r="E1807" s="5"/>
      <c r="F1807" s="5"/>
      <c r="G1807" s="5"/>
      <c r="H1807" s="7"/>
    </row>
    <row r="1808" spans="1:13" s="18" customFormat="1" ht="18" customHeight="1">
      <c r="A1808" s="5"/>
      <c r="B1808" s="5" t="s">
        <v>3218</v>
      </c>
      <c r="C1808" s="5"/>
      <c r="D1808" s="5"/>
      <c r="E1808" s="5"/>
      <c r="F1808" s="5"/>
      <c r="G1808" s="5"/>
      <c r="H1808" s="7"/>
    </row>
    <row r="1809" spans="1:29" s="18" customFormat="1" ht="18" customHeight="1">
      <c r="A1809" s="14"/>
      <c r="B1809" s="5" t="s">
        <v>3219</v>
      </c>
      <c r="C1809" s="5"/>
      <c r="D1809" s="5"/>
      <c r="E1809" s="5"/>
      <c r="G1809" s="12" t="s">
        <v>1897</v>
      </c>
      <c r="H1809" s="13" t="s">
        <v>11787</v>
      </c>
      <c r="I1809" s="9" t="s">
        <v>3220</v>
      </c>
      <c r="J1809" s="19" t="str">
        <f>IF(p2_shinsei_KAKUNINZUMI_KENSAIN="","",p2_shinsei_KAKUNINZUMI_KENSAIN)</f>
        <v/>
      </c>
      <c r="K1809" s="18" t="s">
        <v>2770</v>
      </c>
    </row>
    <row r="1810" spans="1:29" s="18" customFormat="1" ht="18" customHeight="1">
      <c r="A1810" s="14"/>
      <c r="B1810" s="5" t="s">
        <v>3221</v>
      </c>
      <c r="C1810" s="5"/>
      <c r="D1810" s="5"/>
      <c r="E1810" s="5"/>
      <c r="G1810" s="12" t="s">
        <v>1898</v>
      </c>
      <c r="H1810" s="13" t="s">
        <v>11787</v>
      </c>
      <c r="I1810" s="9" t="s">
        <v>3222</v>
      </c>
      <c r="J1810" s="24" t="str">
        <f>IF(p2_shinsei_ISSUE_NO="","",p2_shinsei_ISSUE_NO)</f>
        <v/>
      </c>
      <c r="K1810" s="18" t="s">
        <v>2770</v>
      </c>
      <c r="O1810" s="117"/>
      <c r="P1810" s="117"/>
      <c r="Q1810" s="117"/>
      <c r="R1810" s="117"/>
      <c r="S1810" s="117"/>
      <c r="Z1810" s="27"/>
      <c r="AA1810" s="27"/>
    </row>
    <row r="1811" spans="1:29" s="18" customFormat="1" ht="18" customHeight="1">
      <c r="A1811" s="14"/>
      <c r="B1811" s="5"/>
      <c r="C1811" s="14"/>
      <c r="D1811" s="14"/>
      <c r="E1811" s="14"/>
      <c r="G1811" s="12"/>
      <c r="H1811" s="9"/>
      <c r="I1811" s="9" t="s">
        <v>5088</v>
      </c>
      <c r="J1811" s="22" t="str">
        <f>IF(p2_shinsei_ISSUE_NO="","第                    号","第"&amp;p2_shinsei_ISSUE_NO&amp;"号")</f>
        <v>第                    号</v>
      </c>
      <c r="L1811" s="18" t="s">
        <v>5089</v>
      </c>
      <c r="O1811" s="117"/>
      <c r="P1811" s="117"/>
      <c r="Q1811" s="117"/>
      <c r="R1811" s="117"/>
      <c r="S1811" s="117"/>
      <c r="Z1811" s="27"/>
      <c r="AA1811" s="27"/>
    </row>
    <row r="1812" spans="1:29" s="18" customFormat="1" ht="18" customHeight="1">
      <c r="A1812" s="14"/>
      <c r="B1812" s="5" t="s">
        <v>5090</v>
      </c>
      <c r="C1812" s="5"/>
      <c r="D1812" s="5"/>
      <c r="E1812" s="5"/>
      <c r="G1812" s="12" t="s">
        <v>1899</v>
      </c>
      <c r="H1812" s="74"/>
      <c r="I1812" s="9" t="s">
        <v>5091</v>
      </c>
      <c r="J1812" s="87" t="str">
        <f>IF(p2_shinsei_ISSUE_DATE="","",p2_shinsei_ISSUE_DATE)</f>
        <v/>
      </c>
      <c r="K1812" s="27" t="s">
        <v>5092</v>
      </c>
      <c r="O1812" s="117"/>
      <c r="P1812" s="117"/>
      <c r="Q1812" s="117"/>
      <c r="R1812" s="117"/>
      <c r="S1812" s="117"/>
      <c r="Z1812" s="27"/>
      <c r="AA1812" s="27"/>
      <c r="AC1812" s="27"/>
    </row>
    <row r="1813" spans="1:29" s="18" customFormat="1" ht="18" customHeight="1">
      <c r="A1813" s="14"/>
      <c r="B1813" s="5"/>
      <c r="C1813" s="5"/>
      <c r="D1813" s="5"/>
      <c r="E1813" s="5"/>
      <c r="G1813" s="11"/>
      <c r="H1813" s="10"/>
      <c r="I1813" s="9" t="s">
        <v>5093</v>
      </c>
      <c r="J1813" s="88" t="str">
        <f ca="1">IF(p2_shinsei_ISSUE_DATE="",cst_DISP__date,p2_shinsei_ISSUE_DATE)</f>
        <v>令和      年      月      日</v>
      </c>
      <c r="K1813" s="27"/>
      <c r="L1813" s="27" t="s">
        <v>5094</v>
      </c>
      <c r="O1813" s="117"/>
      <c r="P1813" s="117"/>
      <c r="Q1813" s="117"/>
      <c r="R1813" s="117"/>
      <c r="S1813" s="117"/>
      <c r="Z1813" s="27"/>
      <c r="AA1813" s="27"/>
      <c r="AC1813" s="27"/>
    </row>
    <row r="1814" spans="1:29" s="18" customFormat="1" ht="18" customHeight="1">
      <c r="A1814" s="14"/>
      <c r="B1814" s="14"/>
      <c r="C1814" s="14"/>
      <c r="D1814" s="12"/>
      <c r="E1814" s="12"/>
      <c r="G1814" s="12"/>
      <c r="H1814" s="104"/>
      <c r="I1814" s="27"/>
      <c r="J1814" s="27"/>
      <c r="M1814" s="117"/>
      <c r="N1814" s="117"/>
      <c r="O1814" s="117"/>
      <c r="P1814" s="117"/>
      <c r="Q1814" s="117"/>
      <c r="X1814" s="27"/>
      <c r="Y1814" s="27"/>
      <c r="AA1814" s="27"/>
    </row>
    <row r="1815" spans="1:29" s="18" customFormat="1" ht="18" customHeight="1">
      <c r="A1815" s="14" t="s">
        <v>5095</v>
      </c>
      <c r="B1815" s="5"/>
      <c r="C1815" s="5"/>
      <c r="D1815" s="5"/>
      <c r="E1815" s="5"/>
      <c r="G1815" s="14"/>
      <c r="H1815" s="7"/>
      <c r="I1815" s="16"/>
      <c r="J1815" s="7"/>
    </row>
    <row r="1816" spans="1:29" s="18" customFormat="1" ht="18" customHeight="1">
      <c r="A1816" s="14"/>
      <c r="B1816" s="5" t="s">
        <v>5096</v>
      </c>
      <c r="C1816" s="5"/>
      <c r="D1816" s="5"/>
      <c r="E1816" s="5"/>
      <c r="G1816" s="14"/>
      <c r="H1816" s="7"/>
      <c r="I1816" s="16"/>
      <c r="J1816" s="7"/>
    </row>
    <row r="1817" spans="1:29" s="18" customFormat="1" ht="18" customHeight="1">
      <c r="A1817" s="14"/>
      <c r="B1817" s="5" t="s">
        <v>5097</v>
      </c>
      <c r="C1817" s="14"/>
      <c r="D1817" s="5"/>
      <c r="E1817" s="5"/>
      <c r="G1817" s="12" t="s">
        <v>1900</v>
      </c>
      <c r="H1817" s="13" t="s">
        <v>11787</v>
      </c>
      <c r="I1817" s="9" t="s">
        <v>5098</v>
      </c>
      <c r="J1817" s="19" t="str">
        <f>IF(p2_shinsei_HEN_SUMI_KOUFU_NAME="","",p2_shinsei_HEN_SUMI_KOUFU_NAME)</f>
        <v/>
      </c>
      <c r="K1817" s="18" t="s">
        <v>5099</v>
      </c>
    </row>
    <row r="1818" spans="1:29" s="18" customFormat="1" ht="18" customHeight="1">
      <c r="A1818" s="14"/>
      <c r="B1818" s="5" t="s">
        <v>5100</v>
      </c>
      <c r="C1818" s="14"/>
      <c r="D1818" s="5"/>
      <c r="E1818" s="5"/>
      <c r="G1818" s="12" t="s">
        <v>1901</v>
      </c>
      <c r="H1818" s="13" t="s">
        <v>11787</v>
      </c>
      <c r="I1818" s="9" t="s">
        <v>5101</v>
      </c>
      <c r="J1818" s="24" t="str">
        <f>IF(p2_shinsei_HEN_SUMI_NO="","",p2_shinsei_HEN_SUMI_NO)</f>
        <v/>
      </c>
      <c r="K1818" s="18" t="s">
        <v>2770</v>
      </c>
      <c r="O1818" s="117"/>
      <c r="P1818" s="117"/>
      <c r="Q1818" s="117"/>
      <c r="R1818" s="117"/>
      <c r="S1818" s="117"/>
      <c r="Z1818" s="27"/>
      <c r="AA1818" s="27"/>
    </row>
    <row r="1819" spans="1:29" s="18" customFormat="1" ht="18" customHeight="1">
      <c r="A1819" s="14"/>
      <c r="B1819" s="5"/>
      <c r="C1819" s="14" t="s">
        <v>1491</v>
      </c>
      <c r="D1819" s="5"/>
      <c r="E1819" s="5"/>
      <c r="G1819" s="12"/>
      <c r="H1819" s="9"/>
      <c r="I1819" s="9" t="s">
        <v>5102</v>
      </c>
      <c r="J1819" s="22" t="str">
        <f>IF(p2_shinsei_HEN_SUMI_NO="","",p2_shinsei_HEN_SUMI_NO)</f>
        <v/>
      </c>
      <c r="L1819" s="18" t="s">
        <v>1564</v>
      </c>
      <c r="O1819" s="117"/>
      <c r="P1819" s="117"/>
      <c r="Q1819" s="117"/>
      <c r="R1819" s="117"/>
      <c r="S1819" s="117"/>
      <c r="Z1819" s="27"/>
      <c r="AA1819" s="27"/>
    </row>
    <row r="1820" spans="1:29" s="18" customFormat="1" ht="18" customHeight="1">
      <c r="A1820" s="14"/>
      <c r="B1820" s="5" t="s">
        <v>5090</v>
      </c>
      <c r="C1820" s="14"/>
      <c r="D1820" s="5"/>
      <c r="E1820" s="5"/>
      <c r="G1820" s="12" t="s">
        <v>1902</v>
      </c>
      <c r="H1820" s="74"/>
      <c r="I1820" s="9" t="s">
        <v>5103</v>
      </c>
      <c r="J1820" s="87" t="str">
        <f>IF(p2_shinsei_HEN_SUMI_KOUFU_DATE="","",p2_shinsei_HEN_SUMI_KOUFU_DATE)</f>
        <v/>
      </c>
      <c r="K1820" s="27" t="s">
        <v>4361</v>
      </c>
      <c r="O1820" s="117"/>
      <c r="P1820" s="117"/>
      <c r="Q1820" s="117"/>
      <c r="R1820" s="117"/>
      <c r="S1820" s="117"/>
      <c r="Z1820" s="27"/>
      <c r="AA1820" s="27"/>
      <c r="AC1820" s="27"/>
    </row>
    <row r="1821" spans="1:29" s="18" customFormat="1" ht="18" customHeight="1">
      <c r="A1821" s="14"/>
      <c r="B1821" s="5"/>
      <c r="C1821" s="5"/>
      <c r="D1821" s="5"/>
      <c r="E1821" s="5"/>
      <c r="F1821" s="5"/>
      <c r="G1821" s="12"/>
      <c r="H1821" s="9"/>
      <c r="I1821" s="9" t="s">
        <v>5104</v>
      </c>
      <c r="J1821" s="88" t="str">
        <f>IF(p2_shinsei_HEN_SUMI_KOUFU_DATE="",cst_DISP__date_ee,p2_shinsei_HEN_SUMI_KOUFU_DATE)</f>
        <v>　　    年    月    日</v>
      </c>
      <c r="K1821" s="27" t="s">
        <v>1491</v>
      </c>
      <c r="L1821" s="18" t="s">
        <v>1493</v>
      </c>
      <c r="O1821" s="117"/>
      <c r="P1821" s="117"/>
      <c r="Q1821" s="117"/>
      <c r="R1821" s="117"/>
      <c r="S1821" s="117"/>
      <c r="Z1821" s="27"/>
      <c r="AA1821" s="27"/>
      <c r="AC1821" s="27"/>
    </row>
    <row r="1822" spans="1:29" s="18" customFormat="1" ht="18" customHeight="1">
      <c r="A1822" s="14"/>
      <c r="B1822" s="5"/>
      <c r="C1822" s="5"/>
      <c r="D1822" s="5"/>
      <c r="E1822" s="5"/>
      <c r="F1822" s="5"/>
      <c r="G1822" s="12"/>
      <c r="H1822" s="9"/>
      <c r="I1822" s="9" t="s">
        <v>5105</v>
      </c>
      <c r="J1822" s="88" t="str">
        <f ca="1">IF(p2_shinsei_HEN_SUMI_KOUFU_DATE="",cst_DISP__date,p2_shinsei_HEN_SUMI_KOUFU_DATE)</f>
        <v>令和      年      月      日</v>
      </c>
      <c r="K1822" s="27"/>
      <c r="L1822" s="27" t="s">
        <v>5094</v>
      </c>
      <c r="O1822" s="117"/>
      <c r="P1822" s="117"/>
      <c r="Q1822" s="117"/>
      <c r="R1822" s="117"/>
      <c r="S1822" s="117"/>
      <c r="Z1822" s="27"/>
      <c r="AA1822" s="27"/>
      <c r="AC1822" s="27"/>
    </row>
    <row r="1823" spans="1:29" s="18" customFormat="1" ht="18" customHeight="1">
      <c r="A1823" s="14"/>
      <c r="B1823" s="14"/>
      <c r="C1823" s="14"/>
      <c r="D1823" s="12"/>
      <c r="E1823" s="12"/>
      <c r="F1823" s="12"/>
      <c r="H1823" s="104"/>
      <c r="I1823" s="27"/>
      <c r="J1823" s="27"/>
      <c r="M1823" s="117"/>
      <c r="N1823" s="117"/>
      <c r="O1823" s="117"/>
      <c r="P1823" s="117"/>
      <c r="Q1823" s="117"/>
      <c r="X1823" s="27"/>
      <c r="Y1823" s="27"/>
      <c r="AA1823" s="27"/>
    </row>
    <row r="1824" spans="1:29" ht="18" customHeight="1">
      <c r="B1824" s="5" t="s">
        <v>5106</v>
      </c>
      <c r="I1824" s="9" t="s">
        <v>5107</v>
      </c>
      <c r="J1824" s="118" t="str">
        <f>IF(shinsei_INSPECTION_TYPE="計画変更","第"&amp;cst_p2_shinsei_ISSUE_NO&amp;"号","")</f>
        <v/>
      </c>
    </row>
    <row r="1826" spans="2:15" s="322" customFormat="1" ht="18" customHeight="1">
      <c r="B1826" s="322" t="s">
        <v>5108</v>
      </c>
      <c r="I1826" s="322" t="s">
        <v>5109</v>
      </c>
      <c r="J1826" s="505" t="str">
        <f>cst__button_kind</f>
        <v/>
      </c>
    </row>
    <row r="1827" spans="2:15" s="322" customFormat="1" ht="18" customHeight="1"/>
    <row r="1828" spans="2:15" s="322" customFormat="1" ht="18" customHeight="1">
      <c r="B1828" s="322" t="s">
        <v>5110</v>
      </c>
      <c r="I1828" s="322" t="s">
        <v>5111</v>
      </c>
      <c r="J1828" s="430" t="str">
        <f>IF(_button_kind="hosei","shinsei_","cst_shinsei_")</f>
        <v>cst_shinsei_</v>
      </c>
    </row>
    <row r="1829" spans="2:15" s="322" customFormat="1" ht="18" customHeight="1">
      <c r="B1829" s="322" t="s">
        <v>5112</v>
      </c>
      <c r="G1829" s="7"/>
      <c r="I1829" s="322" t="s">
        <v>5113</v>
      </c>
      <c r="J1829" s="430" t="str">
        <f>IF(_button_kind="hosei","","_NOTIFY")</f>
        <v>_NOTIFY</v>
      </c>
    </row>
    <row r="1830" spans="2:15" s="322" customFormat="1" ht="18" customHeight="1">
      <c r="B1830" s="322" t="s">
        <v>5114</v>
      </c>
      <c r="G1830" s="7"/>
      <c r="I1830" s="322" t="s">
        <v>5115</v>
      </c>
      <c r="J1830" s="430" t="str">
        <f>IF(_button_kind="hosei","_STRUCTNOTIFT","_STRUCT")</f>
        <v>_STRUCT</v>
      </c>
    </row>
    <row r="1831" spans="2:15" s="322" customFormat="1" ht="18" customHeight="1">
      <c r="G1831" s="7"/>
    </row>
    <row r="1832" spans="2:15" s="322" customFormat="1" ht="18" customHeight="1">
      <c r="G1832" s="7"/>
    </row>
    <row r="1833" spans="2:15" s="322" customFormat="1" ht="18" customHeight="1">
      <c r="B1833" s="322" t="s">
        <v>5116</v>
      </c>
      <c r="L1833" s="328" t="s">
        <v>5117</v>
      </c>
      <c r="M1833" s="328" t="s">
        <v>5118</v>
      </c>
      <c r="N1833" s="328" t="s">
        <v>5117</v>
      </c>
      <c r="O1833" s="328" t="s">
        <v>5118</v>
      </c>
    </row>
    <row r="1834" spans="2:15" s="322" customFormat="1" ht="18" customHeight="1">
      <c r="C1834" s="12" t="s">
        <v>5119</v>
      </c>
      <c r="I1834" s="9" t="s">
        <v>5120</v>
      </c>
      <c r="J1834" s="120" t="str">
        <f ca="1">IF(cst__button_kind="","",IF(ISERROR(INDIRECT(cst_shinsei_ctrl&amp;cst__button_kind&amp;"_NOTIFY_DATE")),"",IF(INDIRECT(cst_shinsei_ctrl&amp;cst__button_kind&amp;"_NOTIFY_DATE")="","",INDIRECT(cst_shinsei_ctrl&amp;cst__button_kind&amp;"_NOTIFY_DATE"))))</f>
        <v/>
      </c>
      <c r="L1834" s="328" t="s">
        <v>5121</v>
      </c>
      <c r="M1834" s="328" t="s">
        <v>5121</v>
      </c>
      <c r="N1834" s="328" t="s">
        <v>5121</v>
      </c>
      <c r="O1834" s="328" t="s">
        <v>5121</v>
      </c>
    </row>
    <row r="1835" spans="2:15" s="322" customFormat="1" ht="18" customHeight="1">
      <c r="C1835" s="121" t="s">
        <v>5122</v>
      </c>
      <c r="I1835" s="121" t="s">
        <v>5123</v>
      </c>
      <c r="J1835" s="122" t="str">
        <f ca="1">IF(cst__button_kind="","",IF(ISERROR(INDIRECT(cst_shinsei_ctrl&amp;cst__button_kind&amp;"_KENSAIN_USER_ID")),"",IF(INDIRECT(cst_shinsei_ctrl&amp;cst__button_kind&amp;"_KENSAIN_USER_ID")="","",INDIRECT(cst_shinsei_ctrl&amp;cst__button_kind&amp;"_KENSAIN_USER_ID"))))</f>
        <v/>
      </c>
      <c r="L1835" s="328"/>
      <c r="M1835" s="328" t="s">
        <v>5121</v>
      </c>
      <c r="N1835" s="328"/>
      <c r="O1835" s="328" t="s">
        <v>5121</v>
      </c>
    </row>
    <row r="1836" spans="2:15" s="322" customFormat="1" ht="18" customHeight="1">
      <c r="C1836" s="12" t="s">
        <v>5124</v>
      </c>
      <c r="I1836" s="9" t="s">
        <v>5125</v>
      </c>
      <c r="J1836" s="25" t="str">
        <f ca="1">IF(cst__button_kind="","",IF(ISERROR(INDIRECT(cst_shinsei_ctrl&amp;cst__button_kind&amp;"_NOTIFY_USER")),"",IF(INDIRECT(cst_shinsei_ctrl&amp;cst__button_kind&amp;"_NOTIFY_USER")="","",INDIRECT(cst_shinsei_ctrl&amp;cst__button_kind&amp;"_NOTIFY_USER"))))</f>
        <v/>
      </c>
      <c r="L1836" s="328" t="s">
        <v>5121</v>
      </c>
      <c r="M1836" s="328"/>
      <c r="N1836" s="328" t="s">
        <v>5121</v>
      </c>
    </row>
    <row r="1837" spans="2:15" s="322" customFormat="1" ht="18" customHeight="1">
      <c r="C1837" s="12" t="s">
        <v>5126</v>
      </c>
      <c r="I1837" s="9" t="s">
        <v>5127</v>
      </c>
      <c r="J1837" s="120" t="str">
        <f ca="1">IF(cst__button_kind="","",IF(ISERROR(INDIRECT(cst_shinsei_ctrl&amp;cst__button_kind&amp;"_NOTIFY_KENSA_DATE")),"",IF(INDIRECT(cst_shinsei_ctrl&amp;cst__button_kind&amp;"_NOTIFY_KENSA_DATE")="","",INDIRECT(cst_shinsei_ctrl&amp;cst__button_kind&amp;"_NOTIFY_KENSA_DATE"))))</f>
        <v/>
      </c>
      <c r="L1837" s="328" t="s">
        <v>5121</v>
      </c>
      <c r="M1837" s="328"/>
      <c r="N1837" s="328" t="s">
        <v>5121</v>
      </c>
    </row>
    <row r="1838" spans="2:15" s="322" customFormat="1" ht="18" customHeight="1">
      <c r="C1838" s="12" t="s">
        <v>5128</v>
      </c>
      <c r="I1838" s="9" t="s">
        <v>5129</v>
      </c>
      <c r="J1838" s="120" t="str">
        <f ca="1">IF(cst__button_kind="","",IF(ISERROR(INDIRECT(cst_shinsei_ctrl&amp;cst__button_kind&amp;cst_NOTIFY_ctrl&amp;"_LIMIT_DATE")),"",IF(INDIRECT(cst_shinsei_ctrl&amp;cst__button_kind&amp;cst_NOTIFY_ctrl&amp;"_LIMIT_DATE")="","",INDIRECT(cst_shinsei_ctrl&amp;cst__button_kind&amp;cst_NOTIFY_ctrl&amp;"_LIMIT_DATE"))))</f>
        <v/>
      </c>
      <c r="L1838" s="328" t="s">
        <v>5121</v>
      </c>
      <c r="M1838" s="328" t="s">
        <v>5130</v>
      </c>
      <c r="N1838" s="328" t="s">
        <v>5130</v>
      </c>
      <c r="O1838" s="328" t="s">
        <v>5130</v>
      </c>
    </row>
    <row r="1839" spans="2:15" s="322" customFormat="1" ht="18" customHeight="1">
      <c r="C1839" s="121" t="s">
        <v>5131</v>
      </c>
      <c r="I1839" s="121" t="s">
        <v>5132</v>
      </c>
      <c r="J1839" s="120" t="str">
        <f ca="1">IF(cst__button_kind="","",IF(ISERROR(INDIRECT(cst_shinsei_ctrl&amp;cst__button_kind&amp;cst_NOTIFY_ctrl&amp;"_ANSWER_DATE")),"",IF(INDIRECT(cst_shinsei_ctrl&amp;cst__button_kind&amp;cst_NOTIFY_ctrl&amp;"_ANSWER_DATE")="","",INDIRECT(cst_shinsei_ctrl&amp;cst__button_kind&amp;cst_NOTIFY_ctrl&amp;"_ANSWER_DATE"))))</f>
        <v/>
      </c>
      <c r="L1839" s="328" t="s">
        <v>5130</v>
      </c>
      <c r="M1839" s="328" t="s">
        <v>5130</v>
      </c>
      <c r="N1839" s="328"/>
    </row>
    <row r="1840" spans="2:15" s="322" customFormat="1" ht="18" customHeight="1">
      <c r="C1840" s="12" t="s">
        <v>1697</v>
      </c>
      <c r="I1840" s="9" t="s">
        <v>5133</v>
      </c>
      <c r="J1840" s="25" t="str">
        <f ca="1">IF(cst__button_kind="","",IF(ISERROR(INDIRECT(cst_shinsei_ctrl&amp;cst__button_kind&amp;"_NOTIFY_CAUSE")),"",IF(INDIRECT(cst_shinsei_ctrl&amp;cst__button_kind&amp;"_NOTIFY_CAUSE")="","",INDIRECT(cst_shinsei_ctrl&amp;cst__button_kind&amp;"_NOTIFY_CAUSE"))))</f>
        <v/>
      </c>
      <c r="L1840" s="328" t="s">
        <v>5130</v>
      </c>
      <c r="M1840" s="328"/>
      <c r="N1840" s="328" t="s">
        <v>5130</v>
      </c>
    </row>
    <row r="1841" spans="2:14" s="322" customFormat="1" ht="18" customHeight="1">
      <c r="C1841" s="12" t="s">
        <v>1699</v>
      </c>
      <c r="I1841" s="9" t="s">
        <v>5134</v>
      </c>
      <c r="J1841" s="40" t="str">
        <f ca="1">IF(cst__button_kind="","",IF(ISERROR(INDIRECT(cst_shinsei_ctrl&amp;cst__button_kind&amp;"_NOTIFY_NOTE")),"",IF(INDIRECT(cst_shinsei_ctrl&amp;cst__button_kind&amp;"_NOTIFY_NOTE")="","",INDIRECT(cst_shinsei_ctrl&amp;cst__button_kind&amp;"_NOTIFY_NOTE"))))</f>
        <v/>
      </c>
      <c r="L1841" s="328" t="s">
        <v>5130</v>
      </c>
      <c r="M1841" s="328" t="s">
        <v>5130</v>
      </c>
      <c r="N1841" s="328" t="s">
        <v>5130</v>
      </c>
    </row>
    <row r="1842" spans="2:14" s="322" customFormat="1" ht="18" customHeight="1">
      <c r="C1842" s="9" t="s">
        <v>5135</v>
      </c>
      <c r="D1842" s="9"/>
      <c r="I1842" s="9" t="s">
        <v>5136</v>
      </c>
      <c r="J1842" s="40" t="str">
        <f ca="1">IF(cst__button_kind="","",IF(ISERROR(INDIRECT(cst_shinsei_ctrl&amp;cst__button_kind&amp;"_NOTIFY_SOUFU_SAKI")),"",IF(INDIRECT(cst_shinsei_ctrl&amp;cst__button_kind&amp;"_NOTIFY_SOUFU_SAKI")="","",INDIRECT(cst_shinsei_ctrl&amp;cst__button_kind&amp;"_NOTIFY_SOUFU_SAKI"))))</f>
        <v/>
      </c>
      <c r="L1842" s="328" t="s">
        <v>5130</v>
      </c>
      <c r="M1842" s="328"/>
      <c r="N1842" s="328"/>
    </row>
    <row r="1843" spans="2:14" s="322" customFormat="1" ht="18" customHeight="1">
      <c r="C1843" s="121" t="s">
        <v>5137</v>
      </c>
      <c r="I1843" s="121" t="s">
        <v>5138</v>
      </c>
      <c r="J1843" s="40" t="str">
        <f ca="1">IF(cst__button_kind="","",IF(ISERROR(INDIRECT(cst_shinsei_ctrl&amp;cst__button_kind&amp;"_NOTIFY_DOCNO")),"",IF(INDIRECT(cst_shinsei_ctrl&amp;cst__button_kind&amp;"_NOTIFY_DOCNO")="","",INDIRECT(cst_shinsei_ctrl&amp;cst__button_kind&amp;"_NOTIFY_DOCNO"))))</f>
        <v/>
      </c>
      <c r="L1843" s="328" t="s">
        <v>5130</v>
      </c>
      <c r="M1843" s="506" t="s">
        <v>5139</v>
      </c>
      <c r="N1843" s="328"/>
    </row>
    <row r="1844" spans="2:14" s="322" customFormat="1" ht="18" customHeight="1">
      <c r="G1844" s="7"/>
    </row>
    <row r="1845" spans="2:14" s="322" customFormat="1" ht="18" customHeight="1">
      <c r="B1845" s="322" t="s">
        <v>5140</v>
      </c>
      <c r="I1845" s="9"/>
      <c r="L1845" s="328"/>
      <c r="M1845" s="328"/>
      <c r="N1845" s="328"/>
    </row>
    <row r="1846" spans="2:14" s="322" customFormat="1" ht="18" customHeight="1">
      <c r="C1846" s="12" t="s">
        <v>5141</v>
      </c>
      <c r="I1846" s="9" t="s">
        <v>5142</v>
      </c>
      <c r="J1846" s="120" t="str">
        <f ca="1">IF(cst__button_kind="","",IF(ISERROR(INDIRECT(cst_shinsei_ctrl&amp;cst__button_kind&amp;"_REPORT_DATE")),"",IF(INDIRECT(cst_shinsei_ctrl&amp;cst__button_kind&amp;"_REPORT_DATE")="","",INDIRECT(cst_shinsei_ctrl&amp;cst__button_kind&amp;"_REPORT_DATE"))))</f>
        <v/>
      </c>
      <c r="L1846" s="328" t="s">
        <v>5130</v>
      </c>
      <c r="M1846" s="328"/>
      <c r="N1846" s="328" t="s">
        <v>5130</v>
      </c>
    </row>
    <row r="1847" spans="2:14" s="322" customFormat="1" ht="18" customHeight="1">
      <c r="C1847" s="12" t="s">
        <v>5143</v>
      </c>
      <c r="I1847" s="9" t="s">
        <v>5144</v>
      </c>
      <c r="J1847" s="40" t="str">
        <f ca="1">IF(cst__button_kind="","",IF(ISERROR(INDIRECT(cst_shinsei_ctrl&amp;cst__button_kind&amp;"_CAUSE")),"",IF(INDIRECT(cst_shinsei_ctrl&amp;cst__button_kind&amp;"_CAUSE")="","",INDIRECT(cst_shinsei_ctrl&amp;cst__button_kind&amp;"_CAUSE"))))</f>
        <v/>
      </c>
      <c r="L1847" s="328" t="s">
        <v>5130</v>
      </c>
      <c r="M1847" s="328"/>
      <c r="N1847" s="328" t="s">
        <v>5130</v>
      </c>
    </row>
    <row r="1848" spans="2:14" s="322" customFormat="1" ht="18" customHeight="1">
      <c r="G1848" s="7"/>
    </row>
    <row r="1849" spans="2:14" s="322" customFormat="1" ht="18" customHeight="1">
      <c r="B1849" s="322" t="s">
        <v>5145</v>
      </c>
      <c r="I1849" s="9"/>
      <c r="L1849" s="328"/>
      <c r="M1849" s="328"/>
      <c r="N1849" s="328"/>
    </row>
    <row r="1850" spans="2:14" s="322" customFormat="1" ht="18" customHeight="1">
      <c r="C1850" s="9" t="s">
        <v>5146</v>
      </c>
      <c r="I1850" s="9" t="s">
        <v>5147</v>
      </c>
      <c r="J1850" s="123" t="str">
        <f ca="1">IF(cst__button_kind="","",IF(ISERROR(INDIRECT(cst_shinsei_ctrl&amp;cst__button_kind&amp;cst_STRUCTNOTIFT_ctrl&amp;"_USE")),"",IF(INDIRECT(cst_shinsei_ctrl&amp;cst__button_kind&amp;cst_STRUCTNOTIFT_ctrl&amp;"_USE")="","",INDIRECT(cst_shinsei_ctrl&amp;cst__button_kind&amp;cst_STRUCTNOTIFT_ctrl&amp;"_USE"))))</f>
        <v/>
      </c>
      <c r="K1850" s="322" t="s">
        <v>5148</v>
      </c>
      <c r="L1850" s="328" t="s">
        <v>5149</v>
      </c>
      <c r="M1850" s="328" t="s">
        <v>5149</v>
      </c>
      <c r="N1850" s="328"/>
    </row>
    <row r="1851" spans="2:14" s="322" customFormat="1" ht="18" customHeight="1">
      <c r="C1851" s="12" t="s">
        <v>1730</v>
      </c>
      <c r="I1851" s="9" t="s">
        <v>5150</v>
      </c>
      <c r="J1851" s="120" t="str">
        <f ca="1">IF(cst__button_kind="","",IF(ISERROR(INDIRECT(cst_shinsei_ctrl&amp;cst__button_kind&amp;cst_STRUCTNOTIFT_ctrl&amp;"_NOTIFT_DATE")),"",IF(INDIRECT(cst_shinsei_ctrl&amp;cst__button_kind&amp;cst_STRUCTNOTIFT_ctrl&amp;"_NOTIFT_DATE")="","",INDIRECT(cst_shinsei_ctrl&amp;cst__button_kind&amp;cst_STRUCTNOTIFT_ctrl&amp;"_NOTIFT_DATE"))))</f>
        <v/>
      </c>
      <c r="L1851" s="328" t="s">
        <v>5149</v>
      </c>
      <c r="M1851" s="328" t="s">
        <v>5149</v>
      </c>
      <c r="N1851" s="328" t="s">
        <v>5149</v>
      </c>
    </row>
    <row r="1852" spans="2:14" s="322" customFormat="1" ht="18" customHeight="1">
      <c r="C1852" s="12" t="s">
        <v>5151</v>
      </c>
      <c r="I1852" s="9" t="s">
        <v>5152</v>
      </c>
      <c r="J1852" s="430" t="str">
        <f ca="1">IF(cst__button_kind="","",IF(ISERROR(INDIRECT(cst_shinsei_ctrl&amp;cst__button_kind&amp;cst_STRUCTNOTIFT_ctrl&amp;"_NOTIFT_NO")),"",IF(INDIRECT(cst_shinsei_ctrl&amp;cst__button_kind&amp;cst_STRUCTNOTIFT_ctrl&amp;"_NOTIFT_NO")="","",INDIRECT(cst_shinsei_ctrl&amp;cst__button_kind&amp;cst_STRUCTNOTIFT_ctrl&amp;"_NOTIFT_NO"))))</f>
        <v/>
      </c>
      <c r="L1852" s="328" t="s">
        <v>5149</v>
      </c>
      <c r="M1852" s="328" t="s">
        <v>5149</v>
      </c>
      <c r="N1852" s="328" t="s">
        <v>5149</v>
      </c>
    </row>
    <row r="1853" spans="2:14" s="322" customFormat="1" ht="18" customHeight="1">
      <c r="C1853" s="9" t="s">
        <v>5153</v>
      </c>
      <c r="I1853" s="9" t="s">
        <v>5154</v>
      </c>
      <c r="J1853" s="430" t="str">
        <f ca="1">IF(cst__button_kind="","",IF(ISERROR(INDIRECT(cst_shinsei_ctrl&amp;cst__button_kind&amp;cst_STRUCTNOTIFT_ctrl&amp;"_TOUTYAKU_MEMO")),"",IF(INDIRECT(cst_shinsei_ctrl&amp;cst__button_kind&amp;cst_STRUCTNOTIFT_ctrl&amp;"_TOUTYAKU_MEMO")="","",INDIRECT(cst_shinsei_ctrl&amp;cst__button_kind&amp;cst_STRUCTNOTIFT_ctrl&amp;"_TOUTYAKU_MEMO"))))</f>
        <v/>
      </c>
      <c r="L1853" s="328" t="s">
        <v>5149</v>
      </c>
      <c r="M1853" s="328" t="s">
        <v>5149</v>
      </c>
      <c r="N1853" s="328"/>
    </row>
    <row r="1854" spans="2:14" s="322" customFormat="1" ht="18" customHeight="1">
      <c r="C1854" s="9" t="s">
        <v>1699</v>
      </c>
      <c r="I1854" s="9" t="s">
        <v>5155</v>
      </c>
      <c r="J1854" s="430" t="str">
        <f ca="1">IF(cst__button_kind="","",IF(ISERROR(INDIRECT(cst_shinsei_ctrl&amp;cst__button_kind&amp;cst_STRUCTNOTIFT_ctrl&amp;"_BIKO")),"",IF(INDIRECT(cst_shinsei_ctrl&amp;cst__button_kind&amp;cst_STRUCTNOTIFT_ctrl&amp;"_BIKO")="","",INDIRECT(cst_shinsei_ctrl&amp;cst__button_kind&amp;cst_STRUCTNOTIFT_ctrl&amp;"_BIKO"))))</f>
        <v/>
      </c>
      <c r="L1854" s="328" t="s">
        <v>5149</v>
      </c>
      <c r="M1854" s="328" t="s">
        <v>5149</v>
      </c>
      <c r="N1854" s="328"/>
    </row>
    <row r="1855" spans="2:14" s="322" customFormat="1" ht="18" customHeight="1">
      <c r="C1855" s="12" t="s">
        <v>5156</v>
      </c>
      <c r="I1855" s="9" t="s">
        <v>5157</v>
      </c>
      <c r="J1855" s="120" t="str">
        <f ca="1">IF(cst__button_kind="","",IF(ISERROR(INDIRECT(cst_shinsei_ctrl&amp;cst__button_kind&amp;cst_STRUCTNOTIFT_ctrl&amp;"_TUIKA_DATE")),"",IF(INDIRECT(cst_shinsei_ctrl&amp;cst__button_kind&amp;cst_STRUCTNOTIFT_ctrl&amp;"_TUIKA_DATE")="","",INDIRECT(cst_shinsei_ctrl&amp;cst__button_kind&amp;cst_STRUCTNOTIFT_ctrl&amp;"_TUIKA_DATE"))))</f>
        <v/>
      </c>
      <c r="L1855" s="328" t="s">
        <v>5149</v>
      </c>
      <c r="M1855" s="328" t="s">
        <v>5149</v>
      </c>
      <c r="N1855" s="328"/>
    </row>
    <row r="1856" spans="2:14" s="322" customFormat="1" ht="18" customHeight="1">
      <c r="C1856" s="9" t="s">
        <v>5158</v>
      </c>
      <c r="I1856" s="9" t="s">
        <v>5159</v>
      </c>
      <c r="J1856" s="40" t="str">
        <f ca="1">IF(cst__button_kind="","",IF(ISERROR(INDIRECT(cst_shinsei_ctrl&amp;cst__button_kind&amp;cst_STRUCTNOTIFT_ctrl&amp;"_DOCNO")),"",IF(INDIRECT(cst_shinsei_ctrl&amp;cst__button_kind&amp;cst_STRUCTNOTIFT_ctrl&amp;"_DOCNO")="","",INDIRECT(cst_shinsei_ctrl&amp;cst__button_kind&amp;cst_STRUCTNOTIFT_ctrl&amp;"_DOCNO"))))</f>
        <v/>
      </c>
      <c r="L1856" s="328" t="s">
        <v>5149</v>
      </c>
      <c r="M1856" s="328" t="s">
        <v>5149</v>
      </c>
      <c r="N1856" s="328"/>
    </row>
    <row r="1857" spans="1:14" s="322" customFormat="1" ht="18" customHeight="1">
      <c r="G1857" s="7"/>
    </row>
    <row r="1858" spans="1:14" s="322" customFormat="1" ht="18" customHeight="1">
      <c r="B1858" s="9" t="s">
        <v>5160</v>
      </c>
      <c r="C1858" s="12"/>
      <c r="I1858" s="9"/>
      <c r="J1858" s="124"/>
      <c r="L1858" s="328"/>
      <c r="M1858" s="328"/>
      <c r="N1858" s="328"/>
    </row>
    <row r="1859" spans="1:14" s="322" customFormat="1" ht="18" customHeight="1">
      <c r="C1859" s="12" t="s">
        <v>1730</v>
      </c>
      <c r="I1859" s="9" t="s">
        <v>5161</v>
      </c>
      <c r="J1859" s="120" t="str">
        <f ca="1">IF(cst__button_kind="","",IF(ISERROR(INDIRECT(cst_shinsei_ctrl&amp;cst__button_kind&amp;"_STRUCTTUIKA_NOTIFT_DATE")),"",IF(INDIRECT(cst_shinsei_ctrl&amp;cst__button_kind&amp;"_STRUCTTUIKA_NOTIFT_DATE")="","",INDIRECT(cst_shinsei_ctrl&amp;cst__button_kind&amp;"_STRUCTTUIKA_NOTIFT_DATE"))))</f>
        <v/>
      </c>
      <c r="L1859" s="328" t="s">
        <v>5149</v>
      </c>
      <c r="M1859" s="328" t="s">
        <v>5149</v>
      </c>
      <c r="N1859" s="328" t="s">
        <v>5149</v>
      </c>
    </row>
    <row r="1860" spans="1:14" s="322" customFormat="1" ht="18" customHeight="1">
      <c r="C1860" s="9" t="s">
        <v>5162</v>
      </c>
      <c r="I1860" s="9" t="s">
        <v>5163</v>
      </c>
      <c r="J1860" s="120" t="str">
        <f ca="1">IF(cst__button_kind="","",IF(ISERROR(INDIRECT(cst_shinsei_ctrl&amp;cst__button_kind&amp;"_STRUCTNOTIFT_HENKOU_NOTIFT_DATE")),"",IF(INDIRECT(cst_shinsei_ctrl&amp;cst__button_kind&amp;"_STRUCTNOTIFT_HENKOU_NOTIFT_DATE")="","",INDIRECT(cst_shinsei_ctrl&amp;cst__button_kind&amp;"_STRUCTNOTIFT_HENKOU_NOTIFT_DATE"))))</f>
        <v/>
      </c>
      <c r="L1860" s="328" t="s">
        <v>5149</v>
      </c>
      <c r="M1860" s="328" t="s">
        <v>5149</v>
      </c>
      <c r="N1860" s="328"/>
    </row>
    <row r="1861" spans="1:14" s="322" customFormat="1" ht="18" customHeight="1">
      <c r="C1861" s="9" t="s">
        <v>5164</v>
      </c>
      <c r="I1861" s="9" t="s">
        <v>5165</v>
      </c>
      <c r="J1861" s="120" t="str">
        <f ca="1">IF(cst__button_kind="","",IF(ISERROR(INDIRECT(cst_shinsei_ctrl&amp;cst__button_kind&amp;"_STRUCTNOTIFT_HENKOU_LIMIT_DATE")),"",IF(INDIRECT(cst_shinsei_ctrl&amp;cst__button_kind&amp;"_STRUCTNOTIFT_HENKOU_LIMIT_DATE")="","",INDIRECT(cst_shinsei_ctrl&amp;cst__button_kind&amp;"_STRUCTNOTIFT_HENKOU_LIMIT_DATE"))))</f>
        <v/>
      </c>
      <c r="L1861" s="328" t="s">
        <v>5149</v>
      </c>
      <c r="M1861" s="328" t="s">
        <v>5149</v>
      </c>
      <c r="N1861" s="328"/>
    </row>
    <row r="1862" spans="1:14" s="322" customFormat="1" ht="18" customHeight="1">
      <c r="C1862" s="9" t="s">
        <v>5166</v>
      </c>
      <c r="I1862" s="9" t="s">
        <v>5167</v>
      </c>
      <c r="J1862" s="40" t="str">
        <f ca="1">IF(cst__button_kind="","",IF(ISERROR(INDIRECT(cst_shinsei_ctrl&amp;cst__button_kind&amp;"_STRUCTTUIKA_DOCNO")),"",IF(INDIRECT(cst_shinsei_ctrl&amp;cst__button_kind&amp;"_STRUCTTUIKA_DOCNO")="","",INDIRECT(cst_shinsei_ctrl&amp;cst__button_kind&amp;"_STRUCTTUIKA_DOCNO"))))</f>
        <v/>
      </c>
      <c r="L1862" s="328" t="s">
        <v>5149</v>
      </c>
      <c r="M1862" s="328" t="s">
        <v>5149</v>
      </c>
      <c r="N1862" s="328"/>
    </row>
    <row r="1863" spans="1:14" s="322" customFormat="1" ht="18" customHeight="1">
      <c r="G1863" s="7"/>
    </row>
    <row r="1864" spans="1:14" s="322" customFormat="1" ht="18" customHeight="1">
      <c r="B1864" s="9" t="s">
        <v>5168</v>
      </c>
      <c r="I1864" s="9" t="s">
        <v>5169</v>
      </c>
      <c r="J1864" s="40" t="str">
        <f ca="1">IF(cst__button_kind="","",IF(ISERROR(INDIRECT(cst_shinsei_ctrl&amp;cst__button_kind&amp;"_BIKO")),"",IF(INDIRECT(cst_shinsei_ctrl&amp;cst__button_kind&amp;"_BIKO")="","",INDIRECT(cst_shinsei_ctrl&amp;cst__button_kind&amp;"_BIKO"))))</f>
        <v/>
      </c>
      <c r="L1864" s="328" t="s">
        <v>5149</v>
      </c>
      <c r="M1864" s="328" t="s">
        <v>5149</v>
      </c>
      <c r="N1864" s="328"/>
    </row>
    <row r="1869" spans="1:14" s="10" customFormat="1" ht="18" customHeight="1">
      <c r="A1869" s="125" t="s">
        <v>5170</v>
      </c>
      <c r="B1869" s="125"/>
      <c r="C1869" s="125"/>
      <c r="D1869" s="125"/>
      <c r="E1869" s="125"/>
      <c r="F1869" s="125"/>
      <c r="G1869" s="125"/>
      <c r="H1869" s="9"/>
    </row>
    <row r="1870" spans="1:14" s="10" customFormat="1" ht="18" customHeight="1">
      <c r="A1870" s="12"/>
      <c r="B1870" s="12"/>
      <c r="C1870" s="12"/>
      <c r="D1870" s="12"/>
      <c r="E1870" s="12"/>
      <c r="F1870" s="12"/>
      <c r="G1870" s="12"/>
      <c r="H1870" s="9"/>
      <c r="I1870" s="9"/>
    </row>
    <row r="1871" spans="1:14" s="10" customFormat="1" ht="18" customHeight="1">
      <c r="A1871" s="105" t="s">
        <v>5171</v>
      </c>
      <c r="B1871" s="105"/>
      <c r="C1871" s="105"/>
      <c r="D1871" s="105"/>
      <c r="E1871" s="105"/>
      <c r="F1871" s="105"/>
      <c r="G1871" s="12"/>
      <c r="H1871" s="9"/>
    </row>
    <row r="1872" spans="1:14" s="10" customFormat="1" ht="18" customHeight="1">
      <c r="A1872" s="13"/>
      <c r="B1872" s="12" t="s">
        <v>5119</v>
      </c>
      <c r="C1872" s="12"/>
      <c r="D1872" s="12"/>
      <c r="E1872" s="12"/>
      <c r="F1872" s="12"/>
      <c r="G1872" s="12" t="s">
        <v>5172</v>
      </c>
      <c r="H1872" s="74"/>
      <c r="I1872" s="9" t="s">
        <v>5173</v>
      </c>
      <c r="J1872" s="87" t="str">
        <f>IF(shinsei_IMPOSS_NOTIFY_DATE="","",shinsei_IMPOSS_NOTIFY_DATE)</f>
        <v/>
      </c>
    </row>
    <row r="1873" spans="1:10" s="10" customFormat="1" ht="18" customHeight="1">
      <c r="A1873" s="13"/>
      <c r="B1873" s="12" t="s">
        <v>5124</v>
      </c>
      <c r="C1873" s="12"/>
      <c r="D1873" s="12"/>
      <c r="E1873" s="12"/>
      <c r="F1873" s="12"/>
      <c r="G1873" s="12" t="s">
        <v>5174</v>
      </c>
      <c r="H1873" s="13" t="s">
        <v>11787</v>
      </c>
      <c r="I1873" s="9" t="s">
        <v>5175</v>
      </c>
      <c r="J1873" s="19" t="str">
        <f>IF(shinsei_IMPOSS_NOTIFY_USER_ID="","",shinsei_IMPOSS_NOTIFY_USER_ID)</f>
        <v/>
      </c>
    </row>
    <row r="1874" spans="1:10" s="10" customFormat="1" ht="18" customHeight="1">
      <c r="A1874" s="13"/>
      <c r="B1874" s="12" t="s">
        <v>5128</v>
      </c>
      <c r="C1874" s="12"/>
      <c r="D1874" s="12"/>
      <c r="E1874" s="12"/>
      <c r="F1874" s="12"/>
      <c r="G1874" s="12" t="s">
        <v>5176</v>
      </c>
      <c r="H1874" s="74"/>
      <c r="I1874" s="9" t="s">
        <v>5177</v>
      </c>
      <c r="J1874" s="87" t="str">
        <f>IF(shinsei_IMPOSS_NOTIFY_LIMIT_DATE="","",shinsei_IMPOSS_NOTIFY_LIMIT_DATE)</f>
        <v/>
      </c>
    </row>
    <row r="1875" spans="1:10" s="10" customFormat="1" ht="18" customHeight="1">
      <c r="A1875" s="13"/>
      <c r="B1875" s="12" t="s">
        <v>1697</v>
      </c>
      <c r="C1875" s="12"/>
      <c r="D1875" s="12"/>
      <c r="E1875" s="12"/>
      <c r="F1875" s="12"/>
      <c r="G1875" s="12" t="s">
        <v>5178</v>
      </c>
      <c r="H1875" s="13" t="s">
        <v>11787</v>
      </c>
      <c r="I1875" s="9" t="s">
        <v>5179</v>
      </c>
      <c r="J1875" s="19" t="str">
        <f>IF(shinsei_IMPOSS_NOTIFY_CAUSE="","",shinsei_IMPOSS_NOTIFY_CAUSE)</f>
        <v/>
      </c>
    </row>
    <row r="1876" spans="1:10" s="10" customFormat="1" ht="18" customHeight="1">
      <c r="A1876" s="13"/>
      <c r="B1876" s="12" t="s">
        <v>1699</v>
      </c>
      <c r="C1876" s="12"/>
      <c r="D1876" s="12"/>
      <c r="E1876" s="12"/>
      <c r="F1876" s="12"/>
      <c r="G1876" s="12" t="s">
        <v>5180</v>
      </c>
      <c r="H1876" s="13" t="s">
        <v>11787</v>
      </c>
      <c r="I1876" s="9" t="s">
        <v>5181</v>
      </c>
      <c r="J1876" s="19" t="str">
        <f>IF(shinsei_IMPOSS_NOTIFY_BIKO="","",shinsei_IMPOSS_NOTIFY_BIKO)</f>
        <v/>
      </c>
    </row>
    <row r="1877" spans="1:10" s="10" customFormat="1" ht="18" customHeight="1">
      <c r="A1877" s="12"/>
      <c r="B1877" s="11"/>
      <c r="C1877" s="11"/>
      <c r="D1877" s="11"/>
      <c r="E1877" s="11"/>
      <c r="F1877" s="11"/>
      <c r="G1877" s="11"/>
    </row>
    <row r="1878" spans="1:10" s="10" customFormat="1" ht="18" customHeight="1">
      <c r="A1878" s="105" t="s">
        <v>5182</v>
      </c>
      <c r="B1878" s="105"/>
      <c r="C1878" s="105"/>
      <c r="D1878" s="105"/>
      <c r="E1878" s="105"/>
      <c r="F1878" s="105"/>
      <c r="G1878" s="105"/>
      <c r="H1878" s="9"/>
      <c r="I1878" s="9"/>
      <c r="J1878" s="9"/>
    </row>
    <row r="1879" spans="1:10" s="10" customFormat="1" ht="18" customHeight="1">
      <c r="A1879" s="13"/>
      <c r="B1879" s="12" t="s">
        <v>5141</v>
      </c>
      <c r="C1879" s="12"/>
      <c r="D1879" s="12"/>
      <c r="E1879" s="12"/>
      <c r="F1879" s="12"/>
      <c r="G1879" s="12" t="s">
        <v>5183</v>
      </c>
      <c r="H1879" s="126"/>
      <c r="I1879" s="9" t="s">
        <v>5184</v>
      </c>
      <c r="J1879" s="87" t="str">
        <f>IF(shinsei_IMPOSS_REPORT_DATE="","",shinsei_IMPOSS_REPORT_DATE)</f>
        <v/>
      </c>
    </row>
    <row r="1880" spans="1:10" s="10" customFormat="1" ht="18" customHeight="1">
      <c r="A1880" s="12"/>
      <c r="B1880" s="11"/>
      <c r="C1880" s="11"/>
      <c r="D1880" s="11"/>
      <c r="E1880" s="11"/>
      <c r="F1880" s="11"/>
      <c r="G1880" s="11"/>
    </row>
    <row r="1881" spans="1:10" s="10" customFormat="1" ht="18" customHeight="1">
      <c r="A1881" s="12" t="s">
        <v>5185</v>
      </c>
      <c r="B1881" s="12"/>
      <c r="C1881" s="12"/>
      <c r="D1881" s="12"/>
      <c r="E1881" s="12"/>
      <c r="F1881" s="12"/>
      <c r="G1881" s="12"/>
      <c r="H1881" s="9"/>
      <c r="I1881" s="9"/>
      <c r="J1881" s="9"/>
    </row>
    <row r="1882" spans="1:10" s="10" customFormat="1" ht="18" customHeight="1">
      <c r="A1882" s="12"/>
      <c r="B1882" s="12" t="s">
        <v>1730</v>
      </c>
      <c r="C1882" s="12"/>
      <c r="D1882" s="12"/>
      <c r="E1882" s="12"/>
      <c r="F1882" s="12"/>
      <c r="G1882" s="12" t="s">
        <v>1903</v>
      </c>
      <c r="H1882" s="74"/>
      <c r="I1882" s="127" t="s">
        <v>5186</v>
      </c>
      <c r="J1882" s="128" t="str">
        <f>IF(shinsei_IMPOSS1_NOTIFY_ID__STRUCTNOTIFT_NOTIFT_DATE="","",shinsei_IMPOSS1_NOTIFY_ID__STRUCTNOTIFT_NOTIFT_DATE)</f>
        <v/>
      </c>
    </row>
    <row r="1883" spans="1:10" s="10" customFormat="1" ht="18" customHeight="1">
      <c r="A1883" s="12"/>
      <c r="B1883" s="12" t="s">
        <v>5151</v>
      </c>
      <c r="C1883" s="12"/>
      <c r="D1883" s="12"/>
      <c r="E1883" s="12"/>
      <c r="F1883" s="12"/>
      <c r="G1883" s="12" t="s">
        <v>1904</v>
      </c>
      <c r="H1883" s="13" t="s">
        <v>11787</v>
      </c>
      <c r="I1883" s="127" t="s">
        <v>5187</v>
      </c>
      <c r="J1883" s="19" t="str">
        <f>IF(shinsei_IMPOSS1_NOTIFY_ID__STRUCTNOTIFT_NOTIFT_NO="","",shinsei_IMPOSS1_NOTIFY_ID__STRUCTNOTIFT_NOTIFT_NO)</f>
        <v/>
      </c>
    </row>
    <row r="1884" spans="1:10" s="10" customFormat="1" ht="18" customHeight="1">
      <c r="A1884" s="12"/>
      <c r="B1884" s="12" t="s">
        <v>5188</v>
      </c>
      <c r="C1884" s="12"/>
      <c r="D1884" s="12"/>
      <c r="E1884" s="12"/>
      <c r="F1884" s="12"/>
      <c r="G1884" s="12" t="s">
        <v>1905</v>
      </c>
      <c r="H1884" s="74"/>
      <c r="I1884" s="127" t="s">
        <v>5189</v>
      </c>
      <c r="J1884" s="128" t="str">
        <f>IF(shinsei_IMPOSS1_NOTIFY_ID__STRUCTNOTIFT_TUIKA_DATE="","",shinsei_IMPOSS1_NOTIFY_ID__STRUCTNOTIFT_TUIKA_DATE)</f>
        <v/>
      </c>
    </row>
    <row r="1885" spans="1:10" s="10" customFormat="1" ht="18" customHeight="1">
      <c r="A1885" s="12"/>
      <c r="B1885" s="12" t="s">
        <v>5190</v>
      </c>
      <c r="C1885" s="12"/>
      <c r="D1885" s="12"/>
      <c r="E1885" s="12"/>
      <c r="F1885" s="12"/>
      <c r="G1885" s="12" t="s">
        <v>1906</v>
      </c>
      <c r="H1885" s="74"/>
      <c r="I1885" s="127" t="s">
        <v>5191</v>
      </c>
      <c r="J1885" s="128" t="str">
        <f>IF(shinsei_IMPOSS1_NOTIFY_ID__STRUCTTUIKA_NOTIFT_DATE="","",shinsei_IMPOSS1_NOTIFY_ID__STRUCTTUIKA_NOTIFT_DATE)</f>
        <v/>
      </c>
    </row>
    <row r="1886" spans="1:10" s="10" customFormat="1" ht="18" customHeight="1">
      <c r="A1886" s="12"/>
      <c r="B1886" s="12"/>
      <c r="C1886" s="12"/>
      <c r="D1886" s="12"/>
      <c r="E1886" s="12"/>
      <c r="F1886" s="12"/>
      <c r="G1886" s="12"/>
      <c r="H1886" s="9"/>
      <c r="I1886" s="9"/>
      <c r="J1886" s="9"/>
    </row>
    <row r="1887" spans="1:10" s="10" customFormat="1" ht="18" customHeight="1">
      <c r="A1887" s="12"/>
      <c r="B1887" s="12"/>
      <c r="C1887" s="12"/>
      <c r="D1887" s="12"/>
      <c r="E1887" s="12"/>
      <c r="F1887" s="12"/>
      <c r="G1887" s="12"/>
      <c r="H1887" s="9"/>
      <c r="I1887" s="9"/>
      <c r="J1887" s="9"/>
    </row>
    <row r="1888" spans="1:10" s="10" customFormat="1" ht="18" customHeight="1">
      <c r="A1888" s="105" t="s">
        <v>5192</v>
      </c>
      <c r="B1888" s="105"/>
      <c r="C1888" s="105"/>
      <c r="D1888" s="105"/>
      <c r="E1888" s="105"/>
      <c r="F1888" s="105"/>
      <c r="G1888" s="105"/>
      <c r="H1888" s="19"/>
      <c r="I1888" s="9"/>
      <c r="J1888" s="9"/>
    </row>
    <row r="1889" spans="1:10" s="10" customFormat="1" ht="18" customHeight="1">
      <c r="A1889" s="13"/>
      <c r="B1889" s="12" t="s">
        <v>5119</v>
      </c>
      <c r="C1889" s="12"/>
      <c r="D1889" s="12"/>
      <c r="E1889" s="12"/>
      <c r="F1889" s="12"/>
      <c r="G1889" s="12" t="s">
        <v>5193</v>
      </c>
      <c r="H1889" s="74"/>
      <c r="I1889" s="9" t="s">
        <v>5194</v>
      </c>
      <c r="J1889" s="87" t="str">
        <f>IF(shinsei_IMPOSS2_NOTIFY_ID__NOTIFY_DATE="","",shinsei_IMPOSS2_NOTIFY_ID__NOTIFY_DATE)</f>
        <v/>
      </c>
    </row>
    <row r="1890" spans="1:10" s="10" customFormat="1" ht="18" customHeight="1">
      <c r="A1890" s="13"/>
      <c r="B1890" s="12" t="s">
        <v>5124</v>
      </c>
      <c r="C1890" s="12"/>
      <c r="D1890" s="12"/>
      <c r="E1890" s="12"/>
      <c r="F1890" s="12"/>
      <c r="G1890" s="12" t="s">
        <v>5195</v>
      </c>
      <c r="H1890" s="13" t="s">
        <v>11787</v>
      </c>
      <c r="I1890" s="9" t="s">
        <v>5196</v>
      </c>
      <c r="J1890" s="19" t="str">
        <f>IF(shinsei_IMPOSS2_NOTIFY_ID__KENSAIN_USER_ID="","",shinsei_IMPOSS2_NOTIFY_ID__KENSAIN_USER_ID)</f>
        <v/>
      </c>
    </row>
    <row r="1891" spans="1:10" s="10" customFormat="1" ht="18" customHeight="1">
      <c r="A1891" s="13"/>
      <c r="B1891" s="12" t="s">
        <v>5128</v>
      </c>
      <c r="C1891" s="12"/>
      <c r="D1891" s="12"/>
      <c r="E1891" s="12"/>
      <c r="F1891" s="12"/>
      <c r="G1891" s="12" t="s">
        <v>5197</v>
      </c>
      <c r="H1891" s="74"/>
      <c r="I1891" s="9" t="s">
        <v>5198</v>
      </c>
      <c r="J1891" s="87" t="str">
        <f>IF(shinsei_IMPOSS2_NOTIFY_ID__LIMIT_DATE="","",shinsei_IMPOSS2_NOTIFY_ID__LIMIT_DATE)</f>
        <v/>
      </c>
    </row>
    <row r="1892" spans="1:10" s="10" customFormat="1" ht="18" customHeight="1">
      <c r="A1892" s="13"/>
      <c r="B1892" s="12" t="s">
        <v>1697</v>
      </c>
      <c r="C1892" s="12"/>
      <c r="D1892" s="12"/>
      <c r="E1892" s="12"/>
      <c r="F1892" s="12"/>
      <c r="G1892" s="12" t="s">
        <v>5199</v>
      </c>
      <c r="H1892" s="13" t="s">
        <v>11787</v>
      </c>
      <c r="I1892" s="9" t="s">
        <v>5200</v>
      </c>
      <c r="J1892" s="19" t="str">
        <f>IF(shinsei_IMPOSS2_NOTIFY_ID__NOTIFY_CAUSE="","",shinsei_IMPOSS2_NOTIFY_ID__NOTIFY_CAUSE)</f>
        <v/>
      </c>
    </row>
    <row r="1893" spans="1:10" s="10" customFormat="1" ht="18" customHeight="1">
      <c r="A1893" s="13"/>
      <c r="B1893" s="12" t="s">
        <v>1699</v>
      </c>
      <c r="C1893" s="12"/>
      <c r="D1893" s="12"/>
      <c r="E1893" s="12"/>
      <c r="F1893" s="12"/>
      <c r="G1893" s="12" t="s">
        <v>1907</v>
      </c>
      <c r="H1893" s="13" t="s">
        <v>11787</v>
      </c>
      <c r="I1893" s="9" t="s">
        <v>5201</v>
      </c>
      <c r="J1893" s="19" t="str">
        <f>IF(shinsei_IMPOSS2_NOTIFY_ID__NOTIFY_NOTE="","",shinsei_IMPOSS2_NOTIFY_ID__NOTIFY_NOTE)</f>
        <v/>
      </c>
    </row>
    <row r="1894" spans="1:10" s="10" customFormat="1" ht="18" customHeight="1">
      <c r="A1894" s="12"/>
      <c r="B1894" s="11"/>
      <c r="C1894" s="11"/>
      <c r="D1894" s="11"/>
      <c r="E1894" s="11"/>
      <c r="F1894" s="11"/>
      <c r="G1894" s="11"/>
    </row>
    <row r="1895" spans="1:10" s="10" customFormat="1" ht="18" customHeight="1">
      <c r="A1895" s="105" t="s">
        <v>5202</v>
      </c>
      <c r="B1895" s="105"/>
      <c r="C1895" s="105"/>
      <c r="D1895" s="105"/>
      <c r="E1895" s="105"/>
      <c r="F1895" s="105"/>
      <c r="G1895" s="105"/>
      <c r="H1895" s="9"/>
      <c r="I1895" s="9"/>
      <c r="J1895" s="9"/>
    </row>
    <row r="1896" spans="1:10" s="10" customFormat="1" ht="18" customHeight="1">
      <c r="A1896" s="13"/>
      <c r="B1896" s="12" t="s">
        <v>5141</v>
      </c>
      <c r="C1896" s="12"/>
      <c r="D1896" s="12"/>
      <c r="E1896" s="12"/>
      <c r="F1896" s="12"/>
      <c r="G1896" s="12" t="s">
        <v>5203</v>
      </c>
      <c r="H1896" s="74"/>
      <c r="I1896" s="9" t="s">
        <v>5204</v>
      </c>
      <c r="J1896" s="87" t="str">
        <f>IF(shinsei_IMPOSS2_NOTIFY_ID__REPORT_DATE="","",shinsei_IMPOSS2_NOTIFY_ID__REPORT_DATE)</f>
        <v/>
      </c>
    </row>
    <row r="1897" spans="1:10" s="10" customFormat="1" ht="18" customHeight="1">
      <c r="A1897" s="12"/>
      <c r="B1897" s="11"/>
      <c r="C1897" s="11"/>
      <c r="D1897" s="11"/>
      <c r="E1897" s="11"/>
      <c r="F1897" s="11"/>
      <c r="G1897" s="11"/>
    </row>
    <row r="1898" spans="1:10" s="10" customFormat="1" ht="18" customHeight="1">
      <c r="A1898" s="12" t="s">
        <v>5185</v>
      </c>
      <c r="B1898" s="12"/>
      <c r="C1898" s="12"/>
      <c r="D1898" s="12"/>
      <c r="E1898" s="12"/>
      <c r="F1898" s="12"/>
      <c r="G1898" s="12"/>
      <c r="H1898" s="9"/>
      <c r="I1898" s="9"/>
      <c r="J1898" s="9"/>
    </row>
    <row r="1899" spans="1:10" s="10" customFormat="1" ht="18" customHeight="1">
      <c r="A1899" s="12"/>
      <c r="B1899" s="12" t="s">
        <v>1730</v>
      </c>
      <c r="C1899" s="12"/>
      <c r="D1899" s="12"/>
      <c r="E1899" s="12"/>
      <c r="F1899" s="12"/>
      <c r="G1899" s="12" t="s">
        <v>1908</v>
      </c>
      <c r="H1899" s="74"/>
      <c r="I1899" s="127" t="s">
        <v>5205</v>
      </c>
      <c r="J1899" s="128" t="str">
        <f>IF(shinsei_IMPOSS2_NOTIFY_ID__STRUCTNOTIFT_NOTIFT_DATE="","",shinsei_IMPOSS2_NOTIFY_ID__STRUCTNOTIFT_NOTIFT_DATE)</f>
        <v/>
      </c>
    </row>
    <row r="1900" spans="1:10" s="10" customFormat="1" ht="18" customHeight="1">
      <c r="A1900" s="12"/>
      <c r="B1900" s="12" t="s">
        <v>5151</v>
      </c>
      <c r="C1900" s="12"/>
      <c r="D1900" s="12"/>
      <c r="E1900" s="12"/>
      <c r="F1900" s="12"/>
      <c r="G1900" s="12" t="s">
        <v>1909</v>
      </c>
      <c r="H1900" s="13" t="s">
        <v>11787</v>
      </c>
      <c r="I1900" s="127" t="s">
        <v>5206</v>
      </c>
      <c r="J1900" s="19" t="str">
        <f>IF(shinsei_IMPOSS2_NOTIFY_ID__STRUCTNOTIFT_NOTIFT_NO="","",shinsei_IMPOSS2_NOTIFY_ID__STRUCTNOTIFT_NOTIFT_NO)</f>
        <v/>
      </c>
    </row>
    <row r="1901" spans="1:10" s="10" customFormat="1" ht="18" customHeight="1">
      <c r="A1901" s="12"/>
      <c r="B1901" s="12" t="s">
        <v>5188</v>
      </c>
      <c r="C1901" s="12"/>
      <c r="D1901" s="12"/>
      <c r="E1901" s="12"/>
      <c r="F1901" s="12"/>
      <c r="G1901" s="12" t="s">
        <v>1910</v>
      </c>
      <c r="H1901" s="74"/>
      <c r="I1901" s="127" t="s">
        <v>5207</v>
      </c>
      <c r="J1901" s="128" t="str">
        <f>IF(shinsei_IMPOSS2_NOTIFY_ID__STRUCTNOTIFT_TUIKA_DATE="","",shinsei_IMPOSS2_NOTIFY_ID__STRUCTNOTIFT_TUIKA_DATE)</f>
        <v/>
      </c>
    </row>
    <row r="1902" spans="1:10" s="10" customFormat="1" ht="18" customHeight="1">
      <c r="A1902" s="12"/>
      <c r="B1902" s="12" t="s">
        <v>5190</v>
      </c>
      <c r="C1902" s="12"/>
      <c r="D1902" s="12"/>
      <c r="E1902" s="12"/>
      <c r="F1902" s="12"/>
      <c r="G1902" s="12" t="s">
        <v>1911</v>
      </c>
      <c r="H1902" s="74"/>
      <c r="I1902" s="127" t="s">
        <v>5208</v>
      </c>
      <c r="J1902" s="128" t="str">
        <f>IF(shinsei_IMPOSS2_NOTIFY_ID__STRUCTTUIKA_NOTIFT_DATE="","",shinsei_IMPOSS2_NOTIFY_ID__STRUCTTUIKA_NOTIFT_DATE)</f>
        <v/>
      </c>
    </row>
    <row r="1903" spans="1:10" s="10" customFormat="1" ht="18" customHeight="1">
      <c r="A1903" s="12"/>
      <c r="B1903" s="11"/>
      <c r="C1903" s="11"/>
      <c r="D1903" s="11"/>
      <c r="E1903" s="11"/>
      <c r="F1903" s="11"/>
      <c r="G1903" s="11"/>
    </row>
    <row r="1904" spans="1:10" s="10" customFormat="1" ht="18" customHeight="1">
      <c r="A1904" s="12"/>
      <c r="B1904" s="12"/>
      <c r="C1904" s="12"/>
      <c r="D1904" s="12"/>
      <c r="E1904" s="12"/>
      <c r="F1904" s="12"/>
      <c r="G1904" s="12"/>
      <c r="H1904" s="9"/>
      <c r="I1904" s="9"/>
      <c r="J1904" s="9"/>
    </row>
    <row r="1905" spans="1:10" s="10" customFormat="1" ht="18" customHeight="1">
      <c r="A1905" s="105" t="s">
        <v>5209</v>
      </c>
      <c r="B1905" s="105"/>
      <c r="C1905" s="105"/>
      <c r="D1905" s="105"/>
      <c r="E1905" s="105"/>
      <c r="F1905" s="105"/>
      <c r="G1905" s="105"/>
      <c r="H1905" s="19"/>
      <c r="I1905" s="9"/>
      <c r="J1905" s="9"/>
    </row>
    <row r="1906" spans="1:10" s="10" customFormat="1" ht="18" customHeight="1">
      <c r="A1906" s="13"/>
      <c r="B1906" s="12" t="s">
        <v>5119</v>
      </c>
      <c r="C1906" s="12"/>
      <c r="D1906" s="12"/>
      <c r="E1906" s="12"/>
      <c r="F1906" s="12"/>
      <c r="G1906" s="12" t="s">
        <v>5210</v>
      </c>
      <c r="H1906" s="74"/>
      <c r="I1906" s="9" t="s">
        <v>5211</v>
      </c>
      <c r="J1906" s="87" t="str">
        <f>IF(shinsei_IMPOSS3_NOTIFY_ID__NOTIFY_DATE="","",shinsei_IMPOSS3_NOTIFY_ID__NOTIFY_DATE)</f>
        <v/>
      </c>
    </row>
    <row r="1907" spans="1:10" s="10" customFormat="1" ht="18" customHeight="1">
      <c r="A1907" s="13"/>
      <c r="B1907" s="12" t="s">
        <v>5124</v>
      </c>
      <c r="C1907" s="12"/>
      <c r="D1907" s="12"/>
      <c r="E1907" s="12"/>
      <c r="F1907" s="12"/>
      <c r="G1907" s="12" t="s">
        <v>5212</v>
      </c>
      <c r="H1907" s="13" t="s">
        <v>11787</v>
      </c>
      <c r="I1907" s="9" t="s">
        <v>5213</v>
      </c>
      <c r="J1907" s="19" t="str">
        <f>IF(shinsei_IMPOSS3_NOTIFY_ID__KENSAIN_USER_ID="","",shinsei_IMPOSS3_NOTIFY_ID__KENSAIN_USER_ID)</f>
        <v/>
      </c>
    </row>
    <row r="1908" spans="1:10" s="10" customFormat="1" ht="18" customHeight="1">
      <c r="A1908" s="13"/>
      <c r="B1908" s="12" t="s">
        <v>5128</v>
      </c>
      <c r="C1908" s="12"/>
      <c r="D1908" s="12"/>
      <c r="E1908" s="12"/>
      <c r="F1908" s="12"/>
      <c r="G1908" s="12" t="s">
        <v>5214</v>
      </c>
      <c r="H1908" s="74"/>
      <c r="I1908" s="9" t="s">
        <v>5215</v>
      </c>
      <c r="J1908" s="87" t="str">
        <f>IF(shinsei_IMPOSS3_NOTIFY_ID__LIMIT_DATE="","",shinsei_IMPOSS3_NOTIFY_ID__LIMIT_DATE)</f>
        <v/>
      </c>
    </row>
    <row r="1909" spans="1:10" s="10" customFormat="1" ht="18" customHeight="1">
      <c r="A1909" s="13"/>
      <c r="B1909" s="12" t="s">
        <v>1697</v>
      </c>
      <c r="C1909" s="12"/>
      <c r="D1909" s="12"/>
      <c r="E1909" s="12"/>
      <c r="F1909" s="12"/>
      <c r="G1909" s="12" t="s">
        <v>5216</v>
      </c>
      <c r="H1909" s="13" t="s">
        <v>11787</v>
      </c>
      <c r="I1909" s="9" t="s">
        <v>5217</v>
      </c>
      <c r="J1909" s="19" t="str">
        <f>IF(shinsei_IMPOSS3_NOTIFY_ID__NOTIFY_CAUSE="","",shinsei_IMPOSS3_NOTIFY_ID__NOTIFY_CAUSE)</f>
        <v/>
      </c>
    </row>
    <row r="1910" spans="1:10" s="10" customFormat="1" ht="18" customHeight="1">
      <c r="A1910" s="13"/>
      <c r="B1910" s="12" t="s">
        <v>1699</v>
      </c>
      <c r="C1910" s="12"/>
      <c r="D1910" s="12"/>
      <c r="E1910" s="12"/>
      <c r="F1910" s="12"/>
      <c r="G1910" s="12" t="s">
        <v>5218</v>
      </c>
      <c r="H1910" s="13" t="s">
        <v>11787</v>
      </c>
      <c r="I1910" s="9" t="s">
        <v>5219</v>
      </c>
      <c r="J1910" s="19" t="str">
        <f>IF(shinsei_IMPOSS3_NOTIFY_ID__NOTIFY_NOTE="","",shinsei_IMPOSS3_NOTIFY_ID__NOTIFY_NOTE)</f>
        <v/>
      </c>
    </row>
    <row r="1911" spans="1:10" s="10" customFormat="1" ht="18" customHeight="1">
      <c r="A1911" s="12"/>
      <c r="B1911" s="11"/>
      <c r="C1911" s="11"/>
      <c r="D1911" s="11"/>
      <c r="E1911" s="11"/>
      <c r="F1911" s="11"/>
      <c r="G1911" s="11"/>
    </row>
    <row r="1912" spans="1:10" s="10" customFormat="1" ht="18" customHeight="1">
      <c r="A1912" s="105" t="s">
        <v>5220</v>
      </c>
      <c r="B1912" s="105"/>
      <c r="C1912" s="105"/>
      <c r="D1912" s="105"/>
      <c r="E1912" s="105"/>
      <c r="F1912" s="105"/>
      <c r="G1912" s="105"/>
      <c r="H1912" s="9"/>
      <c r="I1912" s="9"/>
      <c r="J1912" s="9"/>
    </row>
    <row r="1913" spans="1:10" s="10" customFormat="1" ht="18" customHeight="1">
      <c r="A1913" s="13"/>
      <c r="B1913" s="12" t="s">
        <v>5141</v>
      </c>
      <c r="C1913" s="12"/>
      <c r="D1913" s="12"/>
      <c r="E1913" s="12"/>
      <c r="F1913" s="12"/>
      <c r="G1913" s="12" t="s">
        <v>5221</v>
      </c>
      <c r="H1913" s="74"/>
      <c r="I1913" s="9" t="s">
        <v>5222</v>
      </c>
      <c r="J1913" s="87" t="str">
        <f>IF(shinsei_IMPOSS3_NOTIFY_ID__REPORT_DATE="","",shinsei_IMPOSS3_NOTIFY_ID__REPORT_DATE)</f>
        <v/>
      </c>
    </row>
    <row r="1914" spans="1:10" s="10" customFormat="1" ht="18" customHeight="1">
      <c r="A1914" s="12"/>
      <c r="B1914" s="11"/>
      <c r="C1914" s="11"/>
      <c r="D1914" s="11"/>
      <c r="E1914" s="11"/>
      <c r="F1914" s="11"/>
      <c r="G1914" s="11"/>
    </row>
    <row r="1915" spans="1:10" s="10" customFormat="1" ht="18" customHeight="1">
      <c r="A1915" s="12" t="s">
        <v>5185</v>
      </c>
      <c r="B1915" s="12"/>
      <c r="C1915" s="12"/>
      <c r="D1915" s="12"/>
      <c r="E1915" s="12"/>
      <c r="F1915" s="12"/>
      <c r="G1915" s="12"/>
      <c r="H1915" s="9"/>
      <c r="I1915" s="9"/>
      <c r="J1915" s="9"/>
    </row>
    <row r="1916" spans="1:10" s="10" customFormat="1" ht="18" customHeight="1">
      <c r="A1916" s="12"/>
      <c r="B1916" s="12" t="s">
        <v>1730</v>
      </c>
      <c r="C1916" s="12"/>
      <c r="D1916" s="12"/>
      <c r="E1916" s="12"/>
      <c r="F1916" s="12"/>
      <c r="G1916" s="12" t="s">
        <v>1912</v>
      </c>
      <c r="H1916" s="74"/>
      <c r="I1916" s="127" t="s">
        <v>5223</v>
      </c>
      <c r="J1916" s="128" t="str">
        <f>IF(shinsei_IMPOSS3_NOTIFY_ID__STRUCTNOTIFT_NOTIFT_DATE="","",shinsei_IMPOSS3_NOTIFY_ID__STRUCTNOTIFT_NOTIFT_DATE)</f>
        <v/>
      </c>
    </row>
    <row r="1917" spans="1:10" s="10" customFormat="1" ht="18" customHeight="1">
      <c r="A1917" s="12"/>
      <c r="B1917" s="12" t="s">
        <v>5151</v>
      </c>
      <c r="C1917" s="12"/>
      <c r="D1917" s="12"/>
      <c r="E1917" s="12"/>
      <c r="F1917" s="12"/>
      <c r="G1917" s="12" t="s">
        <v>1913</v>
      </c>
      <c r="H1917" s="13" t="s">
        <v>11787</v>
      </c>
      <c r="I1917" s="127" t="s">
        <v>5224</v>
      </c>
      <c r="J1917" s="19" t="str">
        <f>IF(shinsei_IMPOSS3_NOTIFY_ID__STRUCTNOTIFT_NOTIFT_NO="","",shinsei_IMPOSS3_NOTIFY_ID__STRUCTNOTIFT_NOTIFT_NO)</f>
        <v/>
      </c>
    </row>
    <row r="1918" spans="1:10" s="10" customFormat="1" ht="18" customHeight="1">
      <c r="A1918" s="12"/>
      <c r="B1918" s="12" t="s">
        <v>5188</v>
      </c>
      <c r="C1918" s="12"/>
      <c r="D1918" s="12"/>
      <c r="E1918" s="12"/>
      <c r="F1918" s="12"/>
      <c r="G1918" s="12" t="s">
        <v>1914</v>
      </c>
      <c r="H1918" s="74"/>
      <c r="I1918" s="127" t="s">
        <v>5225</v>
      </c>
      <c r="J1918" s="128" t="str">
        <f>IF(shinsei_IMPOSS3_NOTIFY_ID__STRUCTNOTIFT_TUIKA_DATE="","",shinsei_IMPOSS3_NOTIFY_ID__STRUCTNOTIFT_TUIKA_DATE)</f>
        <v/>
      </c>
    </row>
    <row r="1919" spans="1:10" s="10" customFormat="1" ht="18" customHeight="1">
      <c r="A1919" s="12"/>
      <c r="B1919" s="12" t="s">
        <v>5190</v>
      </c>
      <c r="C1919" s="12"/>
      <c r="D1919" s="12"/>
      <c r="E1919" s="12"/>
      <c r="F1919" s="12"/>
      <c r="G1919" s="12" t="s">
        <v>1915</v>
      </c>
      <c r="H1919" s="74"/>
      <c r="I1919" s="127" t="s">
        <v>5226</v>
      </c>
      <c r="J1919" s="128" t="str">
        <f>IF(shinsei_IMPOSS3_NOTIFY_ID__STRUCTTUIKA_NOTIFT_DATE="","",shinsei_IMPOSS3_NOTIFY_ID__STRUCTTUIKA_NOTIFT_DATE)</f>
        <v/>
      </c>
    </row>
    <row r="1920" spans="1:10" s="10" customFormat="1" ht="18" customHeight="1">
      <c r="A1920" s="12"/>
      <c r="B1920" s="11"/>
      <c r="C1920" s="11"/>
      <c r="D1920" s="11"/>
      <c r="E1920" s="11"/>
      <c r="F1920" s="11"/>
      <c r="G1920" s="11"/>
    </row>
    <row r="1921" spans="1:10" s="10" customFormat="1" ht="18" customHeight="1">
      <c r="A1921" s="12"/>
      <c r="B1921" s="12"/>
      <c r="C1921" s="12"/>
      <c r="D1921" s="12"/>
      <c r="E1921" s="12"/>
      <c r="F1921" s="12"/>
      <c r="G1921" s="12"/>
      <c r="H1921" s="9"/>
      <c r="I1921" s="9"/>
      <c r="J1921" s="9"/>
    </row>
    <row r="1922" spans="1:10" s="10" customFormat="1" ht="18" customHeight="1">
      <c r="A1922" s="105" t="s">
        <v>5227</v>
      </c>
      <c r="B1922" s="105"/>
      <c r="C1922" s="105"/>
      <c r="D1922" s="105"/>
      <c r="E1922" s="105"/>
      <c r="F1922" s="105"/>
      <c r="G1922" s="105"/>
      <c r="H1922" s="19"/>
      <c r="I1922" s="9"/>
      <c r="J1922" s="9"/>
    </row>
    <row r="1923" spans="1:10" s="10" customFormat="1" ht="18" customHeight="1">
      <c r="A1923" s="13"/>
      <c r="B1923" s="12" t="s">
        <v>5119</v>
      </c>
      <c r="C1923" s="12"/>
      <c r="D1923" s="12"/>
      <c r="E1923" s="12"/>
      <c r="F1923" s="12"/>
      <c r="G1923" s="12" t="s">
        <v>5228</v>
      </c>
      <c r="H1923" s="74"/>
      <c r="I1923" s="9" t="s">
        <v>5229</v>
      </c>
      <c r="J1923" s="87" t="str">
        <f>IF(shinsei_IMPOSS4_NOTIFY_ID__NOTIFY_DATE="","",shinsei_IMPOSS4_NOTIFY_ID__NOTIFY_DATE)</f>
        <v/>
      </c>
    </row>
    <row r="1924" spans="1:10" s="10" customFormat="1" ht="18" customHeight="1">
      <c r="A1924" s="13"/>
      <c r="B1924" s="12" t="s">
        <v>5124</v>
      </c>
      <c r="C1924" s="12"/>
      <c r="D1924" s="12"/>
      <c r="E1924" s="12"/>
      <c r="F1924" s="12"/>
      <c r="G1924" s="12" t="s">
        <v>5230</v>
      </c>
      <c r="H1924" s="13" t="s">
        <v>11787</v>
      </c>
      <c r="I1924" s="9" t="s">
        <v>5231</v>
      </c>
      <c r="J1924" s="19" t="str">
        <f>IF(shinsei_IMPOSS4_NOTIFY_ID__KENSAIN_USER_ID="","",shinsei_IMPOSS4_NOTIFY_ID__KENSAIN_USER_ID)</f>
        <v/>
      </c>
    </row>
    <row r="1925" spans="1:10" s="10" customFormat="1" ht="18" customHeight="1">
      <c r="A1925" s="13"/>
      <c r="B1925" s="12" t="s">
        <v>5128</v>
      </c>
      <c r="C1925" s="12"/>
      <c r="D1925" s="12"/>
      <c r="E1925" s="12"/>
      <c r="F1925" s="12"/>
      <c r="G1925" s="12" t="s">
        <v>5232</v>
      </c>
      <c r="H1925" s="74"/>
      <c r="I1925" s="9" t="s">
        <v>5233</v>
      </c>
      <c r="J1925" s="87" t="str">
        <f>IF(shinsei_IMPOSS4_NOTIFY_ID__LIMIT_DATE="","",shinsei_IMPOSS4_NOTIFY_ID__LIMIT_DATE)</f>
        <v/>
      </c>
    </row>
    <row r="1926" spans="1:10" s="10" customFormat="1" ht="18" customHeight="1">
      <c r="A1926" s="13"/>
      <c r="B1926" s="12" t="s">
        <v>1697</v>
      </c>
      <c r="C1926" s="12"/>
      <c r="D1926" s="12"/>
      <c r="E1926" s="12"/>
      <c r="F1926" s="12"/>
      <c r="G1926" s="12" t="s">
        <v>5234</v>
      </c>
      <c r="H1926" s="13" t="s">
        <v>11787</v>
      </c>
      <c r="I1926" s="9" t="s">
        <v>5235</v>
      </c>
      <c r="J1926" s="19" t="str">
        <f>IF(shinsei_IMPOSS4_NOTIFY_ID__NOTIFY_CAUSE="","",shinsei_IMPOSS4_NOTIFY_ID__NOTIFY_CAUSE)</f>
        <v/>
      </c>
    </row>
    <row r="1927" spans="1:10" s="10" customFormat="1" ht="18" customHeight="1">
      <c r="A1927" s="13"/>
      <c r="B1927" s="12" t="s">
        <v>1699</v>
      </c>
      <c r="C1927" s="12"/>
      <c r="D1927" s="12"/>
      <c r="E1927" s="12"/>
      <c r="F1927" s="12"/>
      <c r="G1927" s="12" t="s">
        <v>5236</v>
      </c>
      <c r="H1927" s="13" t="s">
        <v>11787</v>
      </c>
      <c r="I1927" s="9" t="s">
        <v>5237</v>
      </c>
      <c r="J1927" s="19" t="str">
        <f>IF(shinsei_IMPOSS4_NOTIFY_ID__NOTIFY_NOTE="","",shinsei_IMPOSS4_NOTIFY_ID__NOTIFY_NOTE)</f>
        <v/>
      </c>
    </row>
    <row r="1928" spans="1:10" s="10" customFormat="1" ht="18" customHeight="1">
      <c r="A1928" s="12"/>
      <c r="B1928" s="11"/>
      <c r="C1928" s="11"/>
      <c r="D1928" s="11"/>
      <c r="E1928" s="11"/>
      <c r="F1928" s="11"/>
      <c r="G1928" s="11"/>
    </row>
    <row r="1929" spans="1:10" s="10" customFormat="1" ht="18" customHeight="1">
      <c r="A1929" s="105" t="s">
        <v>5238</v>
      </c>
      <c r="B1929" s="105"/>
      <c r="C1929" s="105"/>
      <c r="D1929" s="105"/>
      <c r="E1929" s="105"/>
      <c r="F1929" s="105"/>
      <c r="G1929" s="105"/>
      <c r="H1929" s="9"/>
      <c r="I1929" s="9"/>
      <c r="J1929" s="9"/>
    </row>
    <row r="1930" spans="1:10" s="10" customFormat="1" ht="18" customHeight="1">
      <c r="A1930" s="13"/>
      <c r="B1930" s="12" t="s">
        <v>5141</v>
      </c>
      <c r="C1930" s="12"/>
      <c r="D1930" s="12"/>
      <c r="E1930" s="12"/>
      <c r="F1930" s="12"/>
      <c r="G1930" s="12" t="s">
        <v>5239</v>
      </c>
      <c r="H1930" s="74"/>
      <c r="I1930" s="9" t="s">
        <v>5240</v>
      </c>
      <c r="J1930" s="87" t="str">
        <f>IF(shinsei_IMPOSS4_NOTIFY_ID__REPORT_DATE="","",shinsei_IMPOSS4_NOTIFY_ID__REPORT_DATE)</f>
        <v/>
      </c>
    </row>
    <row r="1931" spans="1:10" s="10" customFormat="1" ht="18" customHeight="1">
      <c r="A1931" s="12"/>
      <c r="B1931" s="11"/>
      <c r="C1931" s="11"/>
      <c r="D1931" s="11"/>
      <c r="E1931" s="11"/>
      <c r="F1931" s="11"/>
      <c r="G1931" s="11"/>
    </row>
    <row r="1932" spans="1:10" s="10" customFormat="1" ht="18" customHeight="1">
      <c r="A1932" s="12" t="s">
        <v>5185</v>
      </c>
      <c r="B1932" s="12"/>
      <c r="C1932" s="12"/>
      <c r="D1932" s="12"/>
      <c r="E1932" s="12"/>
      <c r="F1932" s="12"/>
      <c r="G1932" s="12"/>
      <c r="H1932" s="9"/>
      <c r="I1932" s="9"/>
      <c r="J1932" s="9"/>
    </row>
    <row r="1933" spans="1:10" s="10" customFormat="1" ht="18" customHeight="1">
      <c r="A1933" s="12"/>
      <c r="B1933" s="12" t="s">
        <v>1730</v>
      </c>
      <c r="C1933" s="12"/>
      <c r="D1933" s="12"/>
      <c r="E1933" s="12"/>
      <c r="F1933" s="12"/>
      <c r="G1933" s="12" t="s">
        <v>1916</v>
      </c>
      <c r="H1933" s="74"/>
      <c r="I1933" s="127" t="s">
        <v>5241</v>
      </c>
      <c r="J1933" s="128" t="str">
        <f>IF(shinsei_IMPOSS4_NOTIFY_ID__STRUCTNOTIFT_NOTIFT_DATE="","",shinsei_IMPOSS4_NOTIFY_ID__STRUCTNOTIFT_NOTIFT_DATE)</f>
        <v/>
      </c>
    </row>
    <row r="1934" spans="1:10" s="10" customFormat="1" ht="18" customHeight="1">
      <c r="A1934" s="12"/>
      <c r="B1934" s="12" t="s">
        <v>5151</v>
      </c>
      <c r="C1934" s="12"/>
      <c r="D1934" s="12"/>
      <c r="E1934" s="12"/>
      <c r="F1934" s="12"/>
      <c r="G1934" s="12" t="s">
        <v>1917</v>
      </c>
      <c r="H1934" s="13" t="s">
        <v>11787</v>
      </c>
      <c r="I1934" s="127" t="s">
        <v>5242</v>
      </c>
      <c r="J1934" s="19" t="str">
        <f>IF(shinsei_IMPOSS4_NOTIFY_ID__STRUCTNOTIFT_NOTIFT_NO="","",shinsei_IMPOSS4_NOTIFY_ID__STRUCTNOTIFT_NOTIFT_NO)</f>
        <v/>
      </c>
    </row>
    <row r="1935" spans="1:10" s="10" customFormat="1" ht="18" customHeight="1">
      <c r="A1935" s="12"/>
      <c r="B1935" s="12" t="s">
        <v>5188</v>
      </c>
      <c r="C1935" s="12"/>
      <c r="D1935" s="12"/>
      <c r="E1935" s="12"/>
      <c r="F1935" s="12"/>
      <c r="G1935" s="12" t="s">
        <v>1918</v>
      </c>
      <c r="H1935" s="74"/>
      <c r="I1935" s="127" t="s">
        <v>5243</v>
      </c>
      <c r="J1935" s="128" t="str">
        <f>IF(shinsei_IMPOSS4_NOTIFY_ID__STRUCTNOTIFT_TUIKA_DATE="","",shinsei_IMPOSS4_NOTIFY_ID__STRUCTNOTIFT_TUIKA_DATE)</f>
        <v/>
      </c>
    </row>
    <row r="1936" spans="1:10" s="10" customFormat="1" ht="18" customHeight="1">
      <c r="A1936" s="12"/>
      <c r="B1936" s="12" t="s">
        <v>5190</v>
      </c>
      <c r="C1936" s="12"/>
      <c r="D1936" s="12"/>
      <c r="E1936" s="12"/>
      <c r="F1936" s="12"/>
      <c r="G1936" s="12" t="s">
        <v>1919</v>
      </c>
      <c r="H1936" s="74"/>
      <c r="I1936" s="127" t="s">
        <v>5244</v>
      </c>
      <c r="J1936" s="128" t="str">
        <f>IF(shinsei_IMPOSS4_NOTIFY_ID__STRUCTTUIKA_NOTIFT_DATE="","",shinsei_IMPOSS4_NOTIFY_ID__STRUCTTUIKA_NOTIFT_DATE)</f>
        <v/>
      </c>
    </row>
    <row r="1937" spans="1:10" s="10" customFormat="1" ht="18" customHeight="1">
      <c r="A1937" s="12"/>
      <c r="B1937" s="11"/>
      <c r="C1937" s="11"/>
      <c r="D1937" s="11"/>
      <c r="E1937" s="11"/>
      <c r="F1937" s="11"/>
      <c r="G1937" s="11"/>
    </row>
    <row r="1938" spans="1:10" s="10" customFormat="1" ht="18" customHeight="1">
      <c r="A1938" s="12"/>
      <c r="B1938" s="12"/>
      <c r="C1938" s="12"/>
      <c r="D1938" s="12"/>
      <c r="E1938" s="12"/>
      <c r="F1938" s="12"/>
      <c r="G1938" s="12"/>
      <c r="H1938" s="9"/>
      <c r="I1938" s="9"/>
      <c r="J1938" s="9"/>
    </row>
    <row r="1939" spans="1:10" s="10" customFormat="1" ht="18" customHeight="1">
      <c r="A1939" s="105" t="s">
        <v>5245</v>
      </c>
      <c r="B1939" s="105"/>
      <c r="C1939" s="105"/>
      <c r="D1939" s="105"/>
      <c r="E1939" s="105"/>
      <c r="F1939" s="105"/>
      <c r="G1939" s="105"/>
      <c r="H1939" s="19"/>
      <c r="I1939" s="9"/>
      <c r="J1939" s="9"/>
    </row>
    <row r="1940" spans="1:10" s="10" customFormat="1" ht="18" customHeight="1">
      <c r="A1940" s="13"/>
      <c r="B1940" s="12" t="s">
        <v>5119</v>
      </c>
      <c r="C1940" s="12"/>
      <c r="D1940" s="12"/>
      <c r="E1940" s="12"/>
      <c r="F1940" s="12"/>
      <c r="G1940" s="12" t="s">
        <v>5246</v>
      </c>
      <c r="H1940" s="74"/>
      <c r="I1940" s="9" t="s">
        <v>5247</v>
      </c>
      <c r="J1940" s="87" t="str">
        <f>IF(shinsei_IMPOSS5_NOTIFY_ID__NOTIFY_DATE="","",shinsei_IMPOSS5_NOTIFY_ID__NOTIFY_DATE)</f>
        <v/>
      </c>
    </row>
    <row r="1941" spans="1:10" s="10" customFormat="1" ht="18" customHeight="1">
      <c r="A1941" s="13"/>
      <c r="B1941" s="12" t="s">
        <v>5124</v>
      </c>
      <c r="C1941" s="12"/>
      <c r="D1941" s="12"/>
      <c r="E1941" s="12"/>
      <c r="F1941" s="12"/>
      <c r="G1941" s="12" t="s">
        <v>5248</v>
      </c>
      <c r="H1941" s="13" t="s">
        <v>11787</v>
      </c>
      <c r="I1941" s="9" t="s">
        <v>5249</v>
      </c>
      <c r="J1941" s="19" t="str">
        <f>IF(shinsei_IMPOSS5_NOTIFY_ID__KENSAIN_USER_ID="","",shinsei_IMPOSS5_NOTIFY_ID__KENSAIN_USER_ID)</f>
        <v/>
      </c>
    </row>
    <row r="1942" spans="1:10" s="10" customFormat="1" ht="18" customHeight="1">
      <c r="A1942" s="13"/>
      <c r="B1942" s="12" t="s">
        <v>5128</v>
      </c>
      <c r="C1942" s="12"/>
      <c r="D1942" s="12"/>
      <c r="E1942" s="12"/>
      <c r="F1942" s="12"/>
      <c r="G1942" s="12" t="s">
        <v>5250</v>
      </c>
      <c r="H1942" s="74"/>
      <c r="I1942" s="9" t="s">
        <v>5251</v>
      </c>
      <c r="J1942" s="87" t="str">
        <f>IF(shinsei_IMPOSS5_NOTIFY_ID__LIMIT_DATE="","",shinsei_IMPOSS5_NOTIFY_ID__LIMIT_DATE)</f>
        <v/>
      </c>
    </row>
    <row r="1943" spans="1:10" s="10" customFormat="1" ht="18" customHeight="1">
      <c r="A1943" s="13"/>
      <c r="B1943" s="12" t="s">
        <v>1697</v>
      </c>
      <c r="C1943" s="12"/>
      <c r="D1943" s="12"/>
      <c r="E1943" s="12"/>
      <c r="F1943" s="12"/>
      <c r="G1943" s="12" t="s">
        <v>5252</v>
      </c>
      <c r="H1943" s="13" t="s">
        <v>11787</v>
      </c>
      <c r="I1943" s="9" t="s">
        <v>5253</v>
      </c>
      <c r="J1943" s="19" t="str">
        <f>IF(shinsei_IMPOSS5_NOTIFY_ID__NOTIFY_CAUSE="","",shinsei_IMPOSS5_NOTIFY_ID__NOTIFY_CAUSE)</f>
        <v/>
      </c>
    </row>
    <row r="1944" spans="1:10" s="10" customFormat="1" ht="18" customHeight="1">
      <c r="A1944" s="13"/>
      <c r="B1944" s="12" t="s">
        <v>1699</v>
      </c>
      <c r="C1944" s="12"/>
      <c r="D1944" s="12"/>
      <c r="E1944" s="12"/>
      <c r="F1944" s="12"/>
      <c r="G1944" s="12" t="s">
        <v>5254</v>
      </c>
      <c r="H1944" s="13" t="s">
        <v>11787</v>
      </c>
      <c r="I1944" s="9" t="s">
        <v>5255</v>
      </c>
      <c r="J1944" s="19" t="str">
        <f>IF(shinsei_IMPOSS5_NOTIFY_ID__NOTIFY_NOTE="","",shinsei_IMPOSS5_NOTIFY_ID__NOTIFY_NOTE)</f>
        <v/>
      </c>
    </row>
    <row r="1945" spans="1:10" s="10" customFormat="1" ht="18" customHeight="1">
      <c r="A1945" s="12"/>
      <c r="B1945" s="11"/>
      <c r="C1945" s="11"/>
      <c r="D1945" s="11"/>
      <c r="E1945" s="11"/>
      <c r="F1945" s="11"/>
      <c r="G1945" s="11"/>
    </row>
    <row r="1946" spans="1:10" s="10" customFormat="1" ht="18" customHeight="1">
      <c r="A1946" s="105" t="s">
        <v>5256</v>
      </c>
      <c r="B1946" s="105"/>
      <c r="C1946" s="105"/>
      <c r="D1946" s="105"/>
      <c r="E1946" s="105"/>
      <c r="F1946" s="105"/>
      <c r="G1946" s="105"/>
      <c r="H1946" s="9"/>
      <c r="I1946" s="9"/>
      <c r="J1946" s="9"/>
    </row>
    <row r="1947" spans="1:10" s="10" customFormat="1" ht="18" customHeight="1">
      <c r="A1947" s="13"/>
      <c r="B1947" s="12" t="s">
        <v>5141</v>
      </c>
      <c r="C1947" s="12"/>
      <c r="D1947" s="12"/>
      <c r="E1947" s="12"/>
      <c r="F1947" s="12"/>
      <c r="G1947" s="12" t="s">
        <v>5257</v>
      </c>
      <c r="H1947" s="74"/>
      <c r="I1947" s="9" t="s">
        <v>5258</v>
      </c>
      <c r="J1947" s="87" t="str">
        <f>IF(shinsei_IMPOSS5_NOTIFY_ID__REPORT_DATE="","",shinsei_IMPOSS5_NOTIFY_ID__REPORT_DATE)</f>
        <v/>
      </c>
    </row>
    <row r="1948" spans="1:10" s="10" customFormat="1" ht="18" customHeight="1">
      <c r="A1948" s="12"/>
      <c r="B1948" s="11"/>
      <c r="C1948" s="11"/>
      <c r="D1948" s="11"/>
      <c r="E1948" s="11"/>
      <c r="F1948" s="11"/>
      <c r="G1948" s="11"/>
    </row>
    <row r="1949" spans="1:10" s="10" customFormat="1" ht="18" customHeight="1">
      <c r="A1949" s="12" t="s">
        <v>5185</v>
      </c>
      <c r="B1949" s="12"/>
      <c r="C1949" s="12"/>
      <c r="D1949" s="12"/>
      <c r="E1949" s="12"/>
      <c r="F1949" s="12"/>
      <c r="G1949" s="12"/>
      <c r="H1949" s="9"/>
      <c r="I1949" s="9"/>
      <c r="J1949" s="9"/>
    </row>
    <row r="1950" spans="1:10" s="10" customFormat="1" ht="18" customHeight="1">
      <c r="A1950" s="12"/>
      <c r="B1950" s="12" t="s">
        <v>1730</v>
      </c>
      <c r="C1950" s="12"/>
      <c r="D1950" s="12"/>
      <c r="E1950" s="12"/>
      <c r="F1950" s="12"/>
      <c r="G1950" s="12" t="s">
        <v>1920</v>
      </c>
      <c r="H1950" s="74"/>
      <c r="I1950" s="127" t="s">
        <v>5259</v>
      </c>
      <c r="J1950" s="128" t="str">
        <f>IF(shinsei_IMPOSS5_NOTIFY_ID__STRUCTNOTIFT_NOTIFT_DATE="","",shinsei_IMPOSS5_NOTIFY_ID__STRUCTNOTIFT_NOTIFT_DATE)</f>
        <v/>
      </c>
    </row>
    <row r="1951" spans="1:10" s="10" customFormat="1" ht="18" customHeight="1">
      <c r="A1951" s="12"/>
      <c r="B1951" s="12" t="s">
        <v>5151</v>
      </c>
      <c r="C1951" s="12"/>
      <c r="D1951" s="12"/>
      <c r="E1951" s="12"/>
      <c r="F1951" s="12"/>
      <c r="G1951" s="12" t="s">
        <v>1921</v>
      </c>
      <c r="H1951" s="13" t="s">
        <v>11787</v>
      </c>
      <c r="I1951" s="127" t="s">
        <v>5260</v>
      </c>
      <c r="J1951" s="19" t="str">
        <f>IF(shinsei_IMPOSS5_NOTIFY_ID__STRUCTNOTIFT_NOTIFT_NO="","",shinsei_IMPOSS5_NOTIFY_ID__STRUCTNOTIFT_NOTIFT_NO)</f>
        <v/>
      </c>
    </row>
    <row r="1952" spans="1:10" s="10" customFormat="1" ht="18" customHeight="1">
      <c r="A1952" s="12"/>
      <c r="B1952" s="12" t="s">
        <v>5188</v>
      </c>
      <c r="C1952" s="12"/>
      <c r="D1952" s="12"/>
      <c r="E1952" s="12"/>
      <c r="F1952" s="12"/>
      <c r="G1952" s="12" t="s">
        <v>1922</v>
      </c>
      <c r="H1952" s="74"/>
      <c r="I1952" s="127" t="s">
        <v>5261</v>
      </c>
      <c r="J1952" s="128" t="str">
        <f>IF(shinsei_IMPOSS5_NOTIFY_ID__STRUCTNOTIFT_TUIKA_DATE="","",shinsei_IMPOSS5_NOTIFY_ID__STRUCTNOTIFT_TUIKA_DATE)</f>
        <v/>
      </c>
    </row>
    <row r="1953" spans="1:10" s="10" customFormat="1" ht="18" customHeight="1">
      <c r="A1953" s="12"/>
      <c r="B1953" s="12" t="s">
        <v>5190</v>
      </c>
      <c r="C1953" s="12"/>
      <c r="D1953" s="12"/>
      <c r="E1953" s="12"/>
      <c r="F1953" s="12"/>
      <c r="G1953" s="12" t="s">
        <v>1923</v>
      </c>
      <c r="H1953" s="74"/>
      <c r="I1953" s="127" t="s">
        <v>5262</v>
      </c>
      <c r="J1953" s="128" t="str">
        <f>IF(shinsei_IMPOSS5_NOTIFY_ID__STRUCTTUIKA_NOTIFT_DATE="","",shinsei_IMPOSS5_NOTIFY_ID__STRUCTTUIKA_NOTIFT_DATE)</f>
        <v/>
      </c>
    </row>
    <row r="1954" spans="1:10" s="10" customFormat="1" ht="18" customHeight="1">
      <c r="A1954" s="12"/>
      <c r="B1954" s="11"/>
      <c r="C1954" s="11"/>
      <c r="D1954" s="11"/>
      <c r="E1954" s="11"/>
      <c r="F1954" s="11"/>
      <c r="G1954" s="11"/>
    </row>
    <row r="1955" spans="1:10" s="10" customFormat="1" ht="18" customHeight="1">
      <c r="A1955" s="12"/>
      <c r="B1955" s="12"/>
      <c r="C1955" s="12"/>
      <c r="D1955" s="12"/>
      <c r="E1955" s="12"/>
      <c r="F1955" s="12"/>
      <c r="G1955" s="12"/>
      <c r="H1955" s="9"/>
      <c r="I1955" s="9"/>
      <c r="J1955" s="9"/>
    </row>
    <row r="1956" spans="1:10" s="10" customFormat="1" ht="18" customHeight="1">
      <c r="A1956" s="105" t="s">
        <v>5263</v>
      </c>
      <c r="B1956" s="105"/>
      <c r="C1956" s="105"/>
      <c r="D1956" s="105"/>
      <c r="E1956" s="105"/>
      <c r="F1956" s="105"/>
      <c r="G1956" s="105"/>
      <c r="H1956" s="19"/>
      <c r="I1956" s="9"/>
      <c r="J1956" s="9"/>
    </row>
    <row r="1957" spans="1:10" s="10" customFormat="1" ht="18" customHeight="1">
      <c r="A1957" s="13"/>
      <c r="B1957" s="12" t="s">
        <v>5119</v>
      </c>
      <c r="C1957" s="12"/>
      <c r="D1957" s="12"/>
      <c r="E1957" s="12"/>
      <c r="F1957" s="12"/>
      <c r="G1957" s="12" t="s">
        <v>5264</v>
      </c>
      <c r="H1957" s="74"/>
      <c r="I1957" s="9" t="s">
        <v>5265</v>
      </c>
      <c r="J1957" s="87" t="str">
        <f>IF(shinsei_IMPOSS6_NOTIFY_ID__NOTIFY_DATE="","",shinsei_IMPOSS6_NOTIFY_ID__NOTIFY_DATE)</f>
        <v/>
      </c>
    </row>
    <row r="1958" spans="1:10" s="10" customFormat="1" ht="18" customHeight="1">
      <c r="A1958" s="13"/>
      <c r="B1958" s="12" t="s">
        <v>5124</v>
      </c>
      <c r="C1958" s="12"/>
      <c r="D1958" s="12"/>
      <c r="E1958" s="12"/>
      <c r="F1958" s="12"/>
      <c r="G1958" s="12" t="s">
        <v>5266</v>
      </c>
      <c r="H1958" s="13" t="s">
        <v>11787</v>
      </c>
      <c r="I1958" s="9" t="s">
        <v>5267</v>
      </c>
      <c r="J1958" s="19" t="str">
        <f>IF(shinsei_IMPOSS6_NOTIFY_ID__KENSAIN_USER_ID="","",shinsei_IMPOSS6_NOTIFY_ID__KENSAIN_USER_ID)</f>
        <v/>
      </c>
    </row>
    <row r="1959" spans="1:10" s="10" customFormat="1" ht="18" customHeight="1">
      <c r="A1959" s="13"/>
      <c r="B1959" s="12" t="s">
        <v>5128</v>
      </c>
      <c r="C1959" s="12"/>
      <c r="D1959" s="12"/>
      <c r="E1959" s="12"/>
      <c r="F1959" s="12"/>
      <c r="G1959" s="12" t="s">
        <v>5268</v>
      </c>
      <c r="H1959" s="74"/>
      <c r="I1959" s="9" t="s">
        <v>5269</v>
      </c>
      <c r="J1959" s="87" t="str">
        <f>IF(shinsei_IMPOSS6_NOTIFY_ID__LIMIT_DATE="","",shinsei_IMPOSS6_NOTIFY_ID__LIMIT_DATE)</f>
        <v/>
      </c>
    </row>
    <row r="1960" spans="1:10" s="10" customFormat="1" ht="18" customHeight="1">
      <c r="A1960" s="13"/>
      <c r="B1960" s="12" t="s">
        <v>1697</v>
      </c>
      <c r="C1960" s="12"/>
      <c r="D1960" s="12"/>
      <c r="E1960" s="12"/>
      <c r="F1960" s="12"/>
      <c r="G1960" s="12" t="s">
        <v>5270</v>
      </c>
      <c r="H1960" s="13" t="s">
        <v>11787</v>
      </c>
      <c r="I1960" s="9" t="s">
        <v>5271</v>
      </c>
      <c r="J1960" s="19" t="str">
        <f>IF(shinsei_IMPOSS6_NOTIFY_ID__NOTIFY_CAUSE="","",shinsei_IMPOSS6_NOTIFY_ID__NOTIFY_CAUSE)</f>
        <v/>
      </c>
    </row>
    <row r="1961" spans="1:10" s="10" customFormat="1" ht="18" customHeight="1">
      <c r="A1961" s="13"/>
      <c r="B1961" s="12" t="s">
        <v>1699</v>
      </c>
      <c r="C1961" s="12"/>
      <c r="D1961" s="12"/>
      <c r="E1961" s="12"/>
      <c r="F1961" s="12"/>
      <c r="G1961" s="12" t="s">
        <v>5272</v>
      </c>
      <c r="H1961" s="13" t="s">
        <v>11787</v>
      </c>
      <c r="I1961" s="9" t="s">
        <v>5273</v>
      </c>
      <c r="J1961" s="19" t="str">
        <f>IF(shinsei_IMPOSS6_NOTIFY_ID__NOTIFY_NOTE="","",shinsei_IMPOSS6_NOTIFY_ID__NOTIFY_NOTE)</f>
        <v/>
      </c>
    </row>
    <row r="1962" spans="1:10" s="10" customFormat="1" ht="18" customHeight="1">
      <c r="A1962" s="12"/>
      <c r="B1962" s="11"/>
      <c r="C1962" s="11"/>
      <c r="D1962" s="11"/>
      <c r="E1962" s="11"/>
      <c r="F1962" s="11"/>
      <c r="G1962" s="11"/>
    </row>
    <row r="1963" spans="1:10" s="10" customFormat="1" ht="18" customHeight="1">
      <c r="A1963" s="105" t="s">
        <v>5274</v>
      </c>
      <c r="B1963" s="105"/>
      <c r="C1963" s="105"/>
      <c r="D1963" s="105"/>
      <c r="E1963" s="105"/>
      <c r="F1963" s="105"/>
      <c r="G1963" s="105"/>
      <c r="H1963" s="9"/>
      <c r="I1963" s="9"/>
      <c r="J1963" s="9"/>
    </row>
    <row r="1964" spans="1:10" s="10" customFormat="1" ht="18" customHeight="1">
      <c r="A1964" s="13"/>
      <c r="B1964" s="12" t="s">
        <v>5141</v>
      </c>
      <c r="C1964" s="12"/>
      <c r="D1964" s="12"/>
      <c r="E1964" s="12"/>
      <c r="F1964" s="12"/>
      <c r="G1964" s="12" t="s">
        <v>5275</v>
      </c>
      <c r="H1964" s="74"/>
      <c r="I1964" s="9" t="s">
        <v>5276</v>
      </c>
      <c r="J1964" s="87" t="str">
        <f>IF(shinsei_IMPOSS6_NOTIFY_ID__REPORT_DATE="","",shinsei_IMPOSS6_NOTIFY_ID__REPORT_DATE)</f>
        <v/>
      </c>
    </row>
    <row r="1965" spans="1:10" s="10" customFormat="1" ht="18" customHeight="1">
      <c r="A1965" s="12"/>
      <c r="B1965" s="11"/>
      <c r="C1965" s="11"/>
      <c r="D1965" s="11"/>
      <c r="E1965" s="11"/>
      <c r="F1965" s="11"/>
      <c r="G1965" s="11"/>
    </row>
    <row r="1966" spans="1:10" s="10" customFormat="1" ht="18" customHeight="1">
      <c r="A1966" s="12" t="s">
        <v>5185</v>
      </c>
      <c r="B1966" s="12"/>
      <c r="C1966" s="12"/>
      <c r="D1966" s="12"/>
      <c r="E1966" s="12"/>
      <c r="F1966" s="12"/>
      <c r="G1966" s="12"/>
      <c r="H1966" s="9"/>
      <c r="I1966" s="9"/>
      <c r="J1966" s="9"/>
    </row>
    <row r="1967" spans="1:10" s="10" customFormat="1" ht="18" customHeight="1">
      <c r="A1967" s="12"/>
      <c r="B1967" s="12" t="s">
        <v>1730</v>
      </c>
      <c r="C1967" s="12"/>
      <c r="D1967" s="12"/>
      <c r="E1967" s="12"/>
      <c r="F1967" s="12"/>
      <c r="G1967" s="12" t="s">
        <v>1924</v>
      </c>
      <c r="H1967" s="74"/>
      <c r="I1967" s="127" t="s">
        <v>5277</v>
      </c>
      <c r="J1967" s="128" t="str">
        <f>IF(shinsei_IMPOSS6_NOTIFY_ID__STRUCTNOTIFT_NOTIFT_DATE="","",shinsei_IMPOSS6_NOTIFY_ID__STRUCTNOTIFT_NOTIFT_DATE)</f>
        <v/>
      </c>
    </row>
    <row r="1968" spans="1:10" s="10" customFormat="1" ht="18" customHeight="1">
      <c r="A1968" s="12"/>
      <c r="B1968" s="12" t="s">
        <v>5151</v>
      </c>
      <c r="C1968" s="12"/>
      <c r="D1968" s="12"/>
      <c r="E1968" s="12"/>
      <c r="F1968" s="12"/>
      <c r="G1968" s="12" t="s">
        <v>1925</v>
      </c>
      <c r="H1968" s="13" t="s">
        <v>11787</v>
      </c>
      <c r="I1968" s="127" t="s">
        <v>3693</v>
      </c>
      <c r="J1968" s="19" t="str">
        <f>IF(shinsei_IMPOSS6_NOTIFY_ID__STRUCTNOTIFT_NOTIFT_NO="","",shinsei_IMPOSS6_NOTIFY_ID__STRUCTNOTIFT_NOTIFT_NO)</f>
        <v/>
      </c>
    </row>
    <row r="1969" spans="1:10" s="10" customFormat="1" ht="18" customHeight="1">
      <c r="A1969" s="12"/>
      <c r="B1969" s="12" t="s">
        <v>5188</v>
      </c>
      <c r="C1969" s="12"/>
      <c r="D1969" s="12"/>
      <c r="E1969" s="12"/>
      <c r="F1969" s="12"/>
      <c r="G1969" s="12" t="s">
        <v>1926</v>
      </c>
      <c r="H1969" s="74"/>
      <c r="I1969" s="127" t="s">
        <v>3694</v>
      </c>
      <c r="J1969" s="128" t="str">
        <f>IF(shinsei_IMPOSS6_NOTIFY_ID__STRUCTNOTIFT_TUIKA_DATE="","",shinsei_IMPOSS6_NOTIFY_ID__STRUCTNOTIFT_TUIKA_DATE)</f>
        <v/>
      </c>
    </row>
    <row r="1970" spans="1:10" s="10" customFormat="1" ht="18" customHeight="1">
      <c r="A1970" s="12"/>
      <c r="B1970" s="12" t="s">
        <v>5190</v>
      </c>
      <c r="C1970" s="12"/>
      <c r="D1970" s="12"/>
      <c r="E1970" s="12"/>
      <c r="F1970" s="12"/>
      <c r="G1970" s="12" t="s">
        <v>1927</v>
      </c>
      <c r="H1970" s="74"/>
      <c r="I1970" s="127" t="s">
        <v>3695</v>
      </c>
      <c r="J1970" s="128" t="str">
        <f>IF(shinsei_IMPOSS6_NOTIFY_ID__STRUCTTUIKA_NOTIFT_DATE="","",shinsei_IMPOSS6_NOTIFY_ID__STRUCTTUIKA_NOTIFT_DATE)</f>
        <v/>
      </c>
    </row>
    <row r="1971" spans="1:10" s="10" customFormat="1" ht="18" customHeight="1">
      <c r="A1971" s="12"/>
      <c r="B1971" s="11"/>
      <c r="C1971" s="11"/>
      <c r="D1971" s="11"/>
      <c r="E1971" s="11"/>
      <c r="F1971" s="11"/>
      <c r="G1971" s="11"/>
    </row>
    <row r="1972" spans="1:10" s="10" customFormat="1" ht="18" customHeight="1">
      <c r="A1972" s="12"/>
      <c r="B1972" s="12"/>
      <c r="C1972" s="12"/>
      <c r="D1972" s="12"/>
      <c r="E1972" s="12"/>
      <c r="F1972" s="12"/>
      <c r="G1972" s="12"/>
      <c r="H1972" s="9"/>
      <c r="I1972" s="9"/>
      <c r="J1972" s="9"/>
    </row>
    <row r="1973" spans="1:10" s="10" customFormat="1" ht="18" customHeight="1">
      <c r="A1973" s="105" t="s">
        <v>3696</v>
      </c>
      <c r="B1973" s="105"/>
      <c r="C1973" s="105"/>
      <c r="D1973" s="105"/>
      <c r="E1973" s="105"/>
      <c r="F1973" s="105"/>
      <c r="G1973" s="105"/>
      <c r="H1973" s="19"/>
      <c r="I1973" s="9"/>
      <c r="J1973" s="9"/>
    </row>
    <row r="1974" spans="1:10" s="10" customFormat="1" ht="18" customHeight="1">
      <c r="A1974" s="13"/>
      <c r="B1974" s="12" t="s">
        <v>5119</v>
      </c>
      <c r="C1974" s="12"/>
      <c r="D1974" s="12"/>
      <c r="E1974" s="12"/>
      <c r="F1974" s="12"/>
      <c r="G1974" s="12" t="s">
        <v>3697</v>
      </c>
      <c r="H1974" s="74"/>
      <c r="I1974" s="9" t="s">
        <v>3698</v>
      </c>
      <c r="J1974" s="87" t="str">
        <f>IF(shinsei_IMPOSSX_NOTIFY_ID__NOTIFY_DATE="","",shinsei_IMPOSSX_NOTIFY_ID__NOTIFY_DATE)</f>
        <v/>
      </c>
    </row>
    <row r="1975" spans="1:10" s="10" customFormat="1" ht="18" customHeight="1">
      <c r="A1975" s="13"/>
      <c r="B1975" s="12" t="s">
        <v>5124</v>
      </c>
      <c r="C1975" s="12"/>
      <c r="D1975" s="12"/>
      <c r="E1975" s="12"/>
      <c r="F1975" s="12"/>
      <c r="G1975" s="12" t="s">
        <v>3699</v>
      </c>
      <c r="H1975" s="13" t="s">
        <v>11787</v>
      </c>
      <c r="I1975" s="9" t="s">
        <v>3700</v>
      </c>
      <c r="J1975" s="19" t="str">
        <f>IF(shinsei_IMPOSSX_NOTIFY_ID__KENSAIN_USER_ID="","",shinsei_IMPOSSX_NOTIFY_ID__KENSAIN_USER_ID)</f>
        <v/>
      </c>
    </row>
    <row r="1976" spans="1:10" s="10" customFormat="1" ht="18" customHeight="1">
      <c r="A1976" s="13"/>
      <c r="B1976" s="12" t="s">
        <v>1697</v>
      </c>
      <c r="C1976" s="12"/>
      <c r="D1976" s="12"/>
      <c r="E1976" s="12"/>
      <c r="F1976" s="12"/>
      <c r="G1976" s="12" t="s">
        <v>3701</v>
      </c>
      <c r="H1976" s="13" t="s">
        <v>11787</v>
      </c>
      <c r="I1976" s="9" t="s">
        <v>3702</v>
      </c>
      <c r="J1976" s="19" t="str">
        <f>IF(shinsei_IMPOSSX_NOTIFY_ID__NOTIFY_CAUSE="","",shinsei_IMPOSSX_NOTIFY_ID__NOTIFY_CAUSE)</f>
        <v/>
      </c>
    </row>
    <row r="1977" spans="1:10" s="10" customFormat="1" ht="18" customHeight="1">
      <c r="A1977" s="13"/>
      <c r="B1977" s="12" t="s">
        <v>1699</v>
      </c>
      <c r="C1977" s="12"/>
      <c r="D1977" s="12"/>
      <c r="E1977" s="12"/>
      <c r="F1977" s="12"/>
      <c r="G1977" s="12" t="s">
        <v>3703</v>
      </c>
      <c r="H1977" s="13" t="s">
        <v>11787</v>
      </c>
      <c r="I1977" s="9" t="s">
        <v>3704</v>
      </c>
      <c r="J1977" s="19" t="str">
        <f>IF(shinsei_IMPOSSX_NOTIFY_ID__NOTIFY_NOTE="","",shinsei_IMPOSSX_NOTIFY_ID__NOTIFY_NOTE)</f>
        <v/>
      </c>
    </row>
    <row r="1978" spans="1:10" s="10" customFormat="1" ht="18" customHeight="1">
      <c r="A1978" s="12"/>
      <c r="B1978" s="11"/>
      <c r="C1978" s="11"/>
      <c r="D1978" s="11"/>
      <c r="E1978" s="11"/>
      <c r="F1978" s="11"/>
      <c r="G1978" s="11"/>
    </row>
    <row r="1979" spans="1:10" s="10" customFormat="1" ht="18" customHeight="1">
      <c r="A1979" s="105" t="s">
        <v>3705</v>
      </c>
      <c r="B1979" s="105"/>
      <c r="C1979" s="105"/>
      <c r="D1979" s="105"/>
      <c r="E1979" s="105"/>
      <c r="F1979" s="105"/>
      <c r="G1979" s="105"/>
      <c r="H1979" s="9"/>
      <c r="I1979" s="9"/>
      <c r="J1979" s="9"/>
    </row>
    <row r="1980" spans="1:10" s="10" customFormat="1" ht="18" customHeight="1">
      <c r="A1980" s="13"/>
      <c r="B1980" s="12" t="s">
        <v>5141</v>
      </c>
      <c r="C1980" s="12"/>
      <c r="D1980" s="12"/>
      <c r="E1980" s="12"/>
      <c r="F1980" s="12"/>
      <c r="G1980" s="12" t="s">
        <v>3706</v>
      </c>
      <c r="H1980" s="74"/>
      <c r="I1980" s="9" t="s">
        <v>3707</v>
      </c>
      <c r="J1980" s="87" t="str">
        <f>IF(shinsei_IMPOSSX_NOTIFY_ID__REPORT_DATE="","",shinsei_IMPOSSX_NOTIFY_ID__REPORT_DATE)</f>
        <v/>
      </c>
    </row>
    <row r="1981" spans="1:10" s="10" customFormat="1" ht="18" customHeight="1">
      <c r="A1981" s="12"/>
      <c r="B1981" s="11"/>
      <c r="C1981" s="11"/>
      <c r="D1981" s="11"/>
      <c r="E1981" s="11"/>
      <c r="F1981" s="11"/>
      <c r="G1981" s="11"/>
    </row>
    <row r="1982" spans="1:10" s="10" customFormat="1" ht="18" customHeight="1">
      <c r="A1982" s="12" t="s">
        <v>5185</v>
      </c>
      <c r="B1982" s="12"/>
      <c r="C1982" s="12"/>
      <c r="D1982" s="12"/>
      <c r="E1982" s="12"/>
      <c r="F1982" s="12"/>
      <c r="G1982" s="12"/>
      <c r="H1982" s="9"/>
      <c r="I1982" s="9"/>
      <c r="J1982" s="9"/>
    </row>
    <row r="1983" spans="1:10" s="10" customFormat="1" ht="18" customHeight="1">
      <c r="A1983" s="12"/>
      <c r="B1983" s="12" t="s">
        <v>1730</v>
      </c>
      <c r="C1983" s="12"/>
      <c r="D1983" s="12"/>
      <c r="E1983" s="12"/>
      <c r="F1983" s="12"/>
      <c r="G1983" s="12" t="s">
        <v>1928</v>
      </c>
      <c r="H1983" s="74"/>
      <c r="I1983" s="129" t="s">
        <v>3708</v>
      </c>
      <c r="J1983" s="128" t="str">
        <f>IF(shinsei_IMPOSSX_NOTIFY_ID__STRUCTNOTIFT_NOTIFT_DATE="","",shinsei_IMPOSSX_NOTIFY_ID__STRUCTNOTIFT_NOTIFT_DATE)</f>
        <v/>
      </c>
    </row>
    <row r="1984" spans="1:10" s="10" customFormat="1" ht="18" customHeight="1">
      <c r="A1984" s="12"/>
      <c r="B1984" s="12" t="s">
        <v>5151</v>
      </c>
      <c r="C1984" s="12"/>
      <c r="D1984" s="12"/>
      <c r="E1984" s="12"/>
      <c r="F1984" s="12"/>
      <c r="G1984" s="12" t="s">
        <v>1929</v>
      </c>
      <c r="H1984" s="13" t="s">
        <v>11787</v>
      </c>
      <c r="I1984" s="129" t="s">
        <v>3709</v>
      </c>
      <c r="J1984" s="19" t="str">
        <f>IF(shinsei_IMPOSSX_NOTIFY_ID__STRUCTNOTIFT_NOTIFT_NO="","",shinsei_IMPOSSX_NOTIFY_ID__STRUCTNOTIFT_NOTIFT_NO)</f>
        <v/>
      </c>
    </row>
    <row r="1985" spans="1:10" s="10" customFormat="1" ht="18" customHeight="1">
      <c r="A1985" s="12"/>
      <c r="B1985" s="12" t="s">
        <v>5188</v>
      </c>
      <c r="C1985" s="12"/>
      <c r="D1985" s="12"/>
      <c r="E1985" s="12"/>
      <c r="F1985" s="12"/>
      <c r="G1985" s="12" t="s">
        <v>1930</v>
      </c>
      <c r="H1985" s="74"/>
      <c r="I1985" s="129" t="s">
        <v>3710</v>
      </c>
      <c r="J1985" s="128" t="str">
        <f>IF(shinsei_IMPOSSX_NOTIFY_ID__STRUCTNOTIFT_TUIKA_DATE="","",shinsei_IMPOSSX_NOTIFY_ID__STRUCTNOTIFT_TUIKA_DATE)</f>
        <v/>
      </c>
    </row>
    <row r="1986" spans="1:10" s="10" customFormat="1" ht="18" customHeight="1">
      <c r="A1986" s="12"/>
      <c r="B1986" s="12" t="s">
        <v>5190</v>
      </c>
      <c r="C1986" s="12"/>
      <c r="D1986" s="12"/>
      <c r="E1986" s="12"/>
      <c r="F1986" s="12"/>
      <c r="G1986" s="12" t="s">
        <v>1931</v>
      </c>
      <c r="H1986" s="74"/>
      <c r="I1986" s="129" t="s">
        <v>3711</v>
      </c>
      <c r="J1986" s="128" t="str">
        <f>IF(shinsei_IMPOSSX_NOTIFY_ID__STRUCTTUIKA_NOTIFT_DATE="","",shinsei_IMPOSSX_NOTIFY_ID__STRUCTTUIKA_NOTIFT_DATE)</f>
        <v/>
      </c>
    </row>
    <row r="1987" spans="1:10" s="10" customFormat="1" ht="18" customHeight="1">
      <c r="A1987" s="12"/>
      <c r="B1987" s="11"/>
      <c r="C1987" s="11"/>
      <c r="D1987" s="11"/>
      <c r="E1987" s="11"/>
      <c r="F1987" s="11"/>
      <c r="G1987" s="11"/>
    </row>
    <row r="1988" spans="1:10" s="10" customFormat="1" ht="18" customHeight="1">
      <c r="A1988" s="12"/>
      <c r="B1988" s="12"/>
      <c r="C1988" s="12"/>
      <c r="D1988" s="12"/>
      <c r="E1988" s="12"/>
      <c r="F1988" s="12"/>
      <c r="G1988" s="12"/>
      <c r="H1988" s="9"/>
      <c r="I1988" s="9"/>
      <c r="J1988" s="9"/>
    </row>
    <row r="1989" spans="1:10" s="10" customFormat="1" ht="18" customHeight="1">
      <c r="A1989" s="105" t="s">
        <v>3712</v>
      </c>
      <c r="B1989" s="105"/>
      <c r="C1989" s="105"/>
      <c r="D1989" s="105"/>
      <c r="E1989" s="105"/>
      <c r="F1989" s="105"/>
      <c r="G1989" s="105"/>
      <c r="H1989" s="9"/>
      <c r="I1989" s="9"/>
      <c r="J1989" s="9"/>
    </row>
    <row r="1990" spans="1:10" s="10" customFormat="1" ht="18" customHeight="1">
      <c r="A1990" s="105" t="s">
        <v>2177</v>
      </c>
      <c r="B1990" s="105"/>
      <c r="C1990" s="105"/>
      <c r="D1990" s="105"/>
      <c r="E1990" s="105"/>
      <c r="F1990" s="105"/>
      <c r="G1990" s="105"/>
      <c r="H1990" s="9"/>
      <c r="I1990" s="9"/>
      <c r="J1990" s="9"/>
    </row>
    <row r="1991" spans="1:10" s="10" customFormat="1" ht="18" customHeight="1">
      <c r="A1991" s="13"/>
      <c r="B1991" s="12" t="s">
        <v>5119</v>
      </c>
      <c r="C1991" s="12"/>
      <c r="D1991" s="12"/>
      <c r="E1991" s="12"/>
      <c r="F1991" s="12"/>
      <c r="G1991" s="12" t="s">
        <v>2178</v>
      </c>
      <c r="H1991" s="74"/>
      <c r="I1991" s="9" t="s">
        <v>2179</v>
      </c>
      <c r="J1991" s="87" t="str">
        <f>IF(shinsei_NG_NOTIFY_DATE="","",shinsei_NG_NOTIFY_DATE)</f>
        <v/>
      </c>
    </row>
    <row r="1992" spans="1:10" s="10" customFormat="1" ht="18" customHeight="1">
      <c r="A1992" s="13"/>
      <c r="B1992" s="12" t="s">
        <v>5124</v>
      </c>
      <c r="C1992" s="12"/>
      <c r="D1992" s="12"/>
      <c r="E1992" s="12"/>
      <c r="F1992" s="12"/>
      <c r="G1992" s="12" t="s">
        <v>2180</v>
      </c>
      <c r="H1992" s="13" t="s">
        <v>11787</v>
      </c>
      <c r="I1992" s="9" t="s">
        <v>2181</v>
      </c>
      <c r="J1992" s="19" t="str">
        <f>IF(shinsei_NG_NOTIFY_USER_ID="","",shinsei_NG_NOTIFY_USER_ID)</f>
        <v/>
      </c>
    </row>
    <row r="1993" spans="1:10" s="10" customFormat="1" ht="18" customHeight="1">
      <c r="A1993" s="13"/>
      <c r="B1993" s="12" t="s">
        <v>2182</v>
      </c>
      <c r="C1993" s="12"/>
      <c r="D1993" s="12"/>
      <c r="E1993" s="12"/>
      <c r="F1993" s="12"/>
      <c r="G1993" s="12" t="s">
        <v>1932</v>
      </c>
      <c r="H1993" s="74"/>
      <c r="I1993" s="9" t="s">
        <v>2183</v>
      </c>
      <c r="J1993" s="87" t="str">
        <f>IF(shinsei_NG_NOTIFY_KENSA_DATE="","",shinsei_NG_NOTIFY_KENSA_DATE)</f>
        <v/>
      </c>
    </row>
    <row r="1994" spans="1:10" s="10" customFormat="1" ht="18" customHeight="1">
      <c r="A1994" s="13"/>
      <c r="B1994" s="12" t="s">
        <v>5128</v>
      </c>
      <c r="C1994" s="12"/>
      <c r="D1994" s="12"/>
      <c r="E1994" s="12"/>
      <c r="F1994" s="12"/>
      <c r="G1994" s="12" t="s">
        <v>2184</v>
      </c>
      <c r="H1994" s="74"/>
      <c r="I1994" s="9" t="s">
        <v>2185</v>
      </c>
      <c r="J1994" s="87" t="str">
        <f>IF(shinsei_NG_NOTIFY_LIMIT_DATE="","",shinsei_NG_NOTIFY_LIMIT_DATE)</f>
        <v/>
      </c>
    </row>
    <row r="1995" spans="1:10" s="10" customFormat="1" ht="18" customHeight="1">
      <c r="A1995" s="13"/>
      <c r="B1995" s="12" t="s">
        <v>1697</v>
      </c>
      <c r="C1995" s="12"/>
      <c r="D1995" s="12"/>
      <c r="E1995" s="12"/>
      <c r="F1995" s="12"/>
      <c r="G1995" s="12" t="s">
        <v>2186</v>
      </c>
      <c r="H1995" s="126"/>
      <c r="I1995" s="9" t="s">
        <v>2187</v>
      </c>
      <c r="J1995" s="19" t="str">
        <f>IF(shinsei_NG_NOTIFY_CAUSE="","",shinsei_NG_NOTIFY_CAUSE)</f>
        <v/>
      </c>
    </row>
    <row r="1996" spans="1:10" s="10" customFormat="1" ht="18" customHeight="1">
      <c r="A1996" s="13"/>
      <c r="B1996" s="12" t="s">
        <v>1699</v>
      </c>
      <c r="C1996" s="12"/>
      <c r="D1996" s="12"/>
      <c r="E1996" s="12"/>
      <c r="F1996" s="12"/>
      <c r="G1996" s="12" t="s">
        <v>2188</v>
      </c>
      <c r="H1996" s="13" t="s">
        <v>11787</v>
      </c>
      <c r="I1996" s="9" t="s">
        <v>2189</v>
      </c>
      <c r="J1996" s="19" t="str">
        <f>IF(shinsei_NG_NOTIFY_BIKO="","",shinsei_NG_NOTIFY_BIKO)</f>
        <v/>
      </c>
    </row>
    <row r="1997" spans="1:10" s="10" customFormat="1" ht="18" customHeight="1">
      <c r="A1997" s="12"/>
      <c r="B1997" s="11"/>
      <c r="C1997" s="11"/>
      <c r="D1997" s="11"/>
      <c r="E1997" s="11"/>
      <c r="F1997" s="11"/>
      <c r="G1997" s="11"/>
    </row>
    <row r="1998" spans="1:10" s="10" customFormat="1" ht="18" customHeight="1">
      <c r="A1998" s="105" t="s">
        <v>2190</v>
      </c>
      <c r="B1998" s="105"/>
      <c r="C1998" s="105"/>
      <c r="D1998" s="105"/>
      <c r="E1998" s="105"/>
      <c r="F1998" s="105"/>
      <c r="G1998" s="105"/>
      <c r="H1998" s="9"/>
      <c r="I1998" s="9"/>
      <c r="J1998" s="9"/>
    </row>
    <row r="1999" spans="1:10" s="10" customFormat="1" ht="18" customHeight="1">
      <c r="A1999" s="105" t="s">
        <v>2191</v>
      </c>
      <c r="B1999" s="105"/>
      <c r="C1999" s="105"/>
      <c r="D1999" s="105"/>
      <c r="E1999" s="105"/>
      <c r="F1999" s="105"/>
      <c r="G1999" s="105"/>
      <c r="H1999" s="9"/>
      <c r="I1999" s="9"/>
      <c r="J1999" s="9"/>
    </row>
    <row r="2000" spans="1:10" s="10" customFormat="1" ht="18" customHeight="1">
      <c r="A2000" s="13"/>
      <c r="B2000" s="12" t="s">
        <v>5141</v>
      </c>
      <c r="C2000" s="12"/>
      <c r="D2000" s="12"/>
      <c r="E2000" s="12"/>
      <c r="F2000" s="12"/>
      <c r="G2000" s="12" t="s">
        <v>2192</v>
      </c>
      <c r="H2000" s="74"/>
      <c r="I2000" s="9" t="s">
        <v>2193</v>
      </c>
      <c r="J2000" s="87" t="str">
        <f>IF(shinsei_NG_REPORT_DATE="","",shinsei_NG_REPORT_DATE)</f>
        <v/>
      </c>
    </row>
    <row r="2001" spans="1:10" s="10" customFormat="1" ht="18" customHeight="1">
      <c r="A2001" s="12"/>
      <c r="B2001" s="11"/>
      <c r="C2001" s="11"/>
      <c r="D2001" s="11"/>
      <c r="E2001" s="11"/>
      <c r="F2001" s="11"/>
      <c r="G2001" s="11"/>
    </row>
    <row r="2002" spans="1:10" s="10" customFormat="1" ht="18" customHeight="1">
      <c r="A2002" s="12" t="s">
        <v>5185</v>
      </c>
      <c r="B2002" s="12"/>
      <c r="C2002" s="12"/>
      <c r="D2002" s="12"/>
      <c r="E2002" s="12"/>
      <c r="F2002" s="12"/>
      <c r="G2002" s="12"/>
      <c r="H2002" s="9"/>
      <c r="I2002" s="9"/>
      <c r="J2002" s="9"/>
    </row>
    <row r="2003" spans="1:10" s="10" customFormat="1" ht="18" customHeight="1">
      <c r="A2003" s="12"/>
      <c r="B2003" s="12" t="s">
        <v>1730</v>
      </c>
      <c r="C2003" s="12"/>
      <c r="D2003" s="12"/>
      <c r="E2003" s="12"/>
      <c r="F2003" s="12"/>
      <c r="G2003" s="12" t="s">
        <v>1933</v>
      </c>
      <c r="H2003" s="74"/>
      <c r="I2003" s="129" t="s">
        <v>2194</v>
      </c>
      <c r="J2003" s="128" t="str">
        <f>IF(shinsei_NG1_NOTIFY_ID__STRUCTNOTIFT_NOTIFT_DATE="","",shinsei_NG1_NOTIFY_ID__STRUCTNOTIFT_NOTIFT_DATE)</f>
        <v/>
      </c>
    </row>
    <row r="2004" spans="1:10" s="10" customFormat="1" ht="18" customHeight="1">
      <c r="A2004" s="12"/>
      <c r="B2004" s="12" t="s">
        <v>5151</v>
      </c>
      <c r="C2004" s="12"/>
      <c r="D2004" s="12"/>
      <c r="E2004" s="12"/>
      <c r="F2004" s="12"/>
      <c r="G2004" s="12" t="s">
        <v>1934</v>
      </c>
      <c r="H2004" s="13" t="s">
        <v>11787</v>
      </c>
      <c r="I2004" s="129" t="s">
        <v>2195</v>
      </c>
      <c r="J2004" s="19" t="str">
        <f>IF(shinsei_NG1_NOTIFY_ID__STRUCTNOTIFT_NOTIFT_NO="","",shinsei_NG1_NOTIFY_ID__STRUCTNOTIFT_NOTIFT_NO)</f>
        <v/>
      </c>
    </row>
    <row r="2005" spans="1:10" s="10" customFormat="1" ht="18" customHeight="1">
      <c r="A2005" s="12"/>
      <c r="B2005" s="12" t="s">
        <v>5188</v>
      </c>
      <c r="C2005" s="12"/>
      <c r="D2005" s="12"/>
      <c r="E2005" s="12"/>
      <c r="F2005" s="12"/>
      <c r="G2005" s="12" t="s">
        <v>1935</v>
      </c>
      <c r="H2005" s="74"/>
      <c r="I2005" s="129" t="s">
        <v>2196</v>
      </c>
      <c r="J2005" s="128" t="str">
        <f>IF(shinsei_NG1_NOTIFY_ID__STRUCTNOTIFT_TUIKA_DATE="","",shinsei_NG1_NOTIFY_ID__STRUCTNOTIFT_TUIKA_DATE)</f>
        <v/>
      </c>
    </row>
    <row r="2006" spans="1:10" s="10" customFormat="1" ht="18" customHeight="1">
      <c r="A2006" s="12"/>
      <c r="B2006" s="12" t="s">
        <v>5190</v>
      </c>
      <c r="C2006" s="12"/>
      <c r="D2006" s="12"/>
      <c r="E2006" s="12"/>
      <c r="F2006" s="12"/>
      <c r="G2006" s="12" t="s">
        <v>1936</v>
      </c>
      <c r="H2006" s="74"/>
      <c r="I2006" s="129" t="s">
        <v>2197</v>
      </c>
      <c r="J2006" s="128" t="str">
        <f>IF(shinsei_NG1_NOTIFY_ID__STRUCTTUIKA_NOTIFT_DATE="","",shinsei_NG1_NOTIFY_ID__STRUCTTUIKA_NOTIFT_DATE)</f>
        <v/>
      </c>
    </row>
    <row r="2007" spans="1:10" s="10" customFormat="1" ht="18" customHeight="1">
      <c r="A2007" s="12"/>
      <c r="B2007" s="11"/>
      <c r="C2007" s="11"/>
      <c r="D2007" s="11"/>
      <c r="E2007" s="11"/>
      <c r="F2007" s="11"/>
      <c r="G2007" s="11"/>
    </row>
    <row r="2008" spans="1:10" s="10" customFormat="1" ht="18" customHeight="1">
      <c r="A2008" s="12"/>
      <c r="B2008" s="12"/>
      <c r="C2008" s="12"/>
      <c r="D2008" s="12"/>
      <c r="E2008" s="12"/>
      <c r="F2008" s="12"/>
      <c r="G2008" s="12"/>
      <c r="H2008" s="9"/>
      <c r="I2008" s="9"/>
      <c r="J2008" s="9"/>
    </row>
    <row r="2009" spans="1:10" s="10" customFormat="1" ht="18" customHeight="1">
      <c r="A2009" s="105" t="s">
        <v>2198</v>
      </c>
      <c r="B2009" s="105"/>
      <c r="C2009" s="105"/>
      <c r="D2009" s="105"/>
      <c r="E2009" s="105"/>
      <c r="F2009" s="105"/>
      <c r="G2009" s="105"/>
      <c r="H2009" s="9"/>
      <c r="I2009" s="9"/>
      <c r="J2009" s="9"/>
    </row>
    <row r="2010" spans="1:10" s="10" customFormat="1" ht="18" customHeight="1">
      <c r="A2010" s="13"/>
      <c r="B2010" s="12" t="s">
        <v>5119</v>
      </c>
      <c r="C2010" s="12"/>
      <c r="D2010" s="12"/>
      <c r="E2010" s="12"/>
      <c r="F2010" s="12"/>
      <c r="G2010" s="12" t="s">
        <v>2199</v>
      </c>
      <c r="H2010" s="74"/>
      <c r="I2010" s="9" t="s">
        <v>2200</v>
      </c>
      <c r="J2010" s="87" t="str">
        <f>IF(shinsei_NG2_NOTIFY_ID__NOTIFY_DATE="","",shinsei_NG2_NOTIFY_ID__NOTIFY_DATE)</f>
        <v/>
      </c>
    </row>
    <row r="2011" spans="1:10" s="10" customFormat="1" ht="18" customHeight="1">
      <c r="A2011" s="13"/>
      <c r="B2011" s="12" t="s">
        <v>5124</v>
      </c>
      <c r="C2011" s="12"/>
      <c r="D2011" s="12"/>
      <c r="E2011" s="12"/>
      <c r="F2011" s="12"/>
      <c r="G2011" s="12" t="s">
        <v>2201</v>
      </c>
      <c r="H2011" s="13" t="s">
        <v>11787</v>
      </c>
      <c r="I2011" s="9" t="s">
        <v>2202</v>
      </c>
      <c r="J2011" s="19" t="str">
        <f>IF(shinsei_NG2_NOTIFY_ID__KENSAIN_USER_ID="","",shinsei_NG2_NOTIFY_ID__KENSAIN_USER_ID)</f>
        <v/>
      </c>
    </row>
    <row r="2012" spans="1:10" s="10" customFormat="1" ht="18" customHeight="1">
      <c r="A2012" s="13"/>
      <c r="B2012" s="12" t="s">
        <v>2182</v>
      </c>
      <c r="C2012" s="12"/>
      <c r="D2012" s="12"/>
      <c r="E2012" s="12"/>
      <c r="F2012" s="12"/>
      <c r="G2012" s="12" t="s">
        <v>2203</v>
      </c>
      <c r="H2012" s="74"/>
      <c r="I2012" s="9" t="s">
        <v>2204</v>
      </c>
      <c r="J2012" s="87" t="str">
        <f>IF(shinsei_NG2_NOTIFY_ID__KENSA_DATE="","",shinsei_NG2_NOTIFY_ID__KENSA_DATE)</f>
        <v/>
      </c>
    </row>
    <row r="2013" spans="1:10" s="10" customFormat="1" ht="18" customHeight="1">
      <c r="A2013" s="13"/>
      <c r="B2013" s="12" t="s">
        <v>5128</v>
      </c>
      <c r="C2013" s="12"/>
      <c r="D2013" s="12"/>
      <c r="E2013" s="12"/>
      <c r="F2013" s="12"/>
      <c r="G2013" s="12" t="s">
        <v>2205</v>
      </c>
      <c r="H2013" s="74"/>
      <c r="I2013" s="9" t="s">
        <v>2206</v>
      </c>
      <c r="J2013" s="87" t="str">
        <f>IF(shinsei_NG2_NOTIFY_ID__LIMIT_DATE="","",shinsei_NG2_NOTIFY_ID__LIMIT_DATE)</f>
        <v/>
      </c>
    </row>
    <row r="2014" spans="1:10" s="10" customFormat="1" ht="18" customHeight="1">
      <c r="A2014" s="13"/>
      <c r="B2014" s="12" t="s">
        <v>1697</v>
      </c>
      <c r="C2014" s="12"/>
      <c r="D2014" s="12"/>
      <c r="E2014" s="12"/>
      <c r="F2014" s="12"/>
      <c r="G2014" s="12" t="s">
        <v>2207</v>
      </c>
      <c r="H2014" s="13" t="s">
        <v>11787</v>
      </c>
      <c r="I2014" s="9" t="s">
        <v>2208</v>
      </c>
      <c r="J2014" s="19" t="str">
        <f>IF(shinsei_NG2_NOTIFY_ID__NOTIFY_CAUSE="","",shinsei_NG2_NOTIFY_ID__NOTIFY_CAUSE)</f>
        <v/>
      </c>
    </row>
    <row r="2015" spans="1:10" s="10" customFormat="1" ht="18" customHeight="1">
      <c r="A2015" s="13"/>
      <c r="B2015" s="12" t="s">
        <v>1699</v>
      </c>
      <c r="C2015" s="12"/>
      <c r="D2015" s="12"/>
      <c r="E2015" s="12"/>
      <c r="F2015" s="12"/>
      <c r="G2015" s="12" t="s">
        <v>2209</v>
      </c>
      <c r="H2015" s="13" t="s">
        <v>11787</v>
      </c>
      <c r="I2015" s="9" t="s">
        <v>2210</v>
      </c>
      <c r="J2015" s="19" t="str">
        <f>IF(shinsei_NG2_NOTIFY_ID__NOTIFY_NOTE="","",shinsei_NG2_NOTIFY_ID__NOTIFY_NOTE)</f>
        <v/>
      </c>
    </row>
    <row r="2016" spans="1:10" s="10" customFormat="1" ht="18" customHeight="1">
      <c r="A2016" s="12"/>
      <c r="B2016" s="11"/>
      <c r="C2016" s="11"/>
      <c r="D2016" s="11"/>
      <c r="E2016" s="11"/>
      <c r="F2016" s="11"/>
      <c r="G2016" s="11"/>
    </row>
    <row r="2017" spans="1:10" s="10" customFormat="1" ht="18" customHeight="1">
      <c r="A2017" s="105" t="s">
        <v>2211</v>
      </c>
      <c r="B2017" s="105"/>
      <c r="C2017" s="105"/>
      <c r="D2017" s="105"/>
      <c r="E2017" s="105"/>
      <c r="F2017" s="105"/>
      <c r="G2017" s="105"/>
      <c r="H2017" s="9"/>
      <c r="I2017" s="9"/>
      <c r="J2017" s="9"/>
    </row>
    <row r="2018" spans="1:10" s="10" customFormat="1" ht="18" customHeight="1">
      <c r="A2018" s="13"/>
      <c r="B2018" s="12" t="s">
        <v>5141</v>
      </c>
      <c r="C2018" s="12"/>
      <c r="D2018" s="12"/>
      <c r="E2018" s="12"/>
      <c r="F2018" s="12"/>
      <c r="G2018" s="12" t="s">
        <v>1937</v>
      </c>
      <c r="H2018" s="74"/>
      <c r="I2018" s="9" t="s">
        <v>2212</v>
      </c>
      <c r="J2018" s="87" t="str">
        <f>IF(shinsei_NG2_NOTIFY_ID__REPORT_DATE="","",shinsei_NG2_NOTIFY_ID__REPORT_DATE)</f>
        <v/>
      </c>
    </row>
    <row r="2019" spans="1:10" s="10" customFormat="1" ht="18" customHeight="1">
      <c r="A2019" s="12"/>
      <c r="B2019" s="11"/>
      <c r="C2019" s="11"/>
      <c r="D2019" s="11"/>
      <c r="E2019" s="11"/>
      <c r="F2019" s="11"/>
      <c r="G2019" s="11"/>
    </row>
    <row r="2020" spans="1:10" s="10" customFormat="1" ht="18" customHeight="1">
      <c r="A2020" s="12"/>
      <c r="B2020" s="12"/>
      <c r="C2020" s="12"/>
      <c r="D2020" s="12"/>
      <c r="E2020" s="12"/>
      <c r="F2020" s="12"/>
      <c r="G2020" s="12"/>
      <c r="H2020" s="9"/>
      <c r="I2020" s="9"/>
      <c r="J2020" s="9"/>
    </row>
    <row r="2021" spans="1:10" s="10" customFormat="1" ht="18" customHeight="1">
      <c r="A2021" s="105" t="s">
        <v>2213</v>
      </c>
      <c r="B2021" s="105"/>
      <c r="C2021" s="105"/>
      <c r="D2021" s="105"/>
      <c r="E2021" s="105"/>
      <c r="F2021" s="105"/>
      <c r="G2021" s="105"/>
      <c r="H2021" s="9"/>
      <c r="I2021" s="9"/>
      <c r="J2021" s="9"/>
    </row>
    <row r="2022" spans="1:10" s="10" customFormat="1" ht="18" customHeight="1">
      <c r="A2022" s="13"/>
      <c r="B2022" s="12" t="s">
        <v>5119</v>
      </c>
      <c r="C2022" s="12"/>
      <c r="D2022" s="12"/>
      <c r="E2022" s="12"/>
      <c r="F2022" s="12"/>
      <c r="G2022" s="12" t="s">
        <v>2214</v>
      </c>
      <c r="H2022" s="74"/>
      <c r="I2022" s="9" t="s">
        <v>2215</v>
      </c>
      <c r="J2022" s="87" t="str">
        <f>IF(shinsei_NG3_NOTIFY_ID__NOTIFY_DATE="","",shinsei_NG3_NOTIFY_ID__NOTIFY_DATE)</f>
        <v/>
      </c>
    </row>
    <row r="2023" spans="1:10" s="10" customFormat="1" ht="18" customHeight="1">
      <c r="A2023" s="13"/>
      <c r="B2023" s="12" t="s">
        <v>5124</v>
      </c>
      <c r="C2023" s="12"/>
      <c r="D2023" s="12"/>
      <c r="E2023" s="12"/>
      <c r="F2023" s="12"/>
      <c r="G2023" s="12" t="s">
        <v>2216</v>
      </c>
      <c r="H2023" s="13" t="s">
        <v>11787</v>
      </c>
      <c r="I2023" s="9" t="s">
        <v>2217</v>
      </c>
      <c r="J2023" s="19" t="str">
        <f>IF(shinsei_NG3_NOTIFY_ID__KENSAIN_USER_ID="","",shinsei_NG3_NOTIFY_ID__KENSAIN_USER_ID)</f>
        <v/>
      </c>
    </row>
    <row r="2024" spans="1:10" s="10" customFormat="1" ht="18" customHeight="1">
      <c r="A2024" s="13"/>
      <c r="B2024" s="12" t="s">
        <v>2182</v>
      </c>
      <c r="C2024" s="12"/>
      <c r="D2024" s="12"/>
      <c r="E2024" s="12"/>
      <c r="F2024" s="12"/>
      <c r="G2024" s="12" t="s">
        <v>2218</v>
      </c>
      <c r="H2024" s="74"/>
      <c r="I2024" s="9" t="s">
        <v>2219</v>
      </c>
      <c r="J2024" s="87" t="str">
        <f>IF(shinsei_NG3_NOTIFY_ID__KENSA_DATE="","",shinsei_NG3_NOTIFY_ID__KENSA_DATE)</f>
        <v/>
      </c>
    </row>
    <row r="2025" spans="1:10" s="10" customFormat="1" ht="18" customHeight="1">
      <c r="A2025" s="13"/>
      <c r="B2025" s="12" t="s">
        <v>5128</v>
      </c>
      <c r="C2025" s="12"/>
      <c r="D2025" s="12"/>
      <c r="E2025" s="12"/>
      <c r="F2025" s="12"/>
      <c r="G2025" s="12" t="s">
        <v>2220</v>
      </c>
      <c r="H2025" s="74"/>
      <c r="I2025" s="9" t="s">
        <v>2221</v>
      </c>
      <c r="J2025" s="87" t="str">
        <f>IF(shinsei_NG3_NOTIFY_ID__LIMIT_DATE="","",shinsei_NG3_NOTIFY_ID__LIMIT_DATE)</f>
        <v/>
      </c>
    </row>
    <row r="2026" spans="1:10" s="10" customFormat="1" ht="18" customHeight="1">
      <c r="A2026" s="13"/>
      <c r="B2026" s="12" t="s">
        <v>1697</v>
      </c>
      <c r="C2026" s="12"/>
      <c r="D2026" s="12"/>
      <c r="E2026" s="12"/>
      <c r="F2026" s="12"/>
      <c r="G2026" s="12" t="s">
        <v>2222</v>
      </c>
      <c r="H2026" s="13" t="s">
        <v>11787</v>
      </c>
      <c r="I2026" s="9" t="s">
        <v>2223</v>
      </c>
      <c r="J2026" s="19" t="str">
        <f>IF(shinsei_NG3_NOTIFY_ID__NOTIFY_CAUSE="","",shinsei_NG3_NOTIFY_ID__NOTIFY_CAUSE)</f>
        <v/>
      </c>
    </row>
    <row r="2027" spans="1:10" s="10" customFormat="1" ht="18" customHeight="1">
      <c r="A2027" s="13"/>
      <c r="B2027" s="12" t="s">
        <v>1699</v>
      </c>
      <c r="C2027" s="12"/>
      <c r="D2027" s="12"/>
      <c r="E2027" s="12"/>
      <c r="F2027" s="12"/>
      <c r="G2027" s="12" t="s">
        <v>2224</v>
      </c>
      <c r="H2027" s="13" t="s">
        <v>11787</v>
      </c>
      <c r="I2027" s="9" t="s">
        <v>2225</v>
      </c>
      <c r="J2027" s="19" t="str">
        <f>IF(shinsei_NG3_NOTIFY_ID__NOTIFY_NOTE="","",shinsei_NG3_NOTIFY_ID__NOTIFY_NOTE)</f>
        <v/>
      </c>
    </row>
    <row r="2028" spans="1:10" s="10" customFormat="1" ht="18" customHeight="1">
      <c r="A2028" s="12"/>
      <c r="B2028" s="11"/>
      <c r="C2028" s="11"/>
      <c r="D2028" s="11"/>
      <c r="E2028" s="11"/>
      <c r="F2028" s="11"/>
      <c r="G2028" s="11"/>
    </row>
    <row r="2029" spans="1:10" s="10" customFormat="1" ht="18" customHeight="1">
      <c r="A2029" s="105" t="s">
        <v>2226</v>
      </c>
      <c r="B2029" s="105"/>
      <c r="C2029" s="105"/>
      <c r="D2029" s="105"/>
      <c r="E2029" s="105"/>
      <c r="F2029" s="105"/>
      <c r="G2029" s="105"/>
      <c r="H2029" s="9"/>
      <c r="I2029" s="9"/>
      <c r="J2029" s="9"/>
    </row>
    <row r="2030" spans="1:10" s="10" customFormat="1" ht="18" customHeight="1">
      <c r="A2030" s="13"/>
      <c r="B2030" s="12" t="s">
        <v>2227</v>
      </c>
      <c r="C2030" s="12"/>
      <c r="D2030" s="12"/>
      <c r="E2030" s="12"/>
      <c r="F2030" s="12"/>
      <c r="G2030" s="12" t="s">
        <v>1938</v>
      </c>
      <c r="H2030" s="74"/>
      <c r="I2030" s="9" t="s">
        <v>2228</v>
      </c>
      <c r="J2030" s="87" t="str">
        <f>IF(shinsei_NG3_NOTIFY_ID__REPORT_DATE="","",shinsei_NG3_NOTIFY_ID__REPORT_DATE)</f>
        <v/>
      </c>
    </row>
    <row r="2031" spans="1:10" s="10" customFormat="1" ht="18" customHeight="1">
      <c r="A2031" s="12"/>
      <c r="B2031" s="11"/>
      <c r="C2031" s="11"/>
      <c r="D2031" s="11"/>
      <c r="E2031" s="11"/>
      <c r="F2031" s="11"/>
      <c r="G2031" s="11"/>
    </row>
    <row r="2032" spans="1:10" s="10" customFormat="1" ht="18" customHeight="1">
      <c r="A2032" s="12"/>
      <c r="B2032" s="12"/>
      <c r="C2032" s="12"/>
      <c r="D2032" s="12"/>
      <c r="E2032" s="12"/>
      <c r="F2032" s="12"/>
      <c r="G2032" s="12"/>
      <c r="H2032" s="9"/>
      <c r="I2032" s="9"/>
      <c r="J2032" s="9"/>
    </row>
    <row r="2033" spans="1:13" s="10" customFormat="1" ht="18" customHeight="1">
      <c r="A2033" s="105" t="s">
        <v>2229</v>
      </c>
      <c r="B2033" s="105"/>
      <c r="C2033" s="105"/>
      <c r="D2033" s="105"/>
      <c r="E2033" s="105"/>
      <c r="F2033" s="105"/>
      <c r="G2033" s="105"/>
      <c r="H2033" s="9"/>
      <c r="I2033" s="9"/>
      <c r="J2033" s="9"/>
    </row>
    <row r="2034" spans="1:13" s="10" customFormat="1" ht="18" customHeight="1">
      <c r="A2034" s="13"/>
      <c r="B2034" s="12" t="s">
        <v>5119</v>
      </c>
      <c r="C2034" s="12"/>
      <c r="D2034" s="12"/>
      <c r="E2034" s="12"/>
      <c r="F2034" s="12"/>
      <c r="G2034" s="12" t="s">
        <v>2230</v>
      </c>
      <c r="H2034" s="74"/>
      <c r="I2034" s="9" t="s">
        <v>2231</v>
      </c>
      <c r="J2034" s="87" t="str">
        <f>IF(shinsei_NGX_NOTIFY_ID__NOTIFY_DATE="","",shinsei_NGX_NOTIFY_ID__NOTIFY_DATE)</f>
        <v/>
      </c>
    </row>
    <row r="2035" spans="1:13" s="10" customFormat="1" ht="18" customHeight="1">
      <c r="A2035" s="13"/>
      <c r="B2035" s="12" t="s">
        <v>5124</v>
      </c>
      <c r="C2035" s="12"/>
      <c r="D2035" s="12"/>
      <c r="E2035" s="12"/>
      <c r="F2035" s="12"/>
      <c r="G2035" s="12" t="s">
        <v>2232</v>
      </c>
      <c r="H2035" s="13" t="s">
        <v>11787</v>
      </c>
      <c r="I2035" s="9" t="s">
        <v>2233</v>
      </c>
      <c r="J2035" s="19" t="str">
        <f>IF(shinsei_NGX_NOTIFY_ID__KENSAIN_USER_ID="","",shinsei_NGX_NOTIFY_ID__KENSAIN_USER_ID)</f>
        <v/>
      </c>
    </row>
    <row r="2036" spans="1:13" s="10" customFormat="1" ht="18" customHeight="1">
      <c r="A2036" s="13"/>
      <c r="B2036" s="12" t="s">
        <v>2182</v>
      </c>
      <c r="C2036" s="12"/>
      <c r="D2036" s="12"/>
      <c r="E2036" s="12"/>
      <c r="F2036" s="12"/>
      <c r="G2036" s="12" t="s">
        <v>2234</v>
      </c>
      <c r="H2036" s="74"/>
      <c r="I2036" s="9" t="s">
        <v>2235</v>
      </c>
      <c r="J2036" s="87" t="str">
        <f>IF(shinsei_NGX_NOTIFY_ID__KENSA_DATE="","",shinsei_NGX_NOTIFY_ID__KENSA_DATE)</f>
        <v/>
      </c>
    </row>
    <row r="2037" spans="1:13" s="10" customFormat="1" ht="18" customHeight="1">
      <c r="A2037" s="13"/>
      <c r="B2037" s="12" t="s">
        <v>1697</v>
      </c>
      <c r="C2037" s="12"/>
      <c r="D2037" s="12"/>
      <c r="E2037" s="12"/>
      <c r="F2037" s="12"/>
      <c r="G2037" s="12" t="s">
        <v>2236</v>
      </c>
      <c r="H2037" s="13" t="s">
        <v>11787</v>
      </c>
      <c r="I2037" s="9" t="s">
        <v>2237</v>
      </c>
      <c r="J2037" s="19" t="str">
        <f>IF(shinsei_NGX_NOTIFY_ID__NOTIFY_CAUSE="","",shinsei_NGX_NOTIFY_ID__NOTIFY_CAUSE)</f>
        <v/>
      </c>
    </row>
    <row r="2038" spans="1:13" s="10" customFormat="1" ht="18" customHeight="1">
      <c r="A2038" s="13"/>
      <c r="B2038" s="12" t="s">
        <v>1699</v>
      </c>
      <c r="C2038" s="12"/>
      <c r="D2038" s="12"/>
      <c r="E2038" s="12"/>
      <c r="F2038" s="12"/>
      <c r="G2038" s="12" t="s">
        <v>1939</v>
      </c>
      <c r="H2038" s="13" t="s">
        <v>11787</v>
      </c>
      <c r="I2038" s="9" t="s">
        <v>2238</v>
      </c>
      <c r="J2038" s="19" t="str">
        <f>IF(shinsei_NGX_NOTIFY_ID__NOTIFY_NOTE="","",shinsei_NGX_NOTIFY_ID__NOTIFY_NOTE)</f>
        <v/>
      </c>
    </row>
    <row r="2039" spans="1:13" s="10" customFormat="1" ht="18" customHeight="1">
      <c r="A2039" s="12"/>
      <c r="B2039" s="11"/>
      <c r="C2039" s="11"/>
      <c r="D2039" s="11"/>
      <c r="E2039" s="11"/>
      <c r="F2039" s="11"/>
      <c r="G2039" s="11"/>
    </row>
    <row r="2040" spans="1:13" s="10" customFormat="1" ht="18" customHeight="1">
      <c r="A2040" s="105" t="s">
        <v>2239</v>
      </c>
      <c r="B2040" s="105"/>
      <c r="C2040" s="105"/>
      <c r="D2040" s="105"/>
      <c r="E2040" s="105"/>
      <c r="F2040" s="105"/>
      <c r="G2040" s="105"/>
      <c r="H2040" s="9"/>
      <c r="I2040" s="9"/>
      <c r="J2040" s="9"/>
    </row>
    <row r="2041" spans="1:13" s="10" customFormat="1" ht="18" customHeight="1">
      <c r="A2041" s="13"/>
      <c r="B2041" s="12" t="s">
        <v>2227</v>
      </c>
      <c r="C2041" s="12"/>
      <c r="D2041" s="12"/>
      <c r="E2041" s="12"/>
      <c r="F2041" s="12"/>
      <c r="G2041" s="12" t="s">
        <v>2240</v>
      </c>
      <c r="H2041" s="74"/>
      <c r="I2041" s="9" t="s">
        <v>2241</v>
      </c>
      <c r="J2041" s="87" t="str">
        <f>IF(shinsei_NGX_NOTIFY_ID__REPORT_DATE="","",shinsei_NGX_NOTIFY_ID__REPORT_DATE)</f>
        <v/>
      </c>
    </row>
    <row r="2042" spans="1:13" s="10" customFormat="1" ht="18" customHeight="1">
      <c r="A2042" s="13"/>
      <c r="B2042" s="12" t="s">
        <v>5143</v>
      </c>
      <c r="C2042" s="12"/>
      <c r="D2042" s="12"/>
      <c r="E2042" s="12"/>
      <c r="F2042" s="12"/>
      <c r="G2042" s="12" t="s">
        <v>2242</v>
      </c>
      <c r="H2042" s="13" t="s">
        <v>11787</v>
      </c>
      <c r="I2042" s="9" t="s">
        <v>2243</v>
      </c>
      <c r="J2042" s="19" t="str">
        <f>IF(shinsei_KENSA_NG_CAUSE="","",shinsei_KENSA_NG_CAUSE)</f>
        <v/>
      </c>
    </row>
    <row r="2043" spans="1:13" s="10" customFormat="1" ht="18" customHeight="1">
      <c r="A2043" s="12"/>
      <c r="B2043" s="11"/>
      <c r="C2043" s="11"/>
      <c r="D2043" s="11"/>
      <c r="E2043" s="11"/>
      <c r="F2043" s="11"/>
      <c r="G2043" s="11"/>
    </row>
    <row r="2044" spans="1:13" s="10" customFormat="1" ht="18" customHeight="1">
      <c r="A2044" s="12"/>
      <c r="B2044" s="11"/>
      <c r="C2044" s="11"/>
      <c r="D2044" s="11"/>
      <c r="E2044" s="11"/>
      <c r="F2044" s="11"/>
      <c r="G2044" s="11"/>
    </row>
    <row r="2045" spans="1:13" s="10" customFormat="1" ht="18" customHeight="1">
      <c r="A2045" s="125" t="s">
        <v>2244</v>
      </c>
      <c r="B2045" s="125"/>
      <c r="C2045" s="125"/>
      <c r="D2045" s="125"/>
      <c r="E2045" s="125"/>
      <c r="F2045" s="125"/>
      <c r="G2045" s="125"/>
      <c r="H2045" s="9"/>
    </row>
    <row r="2046" spans="1:13" s="10" customFormat="1" ht="18" customHeight="1">
      <c r="A2046" s="12"/>
      <c r="B2046" s="11"/>
      <c r="C2046" s="11"/>
      <c r="D2046" s="11"/>
      <c r="E2046" s="11"/>
      <c r="F2046" s="11"/>
      <c r="G2046" s="11"/>
    </row>
    <row r="2047" spans="1:13" s="121" customFormat="1" ht="18" customHeight="1">
      <c r="A2047" s="130" t="s">
        <v>2245</v>
      </c>
      <c r="B2047" s="130"/>
      <c r="C2047" s="20"/>
      <c r="I2047" s="9"/>
      <c r="J2047" s="9"/>
      <c r="K2047" s="9"/>
      <c r="L2047" s="9"/>
      <c r="M2047" s="9"/>
    </row>
    <row r="2048" spans="1:13" s="121" customFormat="1" ht="18" customHeight="1">
      <c r="B2048" s="121" t="s">
        <v>2246</v>
      </c>
      <c r="C2048" s="9"/>
      <c r="E2048" s="27"/>
      <c r="F2048" s="27"/>
      <c r="I2048" s="9"/>
      <c r="J2048" s="9"/>
      <c r="K2048" s="9"/>
      <c r="L2048" s="9"/>
      <c r="M2048" s="9"/>
    </row>
    <row r="2049" spans="2:14" s="121" customFormat="1" ht="18" customHeight="1">
      <c r="C2049" s="121" t="s">
        <v>2247</v>
      </c>
      <c r="G2049" s="121" t="s">
        <v>2248</v>
      </c>
      <c r="H2049" s="120"/>
      <c r="L2049" s="9"/>
      <c r="M2049" s="9"/>
      <c r="N2049" s="9"/>
    </row>
    <row r="2050" spans="2:14" s="121" customFormat="1" ht="18" customHeight="1">
      <c r="C2050" s="121" t="s">
        <v>5137</v>
      </c>
      <c r="G2050" s="121" t="s">
        <v>2249</v>
      </c>
      <c r="H2050" s="15" t="s">
        <v>11787</v>
      </c>
      <c r="L2050" s="9"/>
      <c r="M2050" s="9"/>
      <c r="N2050" s="9"/>
    </row>
    <row r="2051" spans="2:14" s="121" customFormat="1" ht="18" customHeight="1">
      <c r="C2051" s="121" t="s">
        <v>5122</v>
      </c>
      <c r="G2051" s="121" t="s">
        <v>2250</v>
      </c>
      <c r="H2051" s="15" t="s">
        <v>11787</v>
      </c>
      <c r="J2051" s="9"/>
      <c r="L2051" s="9"/>
      <c r="M2051" s="9"/>
      <c r="N2051" s="9"/>
    </row>
    <row r="2052" spans="2:14" s="121" customFormat="1" ht="18" customHeight="1">
      <c r="C2052" s="121" t="s">
        <v>2251</v>
      </c>
      <c r="G2052" s="121" t="s">
        <v>2252</v>
      </c>
      <c r="H2052" s="120"/>
      <c r="L2052" s="9"/>
      <c r="M2052" s="9"/>
      <c r="N2052" s="9"/>
    </row>
    <row r="2053" spans="2:14" s="121" customFormat="1" ht="18" customHeight="1">
      <c r="C2053" s="121" t="s">
        <v>5131</v>
      </c>
      <c r="G2053" s="121" t="s">
        <v>2253</v>
      </c>
      <c r="H2053" s="120"/>
    </row>
    <row r="2054" spans="2:14" s="9" customFormat="1" ht="18" customHeight="1">
      <c r="C2054" s="9" t="s">
        <v>1699</v>
      </c>
      <c r="G2054" s="9" t="s">
        <v>2254</v>
      </c>
      <c r="H2054" s="15" t="s">
        <v>11787</v>
      </c>
    </row>
    <row r="2055" spans="2:14" s="9" customFormat="1" ht="18" customHeight="1">
      <c r="C2055" s="9" t="s">
        <v>5135</v>
      </c>
      <c r="G2055" s="9" t="s">
        <v>2255</v>
      </c>
      <c r="H2055" s="15" t="s">
        <v>11787</v>
      </c>
    </row>
    <row r="2056" spans="2:14" s="9" customFormat="1" ht="18" customHeight="1">
      <c r="B2056" s="9" t="s">
        <v>2256</v>
      </c>
      <c r="H2056" s="10"/>
    </row>
    <row r="2057" spans="2:14" s="9" customFormat="1" ht="18" customHeight="1">
      <c r="C2057" s="9" t="s">
        <v>5146</v>
      </c>
      <c r="G2057" s="9" t="s">
        <v>2257</v>
      </c>
      <c r="H2057" s="15" t="s">
        <v>11787</v>
      </c>
    </row>
    <row r="2058" spans="2:14" s="9" customFormat="1" ht="18" customHeight="1">
      <c r="C2058" s="9" t="s">
        <v>2258</v>
      </c>
      <c r="G2058" s="9" t="s">
        <v>2259</v>
      </c>
      <c r="H2058" s="120"/>
    </row>
    <row r="2059" spans="2:14" s="9" customFormat="1" ht="18" customHeight="1">
      <c r="C2059" s="9" t="s">
        <v>2260</v>
      </c>
      <c r="G2059" s="9" t="s">
        <v>2261</v>
      </c>
      <c r="H2059" s="15" t="s">
        <v>11787</v>
      </c>
    </row>
    <row r="2060" spans="2:14" s="9" customFormat="1" ht="18" customHeight="1">
      <c r="C2060" s="9" t="s">
        <v>5153</v>
      </c>
      <c r="G2060" s="9" t="s">
        <v>2262</v>
      </c>
      <c r="H2060" s="15" t="s">
        <v>11787</v>
      </c>
    </row>
    <row r="2061" spans="2:14" s="9" customFormat="1" ht="18" customHeight="1">
      <c r="C2061" s="9" t="s">
        <v>1699</v>
      </c>
      <c r="G2061" s="9" t="s">
        <v>2263</v>
      </c>
      <c r="H2061" s="15" t="s">
        <v>11787</v>
      </c>
    </row>
    <row r="2062" spans="2:14" s="9" customFormat="1" ht="18" customHeight="1">
      <c r="C2062" s="9" t="s">
        <v>2264</v>
      </c>
      <c r="G2062" s="9" t="s">
        <v>2265</v>
      </c>
      <c r="H2062" s="120"/>
    </row>
    <row r="2063" spans="2:14" s="9" customFormat="1" ht="18" customHeight="1">
      <c r="C2063" s="9" t="s">
        <v>5158</v>
      </c>
      <c r="G2063" s="9" t="s">
        <v>2266</v>
      </c>
      <c r="H2063" s="15" t="s">
        <v>11787</v>
      </c>
    </row>
    <row r="2064" spans="2:14" s="9" customFormat="1" ht="18" customHeight="1">
      <c r="B2064" s="9" t="s">
        <v>5160</v>
      </c>
      <c r="H2064" s="10"/>
    </row>
    <row r="2065" spans="1:15" s="9" customFormat="1" ht="18" customHeight="1">
      <c r="C2065" s="9" t="s">
        <v>2258</v>
      </c>
      <c r="G2065" s="9" t="s">
        <v>2267</v>
      </c>
      <c r="H2065" s="120"/>
    </row>
    <row r="2066" spans="1:15" s="9" customFormat="1" ht="18" customHeight="1">
      <c r="C2066" s="9" t="s">
        <v>2268</v>
      </c>
      <c r="G2066" s="9" t="s">
        <v>2269</v>
      </c>
      <c r="H2066" s="120"/>
    </row>
    <row r="2067" spans="1:15" s="9" customFormat="1" ht="18" customHeight="1">
      <c r="C2067" s="9" t="s">
        <v>5166</v>
      </c>
      <c r="G2067" s="9" t="s">
        <v>2270</v>
      </c>
      <c r="H2067" s="15" t="s">
        <v>11787</v>
      </c>
    </row>
    <row r="2068" spans="1:15" s="9" customFormat="1" ht="18" customHeight="1">
      <c r="C2068" s="9" t="s">
        <v>5164</v>
      </c>
      <c r="G2068" s="9" t="s">
        <v>2271</v>
      </c>
      <c r="H2068" s="120"/>
    </row>
    <row r="2069" spans="1:15" s="9" customFormat="1" ht="18" customHeight="1">
      <c r="B2069" s="9" t="s">
        <v>2272</v>
      </c>
      <c r="G2069" s="9" t="s">
        <v>2273</v>
      </c>
      <c r="H2069" s="15" t="s">
        <v>11787</v>
      </c>
    </row>
    <row r="2070" spans="1:15" s="9" customFormat="1" ht="18" customHeight="1">
      <c r="H2070" s="10"/>
    </row>
    <row r="2071" spans="1:15" s="121" customFormat="1" ht="18" customHeight="1">
      <c r="A2071" s="130" t="s">
        <v>2274</v>
      </c>
      <c r="B2071" s="130"/>
      <c r="C2071" s="20"/>
      <c r="D2071" s="20"/>
      <c r="E2071" s="20"/>
      <c r="F2071" s="20"/>
      <c r="H2071" s="27"/>
      <c r="L2071" s="9"/>
      <c r="M2071" s="9"/>
      <c r="N2071" s="9"/>
      <c r="O2071" s="9"/>
    </row>
    <row r="2072" spans="1:15" s="121" customFormat="1" ht="18" customHeight="1">
      <c r="B2072" s="121" t="s">
        <v>2246</v>
      </c>
      <c r="C2072" s="9"/>
      <c r="D2072" s="9"/>
      <c r="E2072" s="9"/>
      <c r="F2072" s="9"/>
      <c r="H2072" s="27"/>
      <c r="L2072" s="9"/>
      <c r="M2072" s="9"/>
      <c r="N2072" s="9"/>
      <c r="O2072" s="9"/>
    </row>
    <row r="2073" spans="1:15" s="121" customFormat="1" ht="18" customHeight="1">
      <c r="C2073" s="121" t="s">
        <v>2247</v>
      </c>
      <c r="G2073" s="121" t="s">
        <v>2275</v>
      </c>
      <c r="H2073" s="120"/>
      <c r="L2073" s="9"/>
      <c r="M2073" s="9"/>
      <c r="N2073" s="9"/>
    </row>
    <row r="2074" spans="1:15" s="121" customFormat="1" ht="18" customHeight="1">
      <c r="C2074" s="121" t="s">
        <v>5137</v>
      </c>
      <c r="G2074" s="121" t="s">
        <v>2276</v>
      </c>
      <c r="H2074" s="15" t="s">
        <v>11787</v>
      </c>
      <c r="L2074" s="9"/>
      <c r="M2074" s="9"/>
      <c r="N2074" s="9"/>
    </row>
    <row r="2075" spans="1:15" s="121" customFormat="1" ht="18" customHeight="1">
      <c r="C2075" s="121" t="s">
        <v>5122</v>
      </c>
      <c r="G2075" s="121" t="s">
        <v>2277</v>
      </c>
      <c r="H2075" s="15" t="s">
        <v>11787</v>
      </c>
      <c r="J2075" s="9"/>
      <c r="L2075" s="9"/>
      <c r="M2075" s="9"/>
      <c r="N2075" s="9"/>
    </row>
    <row r="2076" spans="1:15" s="121" customFormat="1" ht="18" customHeight="1">
      <c r="C2076" s="121" t="s">
        <v>2251</v>
      </c>
      <c r="G2076" s="121" t="s">
        <v>2278</v>
      </c>
      <c r="H2076" s="120"/>
      <c r="L2076" s="9"/>
      <c r="M2076" s="9"/>
      <c r="N2076" s="9"/>
    </row>
    <row r="2077" spans="1:15" s="121" customFormat="1" ht="18" customHeight="1">
      <c r="C2077" s="121" t="s">
        <v>5131</v>
      </c>
      <c r="G2077" s="121" t="s">
        <v>2279</v>
      </c>
      <c r="H2077" s="120"/>
    </row>
    <row r="2078" spans="1:15" s="9" customFormat="1" ht="18" customHeight="1">
      <c r="C2078" s="9" t="s">
        <v>1699</v>
      </c>
      <c r="G2078" s="9" t="s">
        <v>2280</v>
      </c>
      <c r="H2078" s="15" t="s">
        <v>11787</v>
      </c>
    </row>
    <row r="2079" spans="1:15" s="9" customFormat="1" ht="18" customHeight="1">
      <c r="C2079" s="9" t="s">
        <v>5135</v>
      </c>
      <c r="G2079" s="9" t="s">
        <v>2281</v>
      </c>
      <c r="H2079" s="15" t="s">
        <v>11787</v>
      </c>
    </row>
    <row r="2080" spans="1:15" s="9" customFormat="1" ht="18" customHeight="1">
      <c r="B2080" s="9" t="s">
        <v>2256</v>
      </c>
      <c r="H2080" s="10"/>
    </row>
    <row r="2081" spans="1:15" s="9" customFormat="1" ht="18" customHeight="1">
      <c r="C2081" s="9" t="s">
        <v>5146</v>
      </c>
      <c r="G2081" s="9" t="s">
        <v>2282</v>
      </c>
      <c r="H2081" s="15" t="s">
        <v>11787</v>
      </c>
    </row>
    <row r="2082" spans="1:15" s="9" customFormat="1" ht="18" customHeight="1">
      <c r="C2082" s="9" t="s">
        <v>2258</v>
      </c>
      <c r="G2082" s="9" t="s">
        <v>2283</v>
      </c>
      <c r="H2082" s="120"/>
    </row>
    <row r="2083" spans="1:15" s="9" customFormat="1" ht="18" customHeight="1">
      <c r="C2083" s="9" t="s">
        <v>2260</v>
      </c>
      <c r="G2083" s="9" t="s">
        <v>2284</v>
      </c>
      <c r="H2083" s="15" t="s">
        <v>11787</v>
      </c>
    </row>
    <row r="2084" spans="1:15" s="9" customFormat="1" ht="18" customHeight="1">
      <c r="C2084" s="9" t="s">
        <v>5153</v>
      </c>
      <c r="G2084" s="9" t="s">
        <v>2285</v>
      </c>
      <c r="H2084" s="15" t="s">
        <v>11787</v>
      </c>
    </row>
    <row r="2085" spans="1:15" s="9" customFormat="1" ht="18" customHeight="1">
      <c r="C2085" s="9" t="s">
        <v>1699</v>
      </c>
      <c r="G2085" s="9" t="s">
        <v>2286</v>
      </c>
      <c r="H2085" s="15" t="s">
        <v>11787</v>
      </c>
    </row>
    <row r="2086" spans="1:15" s="9" customFormat="1" ht="18" customHeight="1">
      <c r="C2086" s="9" t="s">
        <v>2264</v>
      </c>
      <c r="G2086" s="9" t="s">
        <v>2287</v>
      </c>
      <c r="H2086" s="120"/>
    </row>
    <row r="2087" spans="1:15" s="9" customFormat="1" ht="18" customHeight="1">
      <c r="C2087" s="9" t="s">
        <v>5158</v>
      </c>
      <c r="G2087" s="9" t="s">
        <v>2288</v>
      </c>
      <c r="H2087" s="15" t="s">
        <v>11787</v>
      </c>
    </row>
    <row r="2088" spans="1:15" s="9" customFormat="1" ht="18" customHeight="1">
      <c r="B2088" s="9" t="s">
        <v>5160</v>
      </c>
      <c r="H2088" s="10"/>
    </row>
    <row r="2089" spans="1:15" s="9" customFormat="1" ht="18" customHeight="1">
      <c r="C2089" s="9" t="s">
        <v>2258</v>
      </c>
      <c r="G2089" s="9" t="s">
        <v>2289</v>
      </c>
      <c r="H2089" s="120"/>
    </row>
    <row r="2090" spans="1:15" s="9" customFormat="1" ht="18" customHeight="1">
      <c r="C2090" s="9" t="s">
        <v>2268</v>
      </c>
      <c r="G2090" s="9" t="s">
        <v>2290</v>
      </c>
      <c r="H2090" s="120"/>
    </row>
    <row r="2091" spans="1:15" s="9" customFormat="1" ht="18" customHeight="1">
      <c r="C2091" s="9" t="s">
        <v>5166</v>
      </c>
      <c r="G2091" s="9" t="s">
        <v>2291</v>
      </c>
      <c r="H2091" s="15" t="s">
        <v>11787</v>
      </c>
    </row>
    <row r="2092" spans="1:15" s="9" customFormat="1" ht="18" customHeight="1">
      <c r="C2092" s="9" t="s">
        <v>5164</v>
      </c>
      <c r="G2092" s="9" t="s">
        <v>2292</v>
      </c>
      <c r="H2092" s="120"/>
    </row>
    <row r="2093" spans="1:15" s="9" customFormat="1" ht="18" customHeight="1">
      <c r="B2093" s="9" t="s">
        <v>2272</v>
      </c>
      <c r="G2093" s="9" t="s">
        <v>2293</v>
      </c>
      <c r="H2093" s="15" t="s">
        <v>11787</v>
      </c>
    </row>
    <row r="2094" spans="1:15" s="9" customFormat="1" ht="18" customHeight="1">
      <c r="H2094" s="10"/>
    </row>
    <row r="2095" spans="1:15" s="121" customFormat="1" ht="18" customHeight="1">
      <c r="A2095" s="130" t="s">
        <v>2294</v>
      </c>
      <c r="B2095" s="130"/>
      <c r="C2095" s="20"/>
      <c r="D2095" s="20"/>
      <c r="E2095" s="20"/>
      <c r="F2095" s="20"/>
      <c r="H2095" s="27"/>
      <c r="L2095" s="9"/>
      <c r="M2095" s="9"/>
      <c r="N2095" s="9"/>
      <c r="O2095" s="9"/>
    </row>
    <row r="2096" spans="1:15" s="121" customFormat="1" ht="18" customHeight="1">
      <c r="B2096" s="121" t="s">
        <v>2246</v>
      </c>
      <c r="C2096" s="9"/>
      <c r="D2096" s="9"/>
      <c r="E2096" s="9"/>
      <c r="F2096" s="9"/>
      <c r="H2096" s="27"/>
      <c r="L2096" s="9"/>
      <c r="M2096" s="9"/>
      <c r="N2096" s="9"/>
      <c r="O2096" s="9"/>
    </row>
    <row r="2097" spans="2:14" s="121" customFormat="1" ht="18" customHeight="1">
      <c r="C2097" s="121" t="s">
        <v>2247</v>
      </c>
      <c r="G2097" s="121" t="s">
        <v>2295</v>
      </c>
      <c r="H2097" s="120"/>
      <c r="L2097" s="9"/>
      <c r="M2097" s="9"/>
      <c r="N2097" s="9"/>
    </row>
    <row r="2098" spans="2:14" s="121" customFormat="1" ht="18" customHeight="1">
      <c r="C2098" s="121" t="s">
        <v>5137</v>
      </c>
      <c r="G2098" s="121" t="s">
        <v>2296</v>
      </c>
      <c r="H2098" s="15" t="s">
        <v>11787</v>
      </c>
      <c r="L2098" s="9"/>
      <c r="M2098" s="9"/>
      <c r="N2098" s="9"/>
    </row>
    <row r="2099" spans="2:14" s="121" customFormat="1" ht="18" customHeight="1">
      <c r="C2099" s="121" t="s">
        <v>5122</v>
      </c>
      <c r="G2099" s="121" t="s">
        <v>2297</v>
      </c>
      <c r="H2099" s="15" t="s">
        <v>11787</v>
      </c>
      <c r="J2099" s="9"/>
      <c r="L2099" s="9"/>
      <c r="M2099" s="9"/>
      <c r="N2099" s="9"/>
    </row>
    <row r="2100" spans="2:14" s="121" customFormat="1" ht="18" customHeight="1">
      <c r="C2100" s="121" t="s">
        <v>2251</v>
      </c>
      <c r="G2100" s="121" t="s">
        <v>2298</v>
      </c>
      <c r="H2100" s="120"/>
      <c r="L2100" s="9"/>
      <c r="M2100" s="9"/>
      <c r="N2100" s="9"/>
    </row>
    <row r="2101" spans="2:14" s="121" customFormat="1" ht="18" customHeight="1">
      <c r="C2101" s="121" t="s">
        <v>5131</v>
      </c>
      <c r="G2101" s="121" t="s">
        <v>2299</v>
      </c>
      <c r="H2101" s="120"/>
    </row>
    <row r="2102" spans="2:14" s="9" customFormat="1" ht="18" customHeight="1">
      <c r="C2102" s="9" t="s">
        <v>1699</v>
      </c>
      <c r="G2102" s="9" t="s">
        <v>2300</v>
      </c>
      <c r="H2102" s="15" t="s">
        <v>11787</v>
      </c>
    </row>
    <row r="2103" spans="2:14" s="9" customFormat="1" ht="18" customHeight="1">
      <c r="C2103" s="9" t="s">
        <v>5135</v>
      </c>
      <c r="G2103" s="9" t="s">
        <v>2301</v>
      </c>
      <c r="H2103" s="15" t="s">
        <v>11787</v>
      </c>
    </row>
    <row r="2104" spans="2:14" s="9" customFormat="1" ht="18" customHeight="1">
      <c r="B2104" s="9" t="s">
        <v>2256</v>
      </c>
      <c r="H2104" s="10"/>
    </row>
    <row r="2105" spans="2:14" s="9" customFormat="1" ht="18" customHeight="1">
      <c r="C2105" s="9" t="s">
        <v>5146</v>
      </c>
      <c r="G2105" s="9" t="s">
        <v>2302</v>
      </c>
      <c r="H2105" s="15" t="s">
        <v>11787</v>
      </c>
    </row>
    <row r="2106" spans="2:14" s="9" customFormat="1" ht="18" customHeight="1">
      <c r="C2106" s="9" t="s">
        <v>2258</v>
      </c>
      <c r="G2106" s="9" t="s">
        <v>2303</v>
      </c>
      <c r="H2106" s="120"/>
    </row>
    <row r="2107" spans="2:14" s="9" customFormat="1" ht="18" customHeight="1">
      <c r="C2107" s="9" t="s">
        <v>2260</v>
      </c>
      <c r="G2107" s="9" t="s">
        <v>2304</v>
      </c>
      <c r="H2107" s="15" t="s">
        <v>11787</v>
      </c>
    </row>
    <row r="2108" spans="2:14" s="9" customFormat="1" ht="18" customHeight="1">
      <c r="C2108" s="9" t="s">
        <v>5153</v>
      </c>
      <c r="G2108" s="9" t="s">
        <v>2305</v>
      </c>
      <c r="H2108" s="15" t="s">
        <v>11787</v>
      </c>
    </row>
    <row r="2109" spans="2:14" s="9" customFormat="1" ht="18" customHeight="1">
      <c r="C2109" s="9" t="s">
        <v>1699</v>
      </c>
      <c r="G2109" s="9" t="s">
        <v>2306</v>
      </c>
      <c r="H2109" s="15" t="s">
        <v>11787</v>
      </c>
    </row>
    <row r="2110" spans="2:14" s="9" customFormat="1" ht="18" customHeight="1">
      <c r="C2110" s="9" t="s">
        <v>2264</v>
      </c>
      <c r="G2110" s="9" t="s">
        <v>2307</v>
      </c>
      <c r="H2110" s="120"/>
    </row>
    <row r="2111" spans="2:14" s="9" customFormat="1" ht="18" customHeight="1">
      <c r="C2111" s="9" t="s">
        <v>5158</v>
      </c>
      <c r="G2111" s="9" t="s">
        <v>2308</v>
      </c>
      <c r="H2111" s="15" t="s">
        <v>11787</v>
      </c>
    </row>
    <row r="2112" spans="2:14" s="9" customFormat="1" ht="18" customHeight="1">
      <c r="B2112" s="9" t="s">
        <v>5160</v>
      </c>
      <c r="H2112" s="10"/>
    </row>
    <row r="2113" spans="1:15" s="9" customFormat="1" ht="18" customHeight="1">
      <c r="C2113" s="9" t="s">
        <v>2258</v>
      </c>
      <c r="G2113" s="9" t="s">
        <v>2309</v>
      </c>
      <c r="H2113" s="120"/>
    </row>
    <row r="2114" spans="1:15" s="9" customFormat="1" ht="18" customHeight="1">
      <c r="C2114" s="9" t="s">
        <v>2268</v>
      </c>
      <c r="G2114" s="9" t="s">
        <v>2310</v>
      </c>
      <c r="H2114" s="120"/>
    </row>
    <row r="2115" spans="1:15" s="9" customFormat="1" ht="18" customHeight="1">
      <c r="C2115" s="9" t="s">
        <v>5166</v>
      </c>
      <c r="G2115" s="9" t="s">
        <v>2311</v>
      </c>
      <c r="H2115" s="15" t="s">
        <v>11787</v>
      </c>
    </row>
    <row r="2116" spans="1:15" s="9" customFormat="1" ht="18" customHeight="1">
      <c r="C2116" s="9" t="s">
        <v>5164</v>
      </c>
      <c r="G2116" s="9" t="s">
        <v>2312</v>
      </c>
      <c r="H2116" s="120"/>
    </row>
    <row r="2117" spans="1:15" s="9" customFormat="1" ht="18" customHeight="1">
      <c r="B2117" s="9" t="s">
        <v>2272</v>
      </c>
      <c r="G2117" s="9" t="s">
        <v>2313</v>
      </c>
      <c r="H2117" s="15" t="s">
        <v>11787</v>
      </c>
    </row>
    <row r="2118" spans="1:15" s="9" customFormat="1" ht="18" customHeight="1">
      <c r="H2118" s="10"/>
    </row>
    <row r="2119" spans="1:15" s="121" customFormat="1" ht="18" customHeight="1">
      <c r="A2119" s="130" t="s">
        <v>2314</v>
      </c>
      <c r="B2119" s="130"/>
      <c r="C2119" s="20"/>
      <c r="D2119" s="20"/>
      <c r="E2119" s="20"/>
      <c r="F2119" s="20"/>
      <c r="H2119" s="27"/>
      <c r="L2119" s="9"/>
      <c r="M2119" s="9"/>
      <c r="N2119" s="9"/>
      <c r="O2119" s="9"/>
    </row>
    <row r="2120" spans="1:15" s="121" customFormat="1" ht="18" customHeight="1">
      <c r="B2120" s="121" t="s">
        <v>2246</v>
      </c>
      <c r="C2120" s="9"/>
      <c r="D2120" s="9"/>
      <c r="E2120" s="9"/>
      <c r="F2120" s="9"/>
      <c r="H2120" s="27"/>
      <c r="L2120" s="9"/>
      <c r="M2120" s="9"/>
      <c r="N2120" s="9"/>
      <c r="O2120" s="9"/>
    </row>
    <row r="2121" spans="1:15" s="121" customFormat="1" ht="18" customHeight="1">
      <c r="C2121" s="121" t="s">
        <v>2247</v>
      </c>
      <c r="G2121" s="121" t="s">
        <v>2315</v>
      </c>
      <c r="H2121" s="120"/>
      <c r="L2121" s="9"/>
      <c r="M2121" s="9"/>
      <c r="N2121" s="9"/>
    </row>
    <row r="2122" spans="1:15" s="121" customFormat="1" ht="18" customHeight="1">
      <c r="C2122" s="121" t="s">
        <v>5137</v>
      </c>
      <c r="G2122" s="121" t="s">
        <v>2316</v>
      </c>
      <c r="H2122" s="15" t="s">
        <v>11787</v>
      </c>
      <c r="L2122" s="9"/>
      <c r="M2122" s="9"/>
      <c r="N2122" s="9"/>
    </row>
    <row r="2123" spans="1:15" s="121" customFormat="1" ht="18" customHeight="1">
      <c r="C2123" s="121" t="s">
        <v>5122</v>
      </c>
      <c r="G2123" s="121" t="s">
        <v>2317</v>
      </c>
      <c r="H2123" s="15" t="s">
        <v>11787</v>
      </c>
      <c r="J2123" s="9"/>
      <c r="L2123" s="9"/>
      <c r="M2123" s="9"/>
      <c r="N2123" s="9"/>
    </row>
    <row r="2124" spans="1:15" s="121" customFormat="1" ht="18" customHeight="1">
      <c r="C2124" s="121" t="s">
        <v>2251</v>
      </c>
      <c r="G2124" s="121" t="s">
        <v>2318</v>
      </c>
      <c r="H2124" s="120"/>
      <c r="L2124" s="9"/>
      <c r="M2124" s="9"/>
      <c r="N2124" s="9"/>
    </row>
    <row r="2125" spans="1:15" s="121" customFormat="1" ht="18" customHeight="1">
      <c r="C2125" s="121" t="s">
        <v>5131</v>
      </c>
      <c r="G2125" s="121" t="s">
        <v>2319</v>
      </c>
      <c r="H2125" s="120"/>
    </row>
    <row r="2126" spans="1:15" s="9" customFormat="1" ht="18" customHeight="1">
      <c r="C2126" s="9" t="s">
        <v>1699</v>
      </c>
      <c r="G2126" s="9" t="s">
        <v>2320</v>
      </c>
      <c r="H2126" s="15" t="s">
        <v>11787</v>
      </c>
    </row>
    <row r="2127" spans="1:15" s="9" customFormat="1" ht="18" customHeight="1">
      <c r="C2127" s="9" t="s">
        <v>5135</v>
      </c>
      <c r="G2127" s="9" t="s">
        <v>2321</v>
      </c>
      <c r="H2127" s="15" t="s">
        <v>11787</v>
      </c>
    </row>
    <row r="2128" spans="1:15" s="9" customFormat="1" ht="18" customHeight="1">
      <c r="B2128" s="9" t="s">
        <v>2256</v>
      </c>
      <c r="H2128" s="10"/>
    </row>
    <row r="2129" spans="1:15" s="9" customFormat="1" ht="18" customHeight="1">
      <c r="C2129" s="9" t="s">
        <v>5146</v>
      </c>
      <c r="G2129" s="9" t="s">
        <v>2322</v>
      </c>
      <c r="H2129" s="15" t="s">
        <v>11787</v>
      </c>
    </row>
    <row r="2130" spans="1:15" s="9" customFormat="1" ht="18" customHeight="1">
      <c r="C2130" s="9" t="s">
        <v>2258</v>
      </c>
      <c r="G2130" s="9" t="s">
        <v>2323</v>
      </c>
      <c r="H2130" s="120"/>
    </row>
    <row r="2131" spans="1:15" s="9" customFormat="1" ht="18" customHeight="1">
      <c r="C2131" s="9" t="s">
        <v>2260</v>
      </c>
      <c r="G2131" s="9" t="s">
        <v>2324</v>
      </c>
      <c r="H2131" s="15" t="s">
        <v>11787</v>
      </c>
    </row>
    <row r="2132" spans="1:15" s="9" customFormat="1" ht="18" customHeight="1">
      <c r="C2132" s="9" t="s">
        <v>5153</v>
      </c>
      <c r="G2132" s="9" t="s">
        <v>2325</v>
      </c>
      <c r="H2132" s="15" t="s">
        <v>11787</v>
      </c>
    </row>
    <row r="2133" spans="1:15" s="9" customFormat="1" ht="18" customHeight="1">
      <c r="C2133" s="9" t="s">
        <v>1699</v>
      </c>
      <c r="G2133" s="9" t="s">
        <v>2326</v>
      </c>
      <c r="H2133" s="15" t="s">
        <v>11787</v>
      </c>
    </row>
    <row r="2134" spans="1:15" s="9" customFormat="1" ht="18" customHeight="1">
      <c r="C2134" s="9" t="s">
        <v>2264</v>
      </c>
      <c r="G2134" s="9" t="s">
        <v>2327</v>
      </c>
      <c r="H2134" s="120"/>
    </row>
    <row r="2135" spans="1:15" s="9" customFormat="1" ht="18" customHeight="1">
      <c r="C2135" s="9" t="s">
        <v>5158</v>
      </c>
      <c r="G2135" s="9" t="s">
        <v>2328</v>
      </c>
      <c r="H2135" s="15" t="s">
        <v>11787</v>
      </c>
    </row>
    <row r="2136" spans="1:15" s="9" customFormat="1" ht="18" customHeight="1">
      <c r="B2136" s="9" t="s">
        <v>5160</v>
      </c>
      <c r="H2136" s="10"/>
    </row>
    <row r="2137" spans="1:15" s="9" customFormat="1" ht="18" customHeight="1">
      <c r="C2137" s="9" t="s">
        <v>2258</v>
      </c>
      <c r="G2137" s="9" t="s">
        <v>2329</v>
      </c>
      <c r="H2137" s="120"/>
    </row>
    <row r="2138" spans="1:15" s="9" customFormat="1" ht="18" customHeight="1">
      <c r="C2138" s="9" t="s">
        <v>2268</v>
      </c>
      <c r="G2138" s="9" t="s">
        <v>2330</v>
      </c>
      <c r="H2138" s="120"/>
    </row>
    <row r="2139" spans="1:15" s="9" customFormat="1" ht="18" customHeight="1">
      <c r="C2139" s="9" t="s">
        <v>5166</v>
      </c>
      <c r="G2139" s="9" t="s">
        <v>2331</v>
      </c>
      <c r="H2139" s="15" t="s">
        <v>11787</v>
      </c>
    </row>
    <row r="2140" spans="1:15" s="9" customFormat="1" ht="18" customHeight="1">
      <c r="C2140" s="9" t="s">
        <v>5164</v>
      </c>
      <c r="G2140" s="9" t="s">
        <v>2332</v>
      </c>
      <c r="H2140" s="120"/>
    </row>
    <row r="2141" spans="1:15" s="9" customFormat="1" ht="18" customHeight="1">
      <c r="B2141" s="9" t="s">
        <v>2272</v>
      </c>
      <c r="G2141" s="9" t="s">
        <v>2333</v>
      </c>
      <c r="H2141" s="15" t="s">
        <v>11787</v>
      </c>
    </row>
    <row r="2142" spans="1:15" s="9" customFormat="1" ht="18" customHeight="1">
      <c r="H2142" s="10"/>
    </row>
    <row r="2143" spans="1:15" s="121" customFormat="1" ht="18" customHeight="1">
      <c r="A2143" s="130" t="s">
        <v>2334</v>
      </c>
      <c r="B2143" s="130"/>
      <c r="C2143" s="20"/>
      <c r="D2143" s="20"/>
      <c r="E2143" s="20"/>
      <c r="F2143" s="20"/>
      <c r="H2143" s="27"/>
      <c r="L2143" s="9"/>
      <c r="M2143" s="9"/>
      <c r="N2143" s="9"/>
      <c r="O2143" s="9"/>
    </row>
    <row r="2144" spans="1:15" s="121" customFormat="1" ht="18" customHeight="1">
      <c r="B2144" s="121" t="s">
        <v>2246</v>
      </c>
      <c r="C2144" s="9"/>
      <c r="D2144" s="9"/>
      <c r="E2144" s="9"/>
      <c r="F2144" s="9"/>
      <c r="H2144" s="27"/>
      <c r="L2144" s="9"/>
      <c r="M2144" s="9"/>
      <c r="N2144" s="9"/>
      <c r="O2144" s="9"/>
    </row>
    <row r="2145" spans="2:14" s="121" customFormat="1" ht="18" customHeight="1">
      <c r="C2145" s="121" t="s">
        <v>2247</v>
      </c>
      <c r="G2145" s="121" t="s">
        <v>2335</v>
      </c>
      <c r="H2145" s="120"/>
      <c r="L2145" s="9"/>
      <c r="M2145" s="9"/>
      <c r="N2145" s="9"/>
    </row>
    <row r="2146" spans="2:14" s="121" customFormat="1" ht="18" customHeight="1">
      <c r="C2146" s="121" t="s">
        <v>5137</v>
      </c>
      <c r="G2146" s="121" t="s">
        <v>2336</v>
      </c>
      <c r="H2146" s="15" t="s">
        <v>11787</v>
      </c>
      <c r="L2146" s="9"/>
      <c r="M2146" s="9"/>
      <c r="N2146" s="9"/>
    </row>
    <row r="2147" spans="2:14" s="121" customFormat="1" ht="18" customHeight="1">
      <c r="C2147" s="121" t="s">
        <v>5122</v>
      </c>
      <c r="G2147" s="121" t="s">
        <v>2337</v>
      </c>
      <c r="H2147" s="15" t="s">
        <v>11787</v>
      </c>
      <c r="J2147" s="9"/>
      <c r="L2147" s="9"/>
      <c r="M2147" s="9"/>
      <c r="N2147" s="9"/>
    </row>
    <row r="2148" spans="2:14" s="121" customFormat="1" ht="18" customHeight="1">
      <c r="C2148" s="121" t="s">
        <v>2251</v>
      </c>
      <c r="G2148" s="121" t="s">
        <v>2338</v>
      </c>
      <c r="H2148" s="120"/>
      <c r="L2148" s="9"/>
      <c r="M2148" s="9"/>
      <c r="N2148" s="9"/>
    </row>
    <row r="2149" spans="2:14" s="121" customFormat="1" ht="18" customHeight="1">
      <c r="C2149" s="121" t="s">
        <v>5131</v>
      </c>
      <c r="G2149" s="121" t="s">
        <v>2339</v>
      </c>
      <c r="H2149" s="120"/>
    </row>
    <row r="2150" spans="2:14" s="9" customFormat="1" ht="18" customHeight="1">
      <c r="C2150" s="9" t="s">
        <v>1699</v>
      </c>
      <c r="G2150" s="9" t="s">
        <v>2340</v>
      </c>
      <c r="H2150" s="15" t="s">
        <v>11787</v>
      </c>
    </row>
    <row r="2151" spans="2:14" s="9" customFormat="1" ht="18" customHeight="1">
      <c r="C2151" s="9" t="s">
        <v>5135</v>
      </c>
      <c r="G2151" s="9" t="s">
        <v>2341</v>
      </c>
      <c r="H2151" s="15" t="s">
        <v>11787</v>
      </c>
    </row>
    <row r="2152" spans="2:14" s="9" customFormat="1" ht="18" customHeight="1">
      <c r="B2152" s="9" t="s">
        <v>2256</v>
      </c>
      <c r="H2152" s="10"/>
    </row>
    <row r="2153" spans="2:14" s="9" customFormat="1" ht="18" customHeight="1">
      <c r="C2153" s="9" t="s">
        <v>5146</v>
      </c>
      <c r="G2153" s="9" t="s">
        <v>2342</v>
      </c>
      <c r="H2153" s="15" t="s">
        <v>11787</v>
      </c>
    </row>
    <row r="2154" spans="2:14" s="9" customFormat="1" ht="18" customHeight="1">
      <c r="C2154" s="9" t="s">
        <v>2258</v>
      </c>
      <c r="G2154" s="9" t="s">
        <v>2343</v>
      </c>
      <c r="H2154" s="120"/>
    </row>
    <row r="2155" spans="2:14" s="9" customFormat="1" ht="18" customHeight="1">
      <c r="C2155" s="9" t="s">
        <v>2260</v>
      </c>
      <c r="G2155" s="9" t="s">
        <v>2344</v>
      </c>
      <c r="H2155" s="15" t="s">
        <v>11787</v>
      </c>
    </row>
    <row r="2156" spans="2:14" s="9" customFormat="1" ht="18" customHeight="1">
      <c r="C2156" s="9" t="s">
        <v>5153</v>
      </c>
      <c r="G2156" s="9" t="s">
        <v>2345</v>
      </c>
      <c r="H2156" s="15" t="s">
        <v>11787</v>
      </c>
    </row>
    <row r="2157" spans="2:14" s="9" customFormat="1" ht="18" customHeight="1">
      <c r="C2157" s="9" t="s">
        <v>1699</v>
      </c>
      <c r="G2157" s="9" t="s">
        <v>2346</v>
      </c>
      <c r="H2157" s="15" t="s">
        <v>11787</v>
      </c>
    </row>
    <row r="2158" spans="2:14" s="9" customFormat="1" ht="18" customHeight="1">
      <c r="C2158" s="9" t="s">
        <v>2264</v>
      </c>
      <c r="G2158" s="9" t="s">
        <v>2347</v>
      </c>
      <c r="H2158" s="120"/>
    </row>
    <row r="2159" spans="2:14" s="9" customFormat="1" ht="18" customHeight="1">
      <c r="C2159" s="9" t="s">
        <v>5158</v>
      </c>
      <c r="G2159" s="9" t="s">
        <v>2348</v>
      </c>
      <c r="H2159" s="15" t="s">
        <v>11787</v>
      </c>
    </row>
    <row r="2160" spans="2:14" s="9" customFormat="1" ht="18" customHeight="1">
      <c r="B2160" s="9" t="s">
        <v>5160</v>
      </c>
      <c r="H2160" s="10"/>
    </row>
    <row r="2161" spans="1:15" s="9" customFormat="1" ht="18" customHeight="1">
      <c r="C2161" s="9" t="s">
        <v>2258</v>
      </c>
      <c r="G2161" s="9" t="s">
        <v>2349</v>
      </c>
      <c r="H2161" s="120"/>
    </row>
    <row r="2162" spans="1:15" s="9" customFormat="1" ht="18" customHeight="1">
      <c r="C2162" s="9" t="s">
        <v>2268</v>
      </c>
      <c r="G2162" s="9" t="s">
        <v>2350</v>
      </c>
      <c r="H2162" s="120"/>
    </row>
    <row r="2163" spans="1:15" s="9" customFormat="1" ht="18" customHeight="1">
      <c r="C2163" s="9" t="s">
        <v>5166</v>
      </c>
      <c r="G2163" s="9" t="s">
        <v>2351</v>
      </c>
      <c r="H2163" s="15" t="s">
        <v>11787</v>
      </c>
    </row>
    <row r="2164" spans="1:15" s="9" customFormat="1" ht="18" customHeight="1">
      <c r="C2164" s="9" t="s">
        <v>5164</v>
      </c>
      <c r="G2164" s="9" t="s">
        <v>2352</v>
      </c>
      <c r="H2164" s="120"/>
    </row>
    <row r="2165" spans="1:15" s="9" customFormat="1" ht="18" customHeight="1">
      <c r="B2165" s="9" t="s">
        <v>2272</v>
      </c>
      <c r="G2165" s="9" t="s">
        <v>2353</v>
      </c>
      <c r="H2165" s="15" t="s">
        <v>11787</v>
      </c>
    </row>
    <row r="2166" spans="1:15" s="9" customFormat="1" ht="18" customHeight="1">
      <c r="H2166" s="10"/>
    </row>
    <row r="2167" spans="1:15" s="121" customFormat="1" ht="18" customHeight="1">
      <c r="A2167" s="130" t="s">
        <v>2354</v>
      </c>
      <c r="B2167" s="130"/>
      <c r="C2167" s="20"/>
      <c r="D2167" s="20"/>
      <c r="E2167" s="20"/>
      <c r="F2167" s="20"/>
      <c r="H2167" s="27"/>
      <c r="L2167" s="9"/>
      <c r="M2167" s="9"/>
      <c r="N2167" s="9"/>
      <c r="O2167" s="9"/>
    </row>
    <row r="2168" spans="1:15" s="121" customFormat="1" ht="18" customHeight="1">
      <c r="B2168" s="121" t="s">
        <v>2246</v>
      </c>
      <c r="C2168" s="9"/>
      <c r="D2168" s="9"/>
      <c r="E2168" s="9"/>
      <c r="F2168" s="9"/>
      <c r="H2168" s="27"/>
      <c r="L2168" s="9"/>
      <c r="M2168" s="9"/>
      <c r="N2168" s="9"/>
      <c r="O2168" s="9"/>
    </row>
    <row r="2169" spans="1:15" s="121" customFormat="1" ht="18" customHeight="1">
      <c r="C2169" s="121" t="s">
        <v>2247</v>
      </c>
      <c r="G2169" s="121" t="s">
        <v>2355</v>
      </c>
      <c r="H2169" s="120"/>
      <c r="L2169" s="9"/>
      <c r="M2169" s="9"/>
      <c r="N2169" s="9"/>
    </row>
    <row r="2170" spans="1:15" s="121" customFormat="1" ht="18" customHeight="1">
      <c r="C2170" s="121" t="s">
        <v>5137</v>
      </c>
      <c r="G2170" s="121" t="s">
        <v>2356</v>
      </c>
      <c r="H2170" s="15" t="s">
        <v>11787</v>
      </c>
      <c r="L2170" s="9"/>
      <c r="M2170" s="9"/>
      <c r="N2170" s="9"/>
    </row>
    <row r="2171" spans="1:15" s="121" customFormat="1" ht="18" customHeight="1">
      <c r="C2171" s="121" t="s">
        <v>5122</v>
      </c>
      <c r="G2171" s="121" t="s">
        <v>2357</v>
      </c>
      <c r="H2171" s="15" t="s">
        <v>11787</v>
      </c>
      <c r="J2171" s="9"/>
      <c r="L2171" s="9"/>
      <c r="M2171" s="9"/>
      <c r="N2171" s="9"/>
    </row>
    <row r="2172" spans="1:15" s="121" customFormat="1" ht="18" customHeight="1">
      <c r="C2172" s="121" t="s">
        <v>2251</v>
      </c>
      <c r="G2172" s="121" t="s">
        <v>2358</v>
      </c>
      <c r="H2172" s="120"/>
      <c r="L2172" s="9"/>
      <c r="M2172" s="9"/>
      <c r="N2172" s="9"/>
    </row>
    <row r="2173" spans="1:15" s="121" customFormat="1" ht="18" customHeight="1">
      <c r="C2173" s="121" t="s">
        <v>5131</v>
      </c>
      <c r="G2173" s="121" t="s">
        <v>2359</v>
      </c>
      <c r="H2173" s="120"/>
    </row>
    <row r="2174" spans="1:15" s="9" customFormat="1" ht="18" customHeight="1">
      <c r="C2174" s="9" t="s">
        <v>1699</v>
      </c>
      <c r="G2174" s="9" t="s">
        <v>2360</v>
      </c>
      <c r="H2174" s="15" t="s">
        <v>11787</v>
      </c>
    </row>
    <row r="2175" spans="1:15" s="9" customFormat="1" ht="18" customHeight="1">
      <c r="C2175" s="9" t="s">
        <v>5135</v>
      </c>
      <c r="G2175" s="9" t="s">
        <v>2361</v>
      </c>
      <c r="H2175" s="15" t="s">
        <v>11787</v>
      </c>
    </row>
    <row r="2176" spans="1:15" s="9" customFormat="1" ht="18" customHeight="1">
      <c r="B2176" s="9" t="s">
        <v>2256</v>
      </c>
      <c r="H2176" s="10"/>
    </row>
    <row r="2177" spans="1:15" s="9" customFormat="1" ht="18" customHeight="1">
      <c r="C2177" s="9" t="s">
        <v>5146</v>
      </c>
      <c r="G2177" s="9" t="s">
        <v>2362</v>
      </c>
      <c r="H2177" s="15" t="s">
        <v>11787</v>
      </c>
    </row>
    <row r="2178" spans="1:15" s="9" customFormat="1" ht="18" customHeight="1">
      <c r="C2178" s="9" t="s">
        <v>2258</v>
      </c>
      <c r="G2178" s="9" t="s">
        <v>2363</v>
      </c>
      <c r="H2178" s="120"/>
    </row>
    <row r="2179" spans="1:15" s="9" customFormat="1" ht="18" customHeight="1">
      <c r="C2179" s="9" t="s">
        <v>2260</v>
      </c>
      <c r="G2179" s="9" t="s">
        <v>2364</v>
      </c>
      <c r="H2179" s="15" t="s">
        <v>11787</v>
      </c>
    </row>
    <row r="2180" spans="1:15" s="9" customFormat="1" ht="18" customHeight="1">
      <c r="C2180" s="9" t="s">
        <v>5153</v>
      </c>
      <c r="G2180" s="9" t="s">
        <v>2365</v>
      </c>
      <c r="H2180" s="15" t="s">
        <v>11787</v>
      </c>
    </row>
    <row r="2181" spans="1:15" s="9" customFormat="1" ht="18" customHeight="1">
      <c r="C2181" s="9" t="s">
        <v>1699</v>
      </c>
      <c r="G2181" s="9" t="s">
        <v>2366</v>
      </c>
      <c r="H2181" s="15" t="s">
        <v>11787</v>
      </c>
    </row>
    <row r="2182" spans="1:15" s="9" customFormat="1" ht="18" customHeight="1">
      <c r="C2182" s="9" t="s">
        <v>2264</v>
      </c>
      <c r="G2182" s="9" t="s">
        <v>2367</v>
      </c>
      <c r="H2182" s="120"/>
    </row>
    <row r="2183" spans="1:15" s="9" customFormat="1" ht="18" customHeight="1">
      <c r="C2183" s="9" t="s">
        <v>5158</v>
      </c>
      <c r="G2183" s="9" t="s">
        <v>2368</v>
      </c>
      <c r="H2183" s="15" t="s">
        <v>11787</v>
      </c>
    </row>
    <row r="2184" spans="1:15" s="9" customFormat="1" ht="18" customHeight="1">
      <c r="B2184" s="9" t="s">
        <v>5160</v>
      </c>
      <c r="H2184" s="10"/>
    </row>
    <row r="2185" spans="1:15" s="9" customFormat="1" ht="18" customHeight="1">
      <c r="C2185" s="9" t="s">
        <v>2258</v>
      </c>
      <c r="G2185" s="9" t="s">
        <v>2369</v>
      </c>
      <c r="H2185" s="120"/>
    </row>
    <row r="2186" spans="1:15" s="9" customFormat="1" ht="18" customHeight="1">
      <c r="C2186" s="9" t="s">
        <v>2268</v>
      </c>
      <c r="G2186" s="9" t="s">
        <v>2370</v>
      </c>
      <c r="H2186" s="120"/>
    </row>
    <row r="2187" spans="1:15" s="9" customFormat="1" ht="18" customHeight="1">
      <c r="C2187" s="9" t="s">
        <v>5166</v>
      </c>
      <c r="G2187" s="9" t="s">
        <v>2371</v>
      </c>
      <c r="H2187" s="15" t="s">
        <v>11787</v>
      </c>
    </row>
    <row r="2188" spans="1:15" s="9" customFormat="1" ht="18" customHeight="1">
      <c r="C2188" s="9" t="s">
        <v>5164</v>
      </c>
      <c r="G2188" s="9" t="s">
        <v>2372</v>
      </c>
      <c r="H2188" s="120"/>
    </row>
    <row r="2189" spans="1:15" s="9" customFormat="1" ht="18" customHeight="1">
      <c r="B2189" s="9" t="s">
        <v>2272</v>
      </c>
      <c r="G2189" s="9" t="s">
        <v>2373</v>
      </c>
      <c r="H2189" s="15" t="s">
        <v>11787</v>
      </c>
    </row>
    <row r="2190" spans="1:15" s="9" customFormat="1" ht="18" customHeight="1">
      <c r="H2190" s="10"/>
    </row>
    <row r="2191" spans="1:15" s="121" customFormat="1" ht="18" customHeight="1">
      <c r="A2191" s="130" t="s">
        <v>2374</v>
      </c>
      <c r="B2191" s="130"/>
      <c r="C2191" s="20"/>
      <c r="D2191" s="20"/>
      <c r="E2191" s="20"/>
      <c r="F2191" s="20"/>
      <c r="H2191" s="27"/>
      <c r="L2191" s="9"/>
      <c r="M2191" s="9"/>
      <c r="N2191" s="9"/>
      <c r="O2191" s="9"/>
    </row>
    <row r="2192" spans="1:15" s="121" customFormat="1" ht="18" customHeight="1">
      <c r="B2192" s="121" t="s">
        <v>2246</v>
      </c>
      <c r="C2192" s="9"/>
      <c r="D2192" s="9"/>
      <c r="E2192" s="9"/>
      <c r="F2192" s="9"/>
      <c r="H2192" s="27"/>
      <c r="L2192" s="9"/>
      <c r="M2192" s="9"/>
      <c r="N2192" s="9"/>
      <c r="O2192" s="9"/>
    </row>
    <row r="2193" spans="2:14" s="121" customFormat="1" ht="18" customHeight="1">
      <c r="C2193" s="121" t="s">
        <v>2247</v>
      </c>
      <c r="G2193" s="121" t="s">
        <v>2375</v>
      </c>
      <c r="H2193" s="120"/>
      <c r="L2193" s="9"/>
      <c r="M2193" s="9"/>
      <c r="N2193" s="9"/>
    </row>
    <row r="2194" spans="2:14" s="121" customFormat="1" ht="18" customHeight="1">
      <c r="C2194" s="121" t="s">
        <v>5137</v>
      </c>
      <c r="G2194" s="121" t="s">
        <v>2376</v>
      </c>
      <c r="H2194" s="15" t="s">
        <v>11787</v>
      </c>
      <c r="L2194" s="9"/>
      <c r="M2194" s="9"/>
      <c r="N2194" s="9"/>
    </row>
    <row r="2195" spans="2:14" s="121" customFormat="1" ht="18" customHeight="1">
      <c r="C2195" s="121" t="s">
        <v>5122</v>
      </c>
      <c r="G2195" s="121" t="s">
        <v>2377</v>
      </c>
      <c r="H2195" s="15" t="s">
        <v>11787</v>
      </c>
      <c r="J2195" s="9"/>
      <c r="L2195" s="9"/>
      <c r="M2195" s="9"/>
      <c r="N2195" s="9"/>
    </row>
    <row r="2196" spans="2:14" s="121" customFormat="1" ht="18" customHeight="1">
      <c r="C2196" s="121" t="s">
        <v>2251</v>
      </c>
      <c r="G2196" s="121" t="s">
        <v>2378</v>
      </c>
      <c r="H2196" s="120"/>
      <c r="L2196" s="9"/>
      <c r="M2196" s="9"/>
      <c r="N2196" s="9"/>
    </row>
    <row r="2197" spans="2:14" s="121" customFormat="1" ht="18" customHeight="1">
      <c r="C2197" s="121" t="s">
        <v>5131</v>
      </c>
      <c r="G2197" s="121" t="s">
        <v>2379</v>
      </c>
      <c r="H2197" s="120"/>
    </row>
    <row r="2198" spans="2:14" s="9" customFormat="1" ht="18" customHeight="1">
      <c r="C2198" s="9" t="s">
        <v>1699</v>
      </c>
      <c r="G2198" s="9" t="s">
        <v>2380</v>
      </c>
      <c r="H2198" s="15" t="s">
        <v>11787</v>
      </c>
    </row>
    <row r="2199" spans="2:14" s="9" customFormat="1" ht="18" customHeight="1">
      <c r="C2199" s="9" t="s">
        <v>5135</v>
      </c>
      <c r="G2199" s="9" t="s">
        <v>2381</v>
      </c>
      <c r="H2199" s="15" t="s">
        <v>11787</v>
      </c>
    </row>
    <row r="2200" spans="2:14" s="9" customFormat="1" ht="18" customHeight="1">
      <c r="B2200" s="9" t="s">
        <v>2256</v>
      </c>
      <c r="H2200" s="10"/>
    </row>
    <row r="2201" spans="2:14" s="9" customFormat="1" ht="18" customHeight="1">
      <c r="C2201" s="9" t="s">
        <v>5146</v>
      </c>
      <c r="G2201" s="9" t="s">
        <v>2382</v>
      </c>
      <c r="H2201" s="15" t="s">
        <v>11787</v>
      </c>
    </row>
    <row r="2202" spans="2:14" s="9" customFormat="1" ht="18" customHeight="1">
      <c r="C2202" s="9" t="s">
        <v>2258</v>
      </c>
      <c r="G2202" s="9" t="s">
        <v>2383</v>
      </c>
      <c r="H2202" s="120"/>
    </row>
    <row r="2203" spans="2:14" s="9" customFormat="1" ht="18" customHeight="1">
      <c r="C2203" s="9" t="s">
        <v>2260</v>
      </c>
      <c r="G2203" s="9" t="s">
        <v>2384</v>
      </c>
      <c r="H2203" s="15" t="s">
        <v>11787</v>
      </c>
    </row>
    <row r="2204" spans="2:14" s="9" customFormat="1" ht="18" customHeight="1">
      <c r="C2204" s="9" t="s">
        <v>5153</v>
      </c>
      <c r="G2204" s="9" t="s">
        <v>2385</v>
      </c>
      <c r="H2204" s="15" t="s">
        <v>11787</v>
      </c>
    </row>
    <row r="2205" spans="2:14" s="9" customFormat="1" ht="18" customHeight="1">
      <c r="C2205" s="9" t="s">
        <v>1699</v>
      </c>
      <c r="G2205" s="9" t="s">
        <v>2386</v>
      </c>
      <c r="H2205" s="15" t="s">
        <v>11787</v>
      </c>
    </row>
    <row r="2206" spans="2:14" s="9" customFormat="1" ht="18" customHeight="1">
      <c r="C2206" s="9" t="s">
        <v>2264</v>
      </c>
      <c r="G2206" s="9" t="s">
        <v>2387</v>
      </c>
      <c r="H2206" s="120"/>
    </row>
    <row r="2207" spans="2:14" s="9" customFormat="1" ht="18" customHeight="1">
      <c r="C2207" s="9" t="s">
        <v>5158</v>
      </c>
      <c r="G2207" s="9" t="s">
        <v>2388</v>
      </c>
      <c r="H2207" s="15" t="s">
        <v>11787</v>
      </c>
    </row>
    <row r="2208" spans="2:14" s="9" customFormat="1" ht="18" customHeight="1">
      <c r="B2208" s="9" t="s">
        <v>5160</v>
      </c>
      <c r="H2208" s="10"/>
    </row>
    <row r="2209" spans="1:15" s="9" customFormat="1" ht="18" customHeight="1">
      <c r="C2209" s="9" t="s">
        <v>2258</v>
      </c>
      <c r="G2209" s="9" t="s">
        <v>2389</v>
      </c>
      <c r="H2209" s="120"/>
    </row>
    <row r="2210" spans="1:15" s="9" customFormat="1" ht="18" customHeight="1">
      <c r="C2210" s="9" t="s">
        <v>2268</v>
      </c>
      <c r="G2210" s="9" t="s">
        <v>2390</v>
      </c>
      <c r="H2210" s="120"/>
    </row>
    <row r="2211" spans="1:15" s="9" customFormat="1" ht="18" customHeight="1">
      <c r="C2211" s="9" t="s">
        <v>5166</v>
      </c>
      <c r="G2211" s="9" t="s">
        <v>2391</v>
      </c>
      <c r="H2211" s="15" t="s">
        <v>11787</v>
      </c>
    </row>
    <row r="2212" spans="1:15" s="9" customFormat="1" ht="18" customHeight="1">
      <c r="C2212" s="9" t="s">
        <v>5164</v>
      </c>
      <c r="G2212" s="9" t="s">
        <v>2392</v>
      </c>
      <c r="H2212" s="120"/>
    </row>
    <row r="2213" spans="1:15" s="9" customFormat="1" ht="18" customHeight="1">
      <c r="B2213" s="9" t="s">
        <v>2272</v>
      </c>
      <c r="G2213" s="9" t="s">
        <v>2393</v>
      </c>
      <c r="H2213" s="15" t="s">
        <v>11787</v>
      </c>
    </row>
    <row r="2214" spans="1:15" s="9" customFormat="1" ht="18" customHeight="1">
      <c r="H2214" s="10"/>
    </row>
    <row r="2215" spans="1:15" s="121" customFormat="1" ht="18" customHeight="1">
      <c r="A2215" s="130" t="s">
        <v>2394</v>
      </c>
      <c r="B2215" s="130"/>
      <c r="C2215" s="20"/>
      <c r="D2215" s="20"/>
      <c r="E2215" s="20"/>
      <c r="F2215" s="20"/>
      <c r="H2215" s="27"/>
      <c r="L2215" s="9"/>
      <c r="M2215" s="9"/>
      <c r="N2215" s="9"/>
      <c r="O2215" s="9"/>
    </row>
    <row r="2216" spans="1:15" s="121" customFormat="1" ht="18" customHeight="1">
      <c r="B2216" s="121" t="s">
        <v>2246</v>
      </c>
      <c r="C2216" s="9"/>
      <c r="D2216" s="9"/>
      <c r="E2216" s="9"/>
      <c r="F2216" s="9"/>
      <c r="H2216" s="27"/>
      <c r="L2216" s="9"/>
      <c r="M2216" s="9"/>
      <c r="N2216" s="9"/>
      <c r="O2216" s="9"/>
    </row>
    <row r="2217" spans="1:15" s="121" customFormat="1" ht="18" customHeight="1">
      <c r="C2217" s="121" t="s">
        <v>2247</v>
      </c>
      <c r="G2217" s="121" t="s">
        <v>2395</v>
      </c>
      <c r="H2217" s="120"/>
      <c r="L2217" s="9"/>
      <c r="M2217" s="9"/>
      <c r="N2217" s="9"/>
    </row>
    <row r="2218" spans="1:15" s="121" customFormat="1" ht="18" customHeight="1">
      <c r="C2218" s="121" t="s">
        <v>5137</v>
      </c>
      <c r="G2218" s="121" t="s">
        <v>2396</v>
      </c>
      <c r="H2218" s="15" t="s">
        <v>11787</v>
      </c>
      <c r="L2218" s="9"/>
      <c r="M2218" s="9"/>
      <c r="N2218" s="9"/>
    </row>
    <row r="2219" spans="1:15" s="121" customFormat="1" ht="18" customHeight="1">
      <c r="C2219" s="121" t="s">
        <v>5122</v>
      </c>
      <c r="G2219" s="121" t="s">
        <v>2397</v>
      </c>
      <c r="H2219" s="15" t="s">
        <v>11787</v>
      </c>
      <c r="J2219" s="9"/>
      <c r="L2219" s="9"/>
      <c r="M2219" s="9"/>
      <c r="N2219" s="9"/>
    </row>
    <row r="2220" spans="1:15" s="121" customFormat="1" ht="18" customHeight="1">
      <c r="C2220" s="121" t="s">
        <v>2251</v>
      </c>
      <c r="G2220" s="121" t="s">
        <v>2398</v>
      </c>
      <c r="H2220" s="120"/>
      <c r="L2220" s="9"/>
      <c r="M2220" s="9"/>
      <c r="N2220" s="9"/>
    </row>
    <row r="2221" spans="1:15" s="121" customFormat="1" ht="18" customHeight="1">
      <c r="C2221" s="121" t="s">
        <v>5131</v>
      </c>
      <c r="G2221" s="121" t="s">
        <v>2399</v>
      </c>
      <c r="H2221" s="120"/>
    </row>
    <row r="2222" spans="1:15" s="9" customFormat="1" ht="18" customHeight="1">
      <c r="C2222" s="9" t="s">
        <v>1699</v>
      </c>
      <c r="G2222" s="9" t="s">
        <v>2400</v>
      </c>
      <c r="H2222" s="15" t="s">
        <v>11787</v>
      </c>
    </row>
    <row r="2223" spans="1:15" s="9" customFormat="1" ht="18" customHeight="1">
      <c r="C2223" s="9" t="s">
        <v>5135</v>
      </c>
      <c r="G2223" s="9" t="s">
        <v>2401</v>
      </c>
      <c r="H2223" s="15" t="s">
        <v>11787</v>
      </c>
    </row>
    <row r="2224" spans="1:15" s="9" customFormat="1" ht="18" customHeight="1">
      <c r="B2224" s="9" t="s">
        <v>2256</v>
      </c>
      <c r="H2224" s="10"/>
    </row>
    <row r="2225" spans="1:15" s="9" customFormat="1" ht="18" customHeight="1">
      <c r="C2225" s="9" t="s">
        <v>5146</v>
      </c>
      <c r="G2225" s="9" t="s">
        <v>2402</v>
      </c>
      <c r="H2225" s="15" t="s">
        <v>11787</v>
      </c>
    </row>
    <row r="2226" spans="1:15" s="9" customFormat="1" ht="18" customHeight="1">
      <c r="C2226" s="9" t="s">
        <v>2258</v>
      </c>
      <c r="G2226" s="9" t="s">
        <v>2403</v>
      </c>
      <c r="H2226" s="120"/>
    </row>
    <row r="2227" spans="1:15" s="9" customFormat="1" ht="18" customHeight="1">
      <c r="C2227" s="9" t="s">
        <v>2260</v>
      </c>
      <c r="G2227" s="9" t="s">
        <v>2404</v>
      </c>
      <c r="H2227" s="15" t="s">
        <v>11787</v>
      </c>
    </row>
    <row r="2228" spans="1:15" s="9" customFormat="1" ht="18" customHeight="1">
      <c r="C2228" s="9" t="s">
        <v>5153</v>
      </c>
      <c r="G2228" s="9" t="s">
        <v>2405</v>
      </c>
      <c r="H2228" s="15" t="s">
        <v>11787</v>
      </c>
    </row>
    <row r="2229" spans="1:15" s="9" customFormat="1" ht="18" customHeight="1">
      <c r="C2229" s="9" t="s">
        <v>1699</v>
      </c>
      <c r="G2229" s="9" t="s">
        <v>2406</v>
      </c>
      <c r="H2229" s="15" t="s">
        <v>11787</v>
      </c>
    </row>
    <row r="2230" spans="1:15" s="9" customFormat="1" ht="18" customHeight="1">
      <c r="C2230" s="9" t="s">
        <v>2264</v>
      </c>
      <c r="G2230" s="9" t="s">
        <v>2407</v>
      </c>
      <c r="H2230" s="120"/>
    </row>
    <row r="2231" spans="1:15" s="9" customFormat="1" ht="18" customHeight="1">
      <c r="C2231" s="9" t="s">
        <v>5158</v>
      </c>
      <c r="G2231" s="9" t="s">
        <v>2408</v>
      </c>
      <c r="H2231" s="15" t="s">
        <v>11787</v>
      </c>
    </row>
    <row r="2232" spans="1:15" s="9" customFormat="1" ht="18" customHeight="1">
      <c r="B2232" s="9" t="s">
        <v>5160</v>
      </c>
      <c r="H2232" s="10"/>
    </row>
    <row r="2233" spans="1:15" s="9" customFormat="1" ht="18" customHeight="1">
      <c r="C2233" s="9" t="s">
        <v>2258</v>
      </c>
      <c r="G2233" s="9" t="s">
        <v>2409</v>
      </c>
      <c r="H2233" s="120"/>
    </row>
    <row r="2234" spans="1:15" s="9" customFormat="1" ht="18" customHeight="1">
      <c r="C2234" s="9" t="s">
        <v>2268</v>
      </c>
      <c r="G2234" s="9" t="s">
        <v>2410</v>
      </c>
      <c r="H2234" s="120"/>
    </row>
    <row r="2235" spans="1:15" s="9" customFormat="1" ht="18" customHeight="1">
      <c r="C2235" s="9" t="s">
        <v>5166</v>
      </c>
      <c r="G2235" s="9" t="s">
        <v>2411</v>
      </c>
      <c r="H2235" s="15" t="s">
        <v>11787</v>
      </c>
    </row>
    <row r="2236" spans="1:15" s="9" customFormat="1" ht="18" customHeight="1">
      <c r="C2236" s="9" t="s">
        <v>5164</v>
      </c>
      <c r="G2236" s="9" t="s">
        <v>2412</v>
      </c>
      <c r="H2236" s="120"/>
    </row>
    <row r="2237" spans="1:15" s="9" customFormat="1" ht="18" customHeight="1">
      <c r="B2237" s="9" t="s">
        <v>2272</v>
      </c>
      <c r="G2237" s="9" t="s">
        <v>2413</v>
      </c>
      <c r="H2237" s="15" t="s">
        <v>11787</v>
      </c>
    </row>
    <row r="2238" spans="1:15" s="9" customFormat="1" ht="18" customHeight="1">
      <c r="H2238" s="10"/>
    </row>
    <row r="2239" spans="1:15" s="121" customFormat="1" ht="18" customHeight="1">
      <c r="A2239" s="130" t="s">
        <v>2414</v>
      </c>
      <c r="B2239" s="130"/>
      <c r="C2239" s="20"/>
      <c r="D2239" s="20"/>
      <c r="E2239" s="20"/>
      <c r="F2239" s="20"/>
      <c r="H2239" s="27"/>
      <c r="L2239" s="9"/>
      <c r="M2239" s="9"/>
      <c r="N2239" s="9"/>
      <c r="O2239" s="9"/>
    </row>
    <row r="2240" spans="1:15" s="121" customFormat="1" ht="18" customHeight="1">
      <c r="B2240" s="121" t="s">
        <v>2246</v>
      </c>
      <c r="C2240" s="9"/>
      <c r="D2240" s="9"/>
      <c r="E2240" s="9"/>
      <c r="F2240" s="9"/>
      <c r="H2240" s="27"/>
      <c r="L2240" s="9"/>
      <c r="M2240" s="9"/>
      <c r="N2240" s="9"/>
      <c r="O2240" s="9"/>
    </row>
    <row r="2241" spans="2:14" s="121" customFormat="1" ht="18" customHeight="1">
      <c r="C2241" s="121" t="s">
        <v>2247</v>
      </c>
      <c r="G2241" s="121" t="s">
        <v>2415</v>
      </c>
      <c r="H2241" s="120"/>
      <c r="L2241" s="9"/>
      <c r="M2241" s="9"/>
      <c r="N2241" s="9"/>
    </row>
    <row r="2242" spans="2:14" s="121" customFormat="1" ht="18" customHeight="1">
      <c r="C2242" s="121" t="s">
        <v>5137</v>
      </c>
      <c r="G2242" s="121" t="s">
        <v>2416</v>
      </c>
      <c r="H2242" s="15" t="s">
        <v>11787</v>
      </c>
      <c r="L2242" s="9"/>
      <c r="M2242" s="9"/>
      <c r="N2242" s="9"/>
    </row>
    <row r="2243" spans="2:14" s="121" customFormat="1" ht="18" customHeight="1">
      <c r="C2243" s="121" t="s">
        <v>5122</v>
      </c>
      <c r="G2243" s="121" t="s">
        <v>2417</v>
      </c>
      <c r="H2243" s="15" t="s">
        <v>11787</v>
      </c>
      <c r="J2243" s="9"/>
      <c r="L2243" s="9"/>
      <c r="M2243" s="9"/>
      <c r="N2243" s="9"/>
    </row>
    <row r="2244" spans="2:14" s="121" customFormat="1" ht="18" customHeight="1">
      <c r="C2244" s="121" t="s">
        <v>2251</v>
      </c>
      <c r="G2244" s="121" t="s">
        <v>2418</v>
      </c>
      <c r="H2244" s="120"/>
      <c r="L2244" s="9"/>
      <c r="M2244" s="9"/>
      <c r="N2244" s="9"/>
    </row>
    <row r="2245" spans="2:14" s="121" customFormat="1" ht="18" customHeight="1">
      <c r="C2245" s="121" t="s">
        <v>5131</v>
      </c>
      <c r="G2245" s="121" t="s">
        <v>2419</v>
      </c>
      <c r="H2245" s="120"/>
    </row>
    <row r="2246" spans="2:14" s="9" customFormat="1" ht="18" customHeight="1">
      <c r="C2246" s="9" t="s">
        <v>1699</v>
      </c>
      <c r="G2246" s="9" t="s">
        <v>2420</v>
      </c>
      <c r="H2246" s="15" t="s">
        <v>11787</v>
      </c>
    </row>
    <row r="2247" spans="2:14" s="9" customFormat="1" ht="18" customHeight="1">
      <c r="C2247" s="9" t="s">
        <v>5135</v>
      </c>
      <c r="G2247" s="9" t="s">
        <v>2421</v>
      </c>
      <c r="H2247" s="15" t="s">
        <v>11787</v>
      </c>
    </row>
    <row r="2248" spans="2:14" s="9" customFormat="1" ht="18" customHeight="1">
      <c r="B2248" s="9" t="s">
        <v>2256</v>
      </c>
      <c r="H2248" s="10"/>
    </row>
    <row r="2249" spans="2:14" s="9" customFormat="1" ht="18" customHeight="1">
      <c r="C2249" s="9" t="s">
        <v>5146</v>
      </c>
      <c r="G2249" s="9" t="s">
        <v>2422</v>
      </c>
      <c r="H2249" s="15" t="s">
        <v>11787</v>
      </c>
    </row>
    <row r="2250" spans="2:14" s="9" customFormat="1" ht="18" customHeight="1">
      <c r="C2250" s="9" t="s">
        <v>2258</v>
      </c>
      <c r="G2250" s="9" t="s">
        <v>2423</v>
      </c>
      <c r="H2250" s="120"/>
    </row>
    <row r="2251" spans="2:14" s="9" customFormat="1" ht="18" customHeight="1">
      <c r="C2251" s="9" t="s">
        <v>2260</v>
      </c>
      <c r="G2251" s="9" t="s">
        <v>2424</v>
      </c>
      <c r="H2251" s="15" t="s">
        <v>11787</v>
      </c>
    </row>
    <row r="2252" spans="2:14" s="9" customFormat="1" ht="18" customHeight="1">
      <c r="C2252" s="9" t="s">
        <v>5153</v>
      </c>
      <c r="G2252" s="9" t="s">
        <v>2425</v>
      </c>
      <c r="H2252" s="15" t="s">
        <v>11787</v>
      </c>
    </row>
    <row r="2253" spans="2:14" s="9" customFormat="1" ht="18" customHeight="1">
      <c r="C2253" s="9" t="s">
        <v>1699</v>
      </c>
      <c r="G2253" s="9" t="s">
        <v>2426</v>
      </c>
      <c r="H2253" s="15" t="s">
        <v>11787</v>
      </c>
    </row>
    <row r="2254" spans="2:14" s="9" customFormat="1" ht="18" customHeight="1">
      <c r="C2254" s="9" t="s">
        <v>2264</v>
      </c>
      <c r="G2254" s="9" t="s">
        <v>2427</v>
      </c>
      <c r="H2254" s="120"/>
    </row>
    <row r="2255" spans="2:14" s="9" customFormat="1" ht="18" customHeight="1">
      <c r="C2255" s="9" t="s">
        <v>5158</v>
      </c>
      <c r="G2255" s="9" t="s">
        <v>2428</v>
      </c>
      <c r="H2255" s="15" t="s">
        <v>11787</v>
      </c>
    </row>
    <row r="2256" spans="2:14" s="9" customFormat="1" ht="18" customHeight="1">
      <c r="B2256" s="9" t="s">
        <v>5160</v>
      </c>
      <c r="H2256" s="10"/>
    </row>
    <row r="2257" spans="1:15" s="9" customFormat="1" ht="18" customHeight="1">
      <c r="C2257" s="9" t="s">
        <v>2258</v>
      </c>
      <c r="G2257" s="9" t="s">
        <v>2429</v>
      </c>
      <c r="H2257" s="120"/>
    </row>
    <row r="2258" spans="1:15" s="9" customFormat="1" ht="18" customHeight="1">
      <c r="C2258" s="9" t="s">
        <v>2268</v>
      </c>
      <c r="G2258" s="9" t="s">
        <v>2430</v>
      </c>
      <c r="H2258" s="120"/>
    </row>
    <row r="2259" spans="1:15" s="9" customFormat="1" ht="18" customHeight="1">
      <c r="C2259" s="9" t="s">
        <v>5166</v>
      </c>
      <c r="G2259" s="9" t="s">
        <v>2431</v>
      </c>
      <c r="H2259" s="15" t="s">
        <v>11787</v>
      </c>
    </row>
    <row r="2260" spans="1:15" s="9" customFormat="1" ht="18" customHeight="1">
      <c r="C2260" s="9" t="s">
        <v>5164</v>
      </c>
      <c r="G2260" s="9" t="s">
        <v>2432</v>
      </c>
      <c r="H2260" s="120"/>
    </row>
    <row r="2261" spans="1:15" s="9" customFormat="1" ht="18" customHeight="1">
      <c r="B2261" s="9" t="s">
        <v>2272</v>
      </c>
      <c r="G2261" s="9" t="s">
        <v>2433</v>
      </c>
      <c r="H2261" s="15" t="s">
        <v>11787</v>
      </c>
    </row>
    <row r="2262" spans="1:15" s="9" customFormat="1" ht="18" customHeight="1">
      <c r="H2262" s="10"/>
    </row>
    <row r="2263" spans="1:15" s="121" customFormat="1" ht="18" customHeight="1">
      <c r="A2263" s="130" t="s">
        <v>2434</v>
      </c>
      <c r="B2263" s="130"/>
      <c r="C2263" s="20"/>
      <c r="D2263" s="20"/>
      <c r="E2263" s="20"/>
      <c r="F2263" s="20"/>
      <c r="H2263" s="27"/>
      <c r="L2263" s="9"/>
      <c r="M2263" s="9"/>
      <c r="N2263" s="9"/>
      <c r="O2263" s="9"/>
    </row>
    <row r="2264" spans="1:15" s="121" customFormat="1" ht="18" customHeight="1">
      <c r="B2264" s="121" t="s">
        <v>2246</v>
      </c>
      <c r="C2264" s="9"/>
      <c r="D2264" s="9"/>
      <c r="E2264" s="9"/>
      <c r="F2264" s="9"/>
      <c r="H2264" s="27"/>
      <c r="L2264" s="9"/>
      <c r="M2264" s="9"/>
      <c r="N2264" s="9"/>
      <c r="O2264" s="9"/>
    </row>
    <row r="2265" spans="1:15" s="121" customFormat="1" ht="18" customHeight="1">
      <c r="C2265" s="121" t="s">
        <v>2247</v>
      </c>
      <c r="G2265" s="121" t="s">
        <v>2435</v>
      </c>
      <c r="H2265" s="120"/>
      <c r="L2265" s="9"/>
      <c r="M2265" s="9"/>
      <c r="N2265" s="9"/>
    </row>
    <row r="2266" spans="1:15" s="121" customFormat="1" ht="18" customHeight="1">
      <c r="C2266" s="121" t="s">
        <v>5137</v>
      </c>
      <c r="G2266" s="121" t="s">
        <v>2436</v>
      </c>
      <c r="H2266" s="15" t="s">
        <v>11787</v>
      </c>
      <c r="L2266" s="9"/>
      <c r="M2266" s="9"/>
      <c r="N2266" s="9"/>
    </row>
    <row r="2267" spans="1:15" s="121" customFormat="1" ht="18" customHeight="1">
      <c r="C2267" s="121" t="s">
        <v>5122</v>
      </c>
      <c r="G2267" s="121" t="s">
        <v>2437</v>
      </c>
      <c r="H2267" s="15" t="s">
        <v>11787</v>
      </c>
      <c r="J2267" s="9"/>
      <c r="L2267" s="9"/>
      <c r="M2267" s="9"/>
      <c r="N2267" s="9"/>
    </row>
    <row r="2268" spans="1:15" s="121" customFormat="1" ht="18" customHeight="1">
      <c r="C2268" s="121" t="s">
        <v>2251</v>
      </c>
      <c r="G2268" s="121" t="s">
        <v>2438</v>
      </c>
      <c r="H2268" s="120"/>
      <c r="L2268" s="9"/>
      <c r="M2268" s="9"/>
      <c r="N2268" s="9"/>
    </row>
    <row r="2269" spans="1:15" s="121" customFormat="1" ht="18" customHeight="1">
      <c r="C2269" s="121" t="s">
        <v>5131</v>
      </c>
      <c r="G2269" s="121" t="s">
        <v>2439</v>
      </c>
      <c r="H2269" s="120"/>
    </row>
    <row r="2270" spans="1:15" s="9" customFormat="1" ht="18" customHeight="1">
      <c r="C2270" s="9" t="s">
        <v>1699</v>
      </c>
      <c r="G2270" s="9" t="s">
        <v>2440</v>
      </c>
      <c r="H2270" s="15" t="s">
        <v>11787</v>
      </c>
    </row>
    <row r="2271" spans="1:15" s="9" customFormat="1" ht="18" customHeight="1">
      <c r="C2271" s="9" t="s">
        <v>5135</v>
      </c>
      <c r="G2271" s="9" t="s">
        <v>2441</v>
      </c>
      <c r="H2271" s="15" t="s">
        <v>11787</v>
      </c>
    </row>
    <row r="2272" spans="1:15" s="9" customFormat="1" ht="18" customHeight="1">
      <c r="B2272" s="9" t="s">
        <v>2256</v>
      </c>
      <c r="H2272" s="10"/>
    </row>
    <row r="2273" spans="1:8" s="9" customFormat="1" ht="18" customHeight="1">
      <c r="C2273" s="9" t="s">
        <v>5146</v>
      </c>
      <c r="G2273" s="9" t="s">
        <v>2442</v>
      </c>
      <c r="H2273" s="15" t="s">
        <v>11787</v>
      </c>
    </row>
    <row r="2274" spans="1:8" s="9" customFormat="1" ht="18" customHeight="1">
      <c r="C2274" s="9" t="s">
        <v>2258</v>
      </c>
      <c r="G2274" s="9" t="s">
        <v>2443</v>
      </c>
      <c r="H2274" s="120"/>
    </row>
    <row r="2275" spans="1:8" s="9" customFormat="1" ht="18" customHeight="1">
      <c r="C2275" s="9" t="s">
        <v>2260</v>
      </c>
      <c r="G2275" s="9" t="s">
        <v>2444</v>
      </c>
      <c r="H2275" s="15" t="s">
        <v>11787</v>
      </c>
    </row>
    <row r="2276" spans="1:8" s="9" customFormat="1" ht="18" customHeight="1">
      <c r="C2276" s="9" t="s">
        <v>5153</v>
      </c>
      <c r="G2276" s="9" t="s">
        <v>2445</v>
      </c>
      <c r="H2276" s="15" t="s">
        <v>11787</v>
      </c>
    </row>
    <row r="2277" spans="1:8" s="9" customFormat="1" ht="18" customHeight="1">
      <c r="C2277" s="9" t="s">
        <v>1699</v>
      </c>
      <c r="G2277" s="9" t="s">
        <v>2446</v>
      </c>
      <c r="H2277" s="15" t="s">
        <v>11787</v>
      </c>
    </row>
    <row r="2278" spans="1:8" s="9" customFormat="1" ht="18" customHeight="1">
      <c r="C2278" s="9" t="s">
        <v>2264</v>
      </c>
      <c r="G2278" s="9" t="s">
        <v>2447</v>
      </c>
      <c r="H2278" s="120"/>
    </row>
    <row r="2279" spans="1:8" s="9" customFormat="1" ht="18" customHeight="1">
      <c r="C2279" s="9" t="s">
        <v>5158</v>
      </c>
      <c r="G2279" s="9" t="s">
        <v>2448</v>
      </c>
      <c r="H2279" s="15" t="s">
        <v>11787</v>
      </c>
    </row>
    <row r="2280" spans="1:8" s="9" customFormat="1" ht="18" customHeight="1">
      <c r="B2280" s="9" t="s">
        <v>5160</v>
      </c>
      <c r="H2280" s="10"/>
    </row>
    <row r="2281" spans="1:8" s="9" customFormat="1" ht="18" customHeight="1">
      <c r="C2281" s="9" t="s">
        <v>2258</v>
      </c>
      <c r="G2281" s="9" t="s">
        <v>2449</v>
      </c>
      <c r="H2281" s="120"/>
    </row>
    <row r="2282" spans="1:8" s="9" customFormat="1" ht="18" customHeight="1">
      <c r="C2282" s="9" t="s">
        <v>2268</v>
      </c>
      <c r="G2282" s="9" t="s">
        <v>2450</v>
      </c>
      <c r="H2282" s="120"/>
    </row>
    <row r="2283" spans="1:8" s="9" customFormat="1" ht="18" customHeight="1">
      <c r="C2283" s="9" t="s">
        <v>5166</v>
      </c>
      <c r="G2283" s="9" t="s">
        <v>2451</v>
      </c>
      <c r="H2283" s="15" t="s">
        <v>11787</v>
      </c>
    </row>
    <row r="2284" spans="1:8" s="9" customFormat="1" ht="18" customHeight="1">
      <c r="C2284" s="9" t="s">
        <v>5164</v>
      </c>
      <c r="G2284" s="9" t="s">
        <v>2452</v>
      </c>
      <c r="H2284" s="120"/>
    </row>
    <row r="2285" spans="1:8" s="9" customFormat="1" ht="18" customHeight="1">
      <c r="B2285" s="9" t="s">
        <v>2272</v>
      </c>
      <c r="G2285" s="9" t="s">
        <v>2453</v>
      </c>
      <c r="H2285" s="15" t="s">
        <v>11787</v>
      </c>
    </row>
    <row r="2286" spans="1:8" s="9" customFormat="1" ht="18" customHeight="1"/>
    <row r="2287" spans="1:8" s="9" customFormat="1" ht="18" customHeight="1"/>
    <row r="2288" spans="1:8" s="9" customFormat="1" ht="18" customHeight="1">
      <c r="A2288" s="20" t="s">
        <v>2454</v>
      </c>
      <c r="B2288" s="20"/>
      <c r="C2288" s="20"/>
      <c r="D2288" s="20"/>
      <c r="E2288" s="20"/>
      <c r="F2288" s="20"/>
    </row>
    <row r="2289" spans="1:11" s="9" customFormat="1" ht="18" customHeight="1"/>
    <row r="2290" spans="1:11" s="9" customFormat="1" ht="18" customHeight="1">
      <c r="B2290" s="9" t="s">
        <v>2455</v>
      </c>
    </row>
    <row r="2291" spans="1:11" s="9" customFormat="1" ht="18" customHeight="1">
      <c r="C2291" s="9" t="s">
        <v>2456</v>
      </c>
      <c r="G2291" s="9" t="s">
        <v>2457</v>
      </c>
      <c r="H2291" s="20"/>
      <c r="I2291" s="9" t="s">
        <v>2458</v>
      </c>
      <c r="J2291" s="20" t="str">
        <f>IF(flat35_ACCEPT_NO="","",flat35_ACCEPT_NO)</f>
        <v/>
      </c>
    </row>
    <row r="2292" spans="1:11" s="9" customFormat="1" ht="18" customHeight="1"/>
    <row r="2293" spans="1:11" s="9" customFormat="1" ht="18" customHeight="1">
      <c r="C2293" s="9" t="s">
        <v>2459</v>
      </c>
      <c r="G2293" s="9" t="s">
        <v>2460</v>
      </c>
      <c r="H2293" s="20"/>
      <c r="I2293" s="9" t="s">
        <v>2461</v>
      </c>
      <c r="J2293" s="131" t="str">
        <f>IF(flat35_DI_ACCEPT_DATE="","",flat35_DI_ACCEPT_DATE)</f>
        <v/>
      </c>
    </row>
    <row r="2294" spans="1:11" s="9" customFormat="1" ht="18" customHeight="1">
      <c r="I2294" s="9" t="s">
        <v>2462</v>
      </c>
      <c r="J2294" s="131" t="str">
        <f ca="1">IF(flat35_DI_ACCEPT_DATE="",TEXT(TODAY(),"ggg")&amp;"　　　年　　　月　　　日",flat35_DI_ACCEPT_DATE)</f>
        <v>令和　　　年　　　月　　　日</v>
      </c>
      <c r="K2294" s="9" t="s">
        <v>2463</v>
      </c>
    </row>
    <row r="2295" spans="1:11" s="9" customFormat="1" ht="18" customHeight="1">
      <c r="C2295" s="9" t="s">
        <v>2464</v>
      </c>
      <c r="G2295" s="9" t="s">
        <v>2465</v>
      </c>
      <c r="H2295" s="20"/>
      <c r="I2295" s="9" t="s">
        <v>2466</v>
      </c>
      <c r="J2295" s="131" t="str">
        <f>IF(flat35_DI_ISSUE_DATE="","",flat35_DI_ISSUE_DATE)</f>
        <v/>
      </c>
    </row>
    <row r="2296" spans="1:11" s="9" customFormat="1" ht="18" customHeight="1">
      <c r="I2296" s="9" t="s">
        <v>2467</v>
      </c>
      <c r="J2296" s="131" t="str">
        <f ca="1">IF(flat35_DI_ISSUE_DATE="",TEXT(TODAY(),"ggg")&amp;"　　　年　　　月　　　日",flat35_DI_ISSUE_DATE)</f>
        <v>令和　　　年　　　月　　　日</v>
      </c>
      <c r="K2296" s="9" t="s">
        <v>2463</v>
      </c>
    </row>
    <row r="2297" spans="1:11" s="9" customFormat="1" ht="18" customHeight="1"/>
    <row r="2298" spans="1:11" s="9" customFormat="1" ht="18" customHeight="1"/>
    <row r="2300" spans="1:11" ht="18" customHeight="1">
      <c r="A2300" s="5" t="s">
        <v>2468</v>
      </c>
    </row>
  </sheetData>
  <mergeCells count="1">
    <mergeCell ref="J186:K186"/>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5">
    <tabColor rgb="FFFF00FF"/>
  </sheetPr>
  <dimension ref="A1"/>
  <sheetViews>
    <sheetView zoomScale="90" zoomScaleNormal="90" workbookViewId="0"/>
  </sheetViews>
  <sheetFormatPr defaultRowHeight="18" customHeight="1"/>
  <cols>
    <col min="1" max="5" width="3.625" style="1" customWidth="1"/>
    <col min="6" max="7" width="18.625" style="1" customWidth="1"/>
    <col min="8" max="8" width="45.625" style="1" customWidth="1"/>
    <col min="9" max="10" width="20.625" style="1" customWidth="1"/>
    <col min="11" max="16384" width="9" style="1"/>
  </cols>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99CC"/>
  </sheetPr>
  <dimension ref="A1:Y247"/>
  <sheetViews>
    <sheetView topLeftCell="A27" zoomScale="90" zoomScaleNormal="90" workbookViewId="0">
      <selection activeCell="I150" sqref="I150"/>
    </sheetView>
  </sheetViews>
  <sheetFormatPr defaultRowHeight="18" customHeight="1"/>
  <cols>
    <col min="1" max="4" width="2.875" style="52" customWidth="1"/>
    <col min="5" max="7" width="14.75" style="52" customWidth="1"/>
    <col min="8" max="8" width="30.625" style="52" customWidth="1"/>
    <col min="9" max="12" width="25.625" style="52" customWidth="1"/>
    <col min="13" max="19" width="4.375" style="52" customWidth="1"/>
    <col min="20" max="16384" width="9" style="52"/>
  </cols>
  <sheetData>
    <row r="1" spans="1:10" ht="18" customHeight="1">
      <c r="A1" s="52" t="s">
        <v>7354</v>
      </c>
    </row>
    <row r="2" spans="1:10" ht="18" customHeight="1">
      <c r="A2" s="52" t="s">
        <v>2755</v>
      </c>
      <c r="F2" s="52" t="s">
        <v>2756</v>
      </c>
      <c r="G2" s="52" t="s">
        <v>2757</v>
      </c>
      <c r="H2" s="52" t="s">
        <v>2758</v>
      </c>
      <c r="I2" s="52" t="s">
        <v>2759</v>
      </c>
      <c r="J2" s="52" t="s">
        <v>2760</v>
      </c>
    </row>
    <row r="5" spans="1:10" s="10" customFormat="1" ht="18" customHeight="1">
      <c r="A5" s="29" t="s">
        <v>7355</v>
      </c>
      <c r="B5" s="29"/>
      <c r="C5" s="29"/>
      <c r="D5" s="29"/>
      <c r="E5" s="29"/>
      <c r="F5" s="29"/>
      <c r="G5" s="9"/>
    </row>
    <row r="6" spans="1:10" s="10" customFormat="1" ht="18" customHeight="1">
      <c r="C6" s="12"/>
      <c r="D6" s="9"/>
      <c r="E6" s="9"/>
      <c r="I6" s="45"/>
      <c r="J6" s="45"/>
    </row>
    <row r="7" spans="1:10" s="10" customFormat="1" ht="18" customHeight="1">
      <c r="B7" s="10" t="s">
        <v>2766</v>
      </c>
      <c r="H7" s="10" t="s">
        <v>1968</v>
      </c>
      <c r="I7" s="29" t="str">
        <f ca="1">SUBSTITUTE(SUBSTITUTE(SUBSTITUTE(don_OFFICE_OFFICE_CORP_NAME__notify_date,"　","")," ",""),"財団法人","財団法人 ")</f>
        <v>株式会社国際確認検査センター</v>
      </c>
      <c r="J7" s="10" t="s">
        <v>7356</v>
      </c>
    </row>
    <row r="8" spans="1:10" s="10" customFormat="1" ht="18" customHeight="1">
      <c r="B8" s="10" t="s">
        <v>7357</v>
      </c>
      <c r="H8" s="10" t="s">
        <v>1969</v>
      </c>
      <c r="I8" s="29" t="str">
        <f ca="1">SUBSTITUTE(SUBSTITUTE(don_OFFICE_DAIHYOUSYA__notify_date,"　","")," ","")</f>
        <v>代表取締役山田耕藏</v>
      </c>
      <c r="J8" s="10" t="s">
        <v>7358</v>
      </c>
    </row>
    <row r="9" spans="1:10" s="7" customFormat="1" ht="18" customHeight="1">
      <c r="H9" s="57"/>
    </row>
    <row r="10" spans="1:10" s="7" customFormat="1" ht="18" customHeight="1">
      <c r="F10" s="57"/>
    </row>
    <row r="11" spans="1:10" s="9" customFormat="1" ht="18" customHeight="1">
      <c r="A11" s="22" t="s">
        <v>7359</v>
      </c>
      <c r="B11" s="22"/>
      <c r="C11" s="22"/>
      <c r="D11" s="22"/>
      <c r="E11" s="22"/>
      <c r="F11" s="22"/>
    </row>
    <row r="12" spans="1:10" s="10" customFormat="1" ht="18" customHeight="1">
      <c r="C12" s="12"/>
      <c r="D12" s="9"/>
      <c r="E12" s="9"/>
      <c r="I12" s="45"/>
      <c r="J12" s="45"/>
    </row>
    <row r="13" spans="1:10" s="10" customFormat="1" ht="18" customHeight="1">
      <c r="B13" s="10" t="s">
        <v>7360</v>
      </c>
      <c r="G13" s="9"/>
    </row>
    <row r="14" spans="1:10" s="9" customFormat="1" ht="18" customHeight="1">
      <c r="B14" s="9" t="s">
        <v>7361</v>
      </c>
    </row>
    <row r="15" spans="1:10" s="9" customFormat="1" ht="18" customHeight="1">
      <c r="B15" s="9" t="s">
        <v>7362</v>
      </c>
    </row>
    <row r="16" spans="1:10" s="27" customFormat="1" ht="18" customHeight="1">
      <c r="B16" s="27" t="s">
        <v>7363</v>
      </c>
      <c r="H16" s="7" t="s">
        <v>7364</v>
      </c>
      <c r="I16" s="157"/>
    </row>
    <row r="17" spans="1:10" s="27" customFormat="1" ht="18" customHeight="1">
      <c r="B17" s="27" t="s">
        <v>8757</v>
      </c>
      <c r="H17" s="7" t="s">
        <v>8758</v>
      </c>
      <c r="I17" s="157"/>
    </row>
    <row r="18" spans="1:10" s="7" customFormat="1" ht="18" customHeight="1">
      <c r="B18" s="7" t="s">
        <v>8759</v>
      </c>
      <c r="H18" s="7" t="s">
        <v>8760</v>
      </c>
      <c r="I18" s="28" t="str">
        <f ca="1">IF(ISNA(MATCH(city_city,cst_SHINSAKAI__city_area,0)),"",OFFSET(cst_SHINSAKAI__base_point,MATCH(city_city,cst_SHINSAKAI__city_area,0),-3,1,1))</f>
        <v/>
      </c>
    </row>
    <row r="19" spans="1:10" s="7" customFormat="1" ht="18" customHeight="1">
      <c r="B19" s="7" t="s">
        <v>8761</v>
      </c>
      <c r="H19" s="10" t="s">
        <v>8762</v>
      </c>
      <c r="I19" s="29" t="str">
        <f>IF(city_CITY_KIND="","○○市",IF(cst_city_city2="仙台市","仙台市",IF(OR(city_CITY_KIND="特定行政庁",city_CITY_KIND="特別区"),city_city,IF(city_CITY_KIND="限定特定行政庁",IF(AND(cst_shinsei_build_STAT_HOU6__firestation=4,cst_SHINSAKAI__city_search&lt;&gt;""),city_city,city_ken),IF(city_CITY_KIND="その他",city_ken)))))</f>
        <v>東大阪市</v>
      </c>
    </row>
    <row r="20" spans="1:10" s="27" customFormat="1" ht="18" customHeight="1"/>
    <row r="21" spans="1:10" s="7" customFormat="1" ht="18" customHeight="1">
      <c r="B21" s="177" t="s">
        <v>8763</v>
      </c>
      <c r="C21" s="178"/>
      <c r="D21" s="178"/>
      <c r="E21" s="178"/>
      <c r="F21" s="179" t="s">
        <v>8764</v>
      </c>
      <c r="G21" s="178"/>
      <c r="H21" s="178"/>
      <c r="I21" s="180"/>
    </row>
    <row r="22" spans="1:10" s="7" customFormat="1" ht="18" customHeight="1">
      <c r="B22" s="181" t="s">
        <v>8765</v>
      </c>
      <c r="F22" s="182"/>
      <c r="I22" s="183"/>
    </row>
    <row r="23" spans="1:10" s="7" customFormat="1" ht="18" customHeight="1">
      <c r="B23" s="181" t="s">
        <v>8766</v>
      </c>
      <c r="F23" s="182"/>
      <c r="I23" s="183"/>
    </row>
    <row r="24" spans="1:10" s="10" customFormat="1" ht="18" customHeight="1">
      <c r="B24" s="181" t="s">
        <v>8767</v>
      </c>
      <c r="C24" s="7"/>
      <c r="D24" s="7"/>
      <c r="E24" s="7"/>
      <c r="F24" s="182"/>
      <c r="G24" s="7"/>
      <c r="H24" s="7"/>
      <c r="I24" s="183"/>
    </row>
    <row r="25" spans="1:10" s="7" customFormat="1" ht="18" customHeight="1">
      <c r="B25" s="181" t="s">
        <v>8768</v>
      </c>
      <c r="C25" s="10"/>
      <c r="D25" s="10"/>
      <c r="E25" s="10"/>
      <c r="F25" s="184"/>
      <c r="G25" s="10"/>
      <c r="H25" s="10"/>
      <c r="I25" s="185"/>
    </row>
    <row r="26" spans="1:10" s="7" customFormat="1" ht="18" customHeight="1">
      <c r="B26" s="186"/>
      <c r="C26" s="187"/>
      <c r="D26" s="187"/>
      <c r="E26" s="187"/>
      <c r="F26" s="188"/>
      <c r="G26" s="187"/>
      <c r="H26" s="187"/>
      <c r="I26" s="189"/>
    </row>
    <row r="27" spans="1:10" s="7" customFormat="1" ht="18" customHeight="1">
      <c r="F27" s="57"/>
    </row>
    <row r="28" spans="1:10" s="7" customFormat="1" ht="18" customHeight="1">
      <c r="F28" s="57"/>
    </row>
    <row r="29" spans="1:10" s="10" customFormat="1" ht="18" customHeight="1">
      <c r="A29" s="29" t="s">
        <v>8769</v>
      </c>
      <c r="B29" s="29"/>
      <c r="C29" s="29"/>
      <c r="D29" s="29"/>
      <c r="E29" s="29"/>
      <c r="F29" s="29"/>
      <c r="G29" s="29"/>
      <c r="I29" s="9"/>
    </row>
    <row r="30" spans="1:10" s="10" customFormat="1" ht="18" customHeight="1">
      <c r="A30" s="10" t="s">
        <v>8770</v>
      </c>
      <c r="H30" s="10" t="s">
        <v>8771</v>
      </c>
      <c r="I30" s="190" t="str">
        <f>cst_shinsei_PREF_OFFICE_FLAG</f>
        <v>無</v>
      </c>
      <c r="J30" s="10" t="s">
        <v>140</v>
      </c>
    </row>
    <row r="31" spans="1:10" s="10" customFormat="1" ht="18" customHeight="1">
      <c r="A31" s="10" t="s">
        <v>1462</v>
      </c>
      <c r="H31" s="10" t="s">
        <v>8772</v>
      </c>
      <c r="I31" s="190" t="str">
        <f>cst_city_CITY_KIND</f>
        <v>特定行政庁</v>
      </c>
      <c r="J31" s="10" t="s">
        <v>8773</v>
      </c>
    </row>
    <row r="32" spans="1:10" s="10" customFormat="1" ht="18" customHeight="1">
      <c r="A32" s="11" t="s">
        <v>1458</v>
      </c>
      <c r="B32" s="11"/>
      <c r="C32" s="11"/>
      <c r="D32" s="11"/>
      <c r="E32" s="11"/>
      <c r="H32" s="10" t="s">
        <v>8774</v>
      </c>
      <c r="I32" s="190">
        <f>cst_shinsei_REPORT_DEST_KIND</f>
        <v>1</v>
      </c>
      <c r="J32" s="10" t="s">
        <v>1461</v>
      </c>
    </row>
    <row r="33" spans="1:10" s="10" customFormat="1" ht="18" customHeight="1">
      <c r="A33" s="10" t="s">
        <v>8775</v>
      </c>
      <c r="H33" s="10" t="s">
        <v>8776</v>
      </c>
      <c r="I33" s="190" t="str">
        <f>cst_shinsei_build_STAT_HOU6</f>
        <v>３号</v>
      </c>
      <c r="J33" s="10" t="s">
        <v>8777</v>
      </c>
    </row>
    <row r="34" spans="1:10" s="10" customFormat="1" ht="18" customHeight="1">
      <c r="A34" s="10" t="s">
        <v>8778</v>
      </c>
      <c r="H34" s="10" t="s">
        <v>8779</v>
      </c>
      <c r="I34" s="29">
        <f>IF(shinsei_build_STAT_HOU6_1="","",IF(shinsei_build_STAT_HOU6_1="１号",10,IF(shinsei_build_STAT_HOU6_1="１号（１号＋２号）",12,IF(shinsei_build_STAT_HOU6_1="１号（１号＋３号）",13,IF(shinsei_build_STAT_HOU6_1="２号",2,IF(shinsei_build_STAT_HOU6_1="３号",3,IF(OR(shinsei_build_STAT_HOU6_1="４号",shinsei_build_STAT_HOU6_1="１号を含まない特殊建築物"),4)))))))</f>
        <v>3</v>
      </c>
      <c r="J34" s="10" t="s">
        <v>8780</v>
      </c>
    </row>
    <row r="35" spans="1:10" s="10" customFormat="1" ht="18" customHeight="1">
      <c r="A35" s="10" t="s">
        <v>8781</v>
      </c>
      <c r="H35" s="10" t="s">
        <v>8782</v>
      </c>
      <c r="I35" s="29" t="str">
        <f>IF(shinsei_build_STAT_HOU6_1="","",IF(shinsei_build_STAT_HOU6_1="４号","有","無"))</f>
        <v>無</v>
      </c>
      <c r="J35" s="10" t="s">
        <v>140</v>
      </c>
    </row>
    <row r="36" spans="1:10" s="10" customFormat="1" ht="18" customHeight="1">
      <c r="A36" s="10" t="s">
        <v>8783</v>
      </c>
      <c r="H36" s="10" t="s">
        <v>8784</v>
      </c>
      <c r="I36" s="190" t="str">
        <f>cst_shinsei_EV_TYPE</f>
        <v/>
      </c>
      <c r="J36" s="10" t="s">
        <v>8785</v>
      </c>
    </row>
    <row r="37" spans="1:10" s="10" customFormat="1" ht="18" customHeight="1">
      <c r="A37" s="10" t="s">
        <v>8786</v>
      </c>
      <c r="H37" s="10" t="s">
        <v>8787</v>
      </c>
      <c r="I37" s="190" t="str">
        <f>cst_shinsei_WORK_TYPE</f>
        <v/>
      </c>
      <c r="J37" s="10" t="s">
        <v>8788</v>
      </c>
    </row>
    <row r="38" spans="1:10" s="10" customFormat="1" ht="18" customHeight="1">
      <c r="A38" s="12" t="s">
        <v>8789</v>
      </c>
      <c r="B38" s="12"/>
      <c r="C38" s="12"/>
      <c r="D38" s="12"/>
      <c r="E38" s="12"/>
      <c r="H38" s="9" t="s">
        <v>8790</v>
      </c>
      <c r="I38" s="191" t="str">
        <f>cst_shinsei_WORK_88</f>
        <v/>
      </c>
      <c r="J38" s="10" t="s">
        <v>8791</v>
      </c>
    </row>
    <row r="39" spans="1:10" s="10" customFormat="1" ht="18" customHeight="1">
      <c r="A39" s="10" t="s">
        <v>8792</v>
      </c>
      <c r="H39" s="10" t="s">
        <v>4970</v>
      </c>
      <c r="I39" s="190" t="str">
        <f>cst_shinsei_ev_KOUSAKU_TAKASA</f>
        <v/>
      </c>
    </row>
    <row r="40" spans="1:10" s="10" customFormat="1" ht="18" customHeight="1">
      <c r="A40" s="10" t="s">
        <v>8793</v>
      </c>
      <c r="H40" s="10" t="s">
        <v>4972</v>
      </c>
      <c r="I40" s="190" t="str">
        <f>cst_shinsei_ev_KOUSAKU_TAKASA_MAX</f>
        <v/>
      </c>
    </row>
    <row r="41" spans="1:10" s="10" customFormat="1" ht="18" customHeight="1">
      <c r="I41" s="9"/>
    </row>
    <row r="43" spans="1:10" s="10" customFormat="1" ht="18" customHeight="1">
      <c r="A43" s="28" t="s">
        <v>8794</v>
      </c>
      <c r="B43" s="29"/>
      <c r="C43" s="29"/>
      <c r="D43" s="29"/>
      <c r="E43" s="29"/>
      <c r="F43" s="29"/>
      <c r="G43" s="29"/>
      <c r="I43" s="9"/>
    </row>
    <row r="44" spans="1:10" s="7" customFormat="1" ht="18" customHeight="1">
      <c r="B44" s="27" t="s">
        <v>8757</v>
      </c>
      <c r="C44" s="27"/>
      <c r="D44" s="27"/>
      <c r="H44" s="7" t="s">
        <v>8795</v>
      </c>
      <c r="I44" s="157"/>
    </row>
    <row r="45" spans="1:10" s="7" customFormat="1" ht="18" customHeight="1">
      <c r="B45" s="7" t="s">
        <v>8796</v>
      </c>
      <c r="H45" s="7" t="s">
        <v>8797</v>
      </c>
      <c r="I45" s="28">
        <f>IF(cst_shinsei_PREF_OFFICE_FLAG="有",4,IF(cst_shinsei_REPORT_DEST_KIND="","",IF(cst_shinsei_REPORT_DEST_KIND=1,1,IF(cst_shinsei_REPORT_DEST_KIND=2,2,IF(cst_shinsei_REPORT_DEST_KIND=3,3,"")))))</f>
        <v>1</v>
      </c>
      <c r="J45" s="10" t="s">
        <v>8798</v>
      </c>
    </row>
    <row r="46" spans="1:10" s="7" customFormat="1" ht="18" customHeight="1">
      <c r="E46" s="7" t="s">
        <v>8799</v>
      </c>
    </row>
    <row r="47" spans="1:10" s="7" customFormat="1" ht="18" customHeight="1">
      <c r="B47" s="7" t="s">
        <v>8800</v>
      </c>
      <c r="H47" s="7" t="s">
        <v>8801</v>
      </c>
      <c r="I47" s="28">
        <f>IF(AND(city_ken="奈良県",city_CITY_KIND="その他",cst_shinsei_TARGET_KIND="建築物",shinsei_build_KAISU_TIJYOU_SHINSEI&gt;=4),4,shinsei_REPORT_DEST_GYOUSEI_KIND__base)</f>
        <v>1</v>
      </c>
      <c r="J47" s="7" t="s">
        <v>8802</v>
      </c>
    </row>
    <row r="48" spans="1:10" s="7" customFormat="1" ht="18" customHeight="1">
      <c r="E48" s="7" t="s">
        <v>8803</v>
      </c>
    </row>
    <row r="49" spans="1:11" s="7" customFormat="1" ht="18" customHeight="1">
      <c r="B49" s="7" t="s">
        <v>8804</v>
      </c>
      <c r="H49" s="7" t="s">
        <v>8805</v>
      </c>
      <c r="I49" s="192">
        <f>shinsei_REPORT_DEST_GYOUSEI_KIND__case1</f>
        <v>1</v>
      </c>
    </row>
    <row r="50" spans="1:11" s="7" customFormat="1" ht="18" customHeight="1">
      <c r="B50" s="7" t="s">
        <v>8806</v>
      </c>
    </row>
    <row r="51" spans="1:11" s="7" customFormat="1" ht="18" customHeight="1">
      <c r="E51" s="10" t="s">
        <v>8807</v>
      </c>
      <c r="H51" s="10" t="s">
        <v>1279</v>
      </c>
      <c r="I51" s="28" t="str">
        <f ca="1">IF(shinsei_REPORT_DEST_GYOUSEI_KIND="","",OFFSET(shinsei_REPORT_DEST_GYOUSEI_KIND__base_point,1,shinsei_REPORT_DEST_GYOUSEI_KIND,1,1))</f>
        <v>東大阪市役所</v>
      </c>
    </row>
    <row r="52" spans="1:11" s="7" customFormat="1" ht="18" customHeight="1">
      <c r="E52" s="10" t="s">
        <v>8808</v>
      </c>
      <c r="H52" s="10" t="s">
        <v>8809</v>
      </c>
      <c r="I52" s="28" t="str">
        <f ca="1">IF(shinsei_REPORT_DEST_GYOUSEI_KIND="","",OFFSET(shinsei_REPORT_DEST_GYOUSEI_KIND__base_point,2,shinsei_REPORT_DEST_GYOUSEI_KIND,1,1))</f>
        <v>建築部建築指導室</v>
      </c>
    </row>
    <row r="53" spans="1:11" s="7" customFormat="1" ht="18" customHeight="1">
      <c r="E53" s="10" t="s">
        <v>8810</v>
      </c>
      <c r="H53" s="10" t="s">
        <v>8811</v>
      </c>
      <c r="I53" s="28" t="str">
        <f ca="1">IF(shinsei_REPORT_DEST_GYOUSEI_KIND="","",OFFSET(shinsei_REPORT_DEST_GYOUSEI_KIND__base_point,3,shinsei_REPORT_DEST_GYOUSEI_KIND,1,1))</f>
        <v/>
      </c>
    </row>
    <row r="54" spans="1:11" s="7" customFormat="1" ht="18" customHeight="1">
      <c r="E54" s="10" t="s">
        <v>8812</v>
      </c>
      <c r="H54" s="10" t="s">
        <v>8813</v>
      </c>
      <c r="I54" s="28" t="str">
        <f ca="1">IF(shinsei_REPORT_DEST_GYOUSEI_KIND="","",OFFSET(shinsei_REPORT_DEST_GYOUSEI_KIND__base_point,4,shinsei_REPORT_DEST_GYOUSEI_KIND,1,1))</f>
        <v>東大阪市建築主事</v>
      </c>
    </row>
    <row r="55" spans="1:11" s="7" customFormat="1" ht="18" customHeight="1">
      <c r="E55" s="10" t="s">
        <v>8814</v>
      </c>
      <c r="H55" s="10" t="s">
        <v>1280</v>
      </c>
      <c r="I55" s="28" t="str">
        <f ca="1">IF(shinsei_REPORT_DEST_GYOUSEI_KIND="","",OFFSET(shinsei_REPORT_DEST_GYOUSEI_KIND__base_point,5,shinsei_REPORT_DEST_GYOUSEI_KIND,1,1))</f>
        <v>東大阪市長</v>
      </c>
    </row>
    <row r="56" spans="1:11" s="7" customFormat="1" ht="18" customHeight="1">
      <c r="A56" s="7" t="s">
        <v>8815</v>
      </c>
    </row>
    <row r="57" spans="1:11" s="7" customFormat="1" ht="18" customHeight="1">
      <c r="A57" s="193"/>
      <c r="B57" s="194"/>
      <c r="C57" s="194"/>
      <c r="D57" s="194"/>
      <c r="E57" s="195"/>
      <c r="F57" s="196" t="s">
        <v>8816</v>
      </c>
      <c r="G57" s="197" t="s">
        <v>1429</v>
      </c>
      <c r="H57" s="197" t="s">
        <v>8817</v>
      </c>
      <c r="I57" s="197" t="s">
        <v>8818</v>
      </c>
      <c r="J57" s="197" t="s">
        <v>8819</v>
      </c>
    </row>
    <row r="58" spans="1:11" s="7" customFormat="1" ht="18" customHeight="1">
      <c r="A58" s="198" t="s">
        <v>8820</v>
      </c>
      <c r="B58" s="199"/>
      <c r="C58" s="199"/>
      <c r="D58" s="199"/>
      <c r="E58" s="199"/>
      <c r="F58" s="200" t="str">
        <f>cst_shinsei_REPORT_DEST_NAME</f>
        <v>東大阪市役所</v>
      </c>
      <c r="G58" s="200" t="str">
        <f>cst_city_CITY_PUBLIC_OFFICE_ID__NAME</f>
        <v>東大阪市役所</v>
      </c>
      <c r="H58" s="200" t="str">
        <f>cst_city_KEN1_PUBLIC_OFFICE_ID__NAME</f>
        <v/>
      </c>
      <c r="I58" s="200" t="str">
        <f>cst_city_KEN2_PUBLIC_OFFICE_ID__NAME</f>
        <v/>
      </c>
      <c r="J58" s="200" t="str">
        <f>cst_city_KEN_PUBLIC_OFFICE_ID__NAME</f>
        <v/>
      </c>
      <c r="K58" s="10"/>
    </row>
    <row r="59" spans="1:11" s="7" customFormat="1" ht="18" customHeight="1">
      <c r="A59" s="201" t="s">
        <v>8821</v>
      </c>
      <c r="F59" s="202" t="str">
        <f>cst_shinsei_REPORT_DEST_DEPART_NAME</f>
        <v>建築部建築指導室</v>
      </c>
      <c r="G59" s="202" t="str">
        <f>cst_city_CITY_PUBLIC_OFFICE_ID__DEPART_NAME</f>
        <v>建築部建築指導室</v>
      </c>
      <c r="H59" s="202" t="str">
        <f>cst_city_KEN1_PUBLIC_OFFICE_ID__DEPART_NAME</f>
        <v/>
      </c>
      <c r="I59" s="202" t="str">
        <f>cst_city_KEN2_PUBLIC_OFFICE_ID__DEPART_NAME</f>
        <v/>
      </c>
      <c r="J59" s="202" t="str">
        <f>cst_city_KEN_PUBLIC_OFFICE_ID__DEPART_NAME</f>
        <v/>
      </c>
      <c r="K59" s="10"/>
    </row>
    <row r="60" spans="1:11" s="7" customFormat="1" ht="18" customHeight="1">
      <c r="A60" s="201" t="s">
        <v>2786</v>
      </c>
      <c r="F60" s="202" t="str">
        <f>cst_shinsei_REPORT_DEST_FAX</f>
        <v/>
      </c>
      <c r="G60" s="202" t="str">
        <f>cst_city_CITY_PUBLIC_OFFICE_ID__FAX</f>
        <v/>
      </c>
      <c r="H60" s="202" t="str">
        <f>cst_city_KEN1_PUBLIC_OFFICE_ID__FAX</f>
        <v/>
      </c>
      <c r="I60" s="202" t="str">
        <f>cst_city_KEN2_PUBLIC_OFFICE_ID__FAX</f>
        <v/>
      </c>
      <c r="J60" s="202" t="str">
        <f>cst_city_KEN_PUBLIC_OFFICE_ID__FAX</f>
        <v/>
      </c>
      <c r="K60" s="10"/>
    </row>
    <row r="61" spans="1:11" s="7" customFormat="1" ht="18" customHeight="1">
      <c r="A61" s="201" t="s">
        <v>8822</v>
      </c>
      <c r="F61" s="202" t="str">
        <f>cst_shinsei_REPORT_DEST_SYUJI_NAME</f>
        <v>東大阪市建築主事</v>
      </c>
      <c r="G61" s="202" t="str">
        <f>cst_city_CITY_PUBLIC_OFFICE_ID__SYUJI_NAME</f>
        <v>東大阪市建築主事</v>
      </c>
      <c r="H61" s="202" t="str">
        <f>cst_city_KEN1_PUBLIC_OFFICE_ID__SYUJI_NAME</f>
        <v/>
      </c>
      <c r="I61" s="202" t="str">
        <f>cst_city_KEN2_PUBLIC_OFFICE_ID__SYUJI_NAME</f>
        <v/>
      </c>
      <c r="J61" s="202" t="str">
        <f>cst_city_KEN_PUBLIC_OFFICE_ID__SYUJI_NAME</f>
        <v/>
      </c>
      <c r="K61" s="10"/>
    </row>
    <row r="62" spans="1:11" s="7" customFormat="1" ht="18" customHeight="1">
      <c r="A62" s="203" t="s">
        <v>1473</v>
      </c>
      <c r="B62" s="187"/>
      <c r="C62" s="187"/>
      <c r="D62" s="187"/>
      <c r="E62" s="187"/>
      <c r="F62" s="204" t="str">
        <f>cst_shinsei_REPORT_DEST_GYOUSEI_NAME</f>
        <v>東大阪市長</v>
      </c>
      <c r="G62" s="204" t="str">
        <f>cst_city_CITY_PUBLIC_OFFICE_ID__GYOUSEI_NAME</f>
        <v>東大阪市長</v>
      </c>
      <c r="H62" s="204" t="str">
        <f>cst_city_KEN1_PUBLIC_OFFICE_ID__GYOUSEI_NAME</f>
        <v/>
      </c>
      <c r="I62" s="204" t="str">
        <f>cst_city_KEN2_PUBLIC_OFFICE_ID__GYOUSEI_NAME</f>
        <v/>
      </c>
      <c r="J62" s="204" t="str">
        <f>cst_city_KEN_PUBLIC_OFFICE_ID__GYOUSEI_NAME</f>
        <v/>
      </c>
      <c r="K62" s="10"/>
    </row>
    <row r="63" spans="1:11" s="10" customFormat="1" ht="18" customHeight="1">
      <c r="G63" s="9"/>
    </row>
    <row r="64" spans="1:11" s="47" customFormat="1" ht="18" customHeight="1"/>
    <row r="65" spans="1:10" s="7" customFormat="1" ht="18" customHeight="1">
      <c r="A65" s="28" t="s">
        <v>8823</v>
      </c>
      <c r="B65" s="28"/>
      <c r="C65" s="28"/>
      <c r="D65" s="28"/>
      <c r="E65" s="28"/>
      <c r="F65" s="28"/>
      <c r="G65" s="28"/>
    </row>
    <row r="66" spans="1:10" s="7" customFormat="1" ht="18" customHeight="1">
      <c r="I66" s="657"/>
      <c r="J66" s="657"/>
    </row>
    <row r="67" spans="1:10" s="7" customFormat="1" ht="18" customHeight="1">
      <c r="E67" s="7" t="s">
        <v>8824</v>
      </c>
      <c r="G67" s="7" t="s">
        <v>8825</v>
      </c>
      <c r="H67" s="28" t="str">
        <f ca="1">IF(ISERROR(MATCH(cst_RENRAKUSAKI_KOUZOU_TANTOU,cst_RENRAKUSAKI_KOUZOU_TANTOU_EMAILcheck_Erea,0)),"",MATCH(cst_RENRAKUSAKI_KOUZOU_TANTOU,cst_RENRAKUSAKI_KOUZOU_TANTOU_EMAILcheck_Erea,0))</f>
        <v/>
      </c>
      <c r="I67" s="38"/>
      <c r="J67" s="38"/>
    </row>
    <row r="68" spans="1:10" s="7" customFormat="1" ht="18" customHeight="1">
      <c r="B68" s="7" t="s">
        <v>8826</v>
      </c>
      <c r="E68" s="7" t="s">
        <v>8827</v>
      </c>
      <c r="G68" s="7" t="s">
        <v>1281</v>
      </c>
      <c r="H68" s="28" t="str">
        <f ca="1">IF(cst_RENRAKUSAKI_KOUZOU_TANTOU__search="","",OFFSET(cst_RENRAKUSAKI_KOUZOU_TANTOU_LinkCell,cst_RENRAKUSAKI_KOUZOU_TANTOU__search+2,5,1,1))</f>
        <v/>
      </c>
      <c r="I68" s="38"/>
      <c r="J68" s="38"/>
    </row>
    <row r="69" spans="1:10" s="7" customFormat="1" ht="18" customHeight="1">
      <c r="I69" s="38"/>
      <c r="J69" s="38"/>
    </row>
    <row r="70" spans="1:10" s="7" customFormat="1" ht="18" customHeight="1">
      <c r="A70" s="658" t="str">
        <f ca="1">IF(cst_RENRAKUSAKI_KOUZOU_TANTOU_LinkCell="",cst_shinsei_KOUZOU_TANTO1,IF(OFFSET(cst_RENRAKUSAKI_KOUZOU_TANTOU_LinkCell,cst_RENRAKUSAKI_KOUZOU_TANTOU_LinkCell,0,1,1)="","",OFFSET(cst_RENRAKUSAKI_KOUZOU_TANTOU_LinkCell,cst_RENRAKUSAKI_KOUZOU_TANTOU_LinkCell,0,1,1)))</f>
        <v/>
      </c>
      <c r="B70" s="659"/>
      <c r="C70" s="659"/>
      <c r="D70" s="659"/>
      <c r="E70" s="660"/>
      <c r="H70" s="7" t="s">
        <v>8828</v>
      </c>
      <c r="I70" s="7" t="s">
        <v>8829</v>
      </c>
    </row>
    <row r="71" spans="1:10" s="7" customFormat="1" ht="18" customHeight="1">
      <c r="A71" s="157">
        <v>2</v>
      </c>
      <c r="B71" s="205"/>
      <c r="C71" s="205"/>
      <c r="D71" s="205"/>
      <c r="E71" s="206"/>
      <c r="H71" s="7" t="s">
        <v>8830</v>
      </c>
      <c r="I71" s="7" t="s">
        <v>1282</v>
      </c>
    </row>
    <row r="72" spans="1:10" s="7" customFormat="1" ht="18" customHeight="1">
      <c r="A72" s="207"/>
      <c r="B72" s="208"/>
      <c r="C72" s="208"/>
      <c r="D72" s="208"/>
      <c r="E72" s="209"/>
      <c r="H72" s="7" t="s">
        <v>8831</v>
      </c>
      <c r="I72" s="7" t="s">
        <v>8832</v>
      </c>
    </row>
    <row r="73" spans="1:10" s="7" customFormat="1" ht="18" customHeight="1">
      <c r="A73" s="181" t="str">
        <f>cst_shinsei_KOUZOU_TANTO1</f>
        <v/>
      </c>
      <c r="B73" s="157"/>
      <c r="C73" s="157"/>
      <c r="D73" s="157"/>
      <c r="E73" s="210"/>
      <c r="F73" s="211"/>
      <c r="H73" s="7" t="s">
        <v>8833</v>
      </c>
    </row>
    <row r="74" spans="1:10" s="7" customFormat="1" ht="18" customHeight="1">
      <c r="A74" s="181" t="s">
        <v>8834</v>
      </c>
      <c r="B74" s="17"/>
      <c r="C74" s="17"/>
      <c r="D74" s="17"/>
      <c r="E74" s="212"/>
      <c r="F74" s="213" t="s">
        <v>8835</v>
      </c>
      <c r="H74" s="7" t="s">
        <v>8836</v>
      </c>
      <c r="I74" s="7" t="s">
        <v>8837</v>
      </c>
    </row>
    <row r="75" spans="1:10" s="7" customFormat="1" ht="18" customHeight="1">
      <c r="A75" s="181" t="s">
        <v>8838</v>
      </c>
      <c r="B75" s="17"/>
      <c r="C75" s="17"/>
      <c r="D75" s="17"/>
      <c r="E75" s="212"/>
      <c r="F75" s="213" t="s">
        <v>8839</v>
      </c>
    </row>
    <row r="76" spans="1:10" s="7" customFormat="1" ht="18" customHeight="1">
      <c r="A76" s="181" t="s">
        <v>8840</v>
      </c>
      <c r="B76" s="17"/>
      <c r="C76" s="17"/>
      <c r="D76" s="17"/>
      <c r="E76" s="212"/>
      <c r="F76" s="213" t="s">
        <v>8841</v>
      </c>
    </row>
    <row r="77" spans="1:10" s="7" customFormat="1" ht="18" customHeight="1">
      <c r="A77" s="181" t="s">
        <v>8842</v>
      </c>
      <c r="B77" s="17"/>
      <c r="C77" s="17"/>
      <c r="D77" s="17"/>
      <c r="E77" s="212"/>
      <c r="F77" s="213" t="s">
        <v>8843</v>
      </c>
    </row>
    <row r="78" spans="1:10" s="7" customFormat="1" ht="18" customHeight="1">
      <c r="A78" s="181" t="s">
        <v>8844</v>
      </c>
      <c r="B78" s="17"/>
      <c r="C78" s="17"/>
      <c r="D78" s="17"/>
      <c r="E78" s="212"/>
      <c r="F78" s="213" t="s">
        <v>8845</v>
      </c>
    </row>
    <row r="79" spans="1:10" s="7" customFormat="1" ht="18" customHeight="1">
      <c r="A79" s="181"/>
      <c r="B79" s="17"/>
      <c r="C79" s="17"/>
      <c r="D79" s="17"/>
      <c r="E79" s="212"/>
      <c r="F79" s="213"/>
    </row>
    <row r="80" spans="1:10" s="7" customFormat="1" ht="18" customHeight="1">
      <c r="A80" s="181"/>
      <c r="B80" s="17"/>
      <c r="C80" s="17"/>
      <c r="D80" s="17"/>
      <c r="E80" s="212"/>
      <c r="F80" s="213"/>
    </row>
    <row r="81" spans="1:9" s="7" customFormat="1" ht="18" customHeight="1">
      <c r="A81" s="181"/>
      <c r="B81" s="17"/>
      <c r="C81" s="17"/>
      <c r="D81" s="17"/>
      <c r="E81" s="212"/>
      <c r="F81" s="213"/>
    </row>
    <row r="82" spans="1:9" s="7" customFormat="1" ht="18" customHeight="1">
      <c r="A82" s="181"/>
      <c r="B82" s="17"/>
      <c r="C82" s="17"/>
      <c r="D82" s="17"/>
      <c r="E82" s="212"/>
      <c r="F82" s="213"/>
    </row>
    <row r="83" spans="1:9" s="7" customFormat="1" ht="18" customHeight="1">
      <c r="A83" s="181"/>
      <c r="B83" s="17"/>
      <c r="C83" s="17"/>
      <c r="D83" s="17"/>
      <c r="E83" s="212"/>
      <c r="F83" s="213"/>
    </row>
    <row r="84" spans="1:9" s="7" customFormat="1" ht="18" customHeight="1">
      <c r="A84" s="181"/>
      <c r="B84" s="17"/>
      <c r="C84" s="17"/>
      <c r="D84" s="17"/>
      <c r="E84" s="212"/>
      <c r="F84" s="213"/>
    </row>
    <row r="85" spans="1:9" s="7" customFormat="1" ht="18" customHeight="1">
      <c r="A85" s="181"/>
      <c r="B85" s="17"/>
      <c r="C85" s="17"/>
      <c r="D85" s="17"/>
      <c r="E85" s="212"/>
      <c r="F85" s="213"/>
    </row>
    <row r="86" spans="1:9" s="7" customFormat="1" ht="18" customHeight="1">
      <c r="A86" s="181"/>
      <c r="B86" s="17"/>
      <c r="C86" s="17"/>
      <c r="D86" s="17"/>
      <c r="E86" s="212"/>
      <c r="F86" s="213"/>
    </row>
    <row r="87" spans="1:9" s="7" customFormat="1" ht="18" customHeight="1">
      <c r="A87" s="181"/>
      <c r="B87" s="17"/>
      <c r="C87" s="17"/>
      <c r="D87" s="17"/>
      <c r="E87" s="212"/>
      <c r="F87" s="213"/>
    </row>
    <row r="88" spans="1:9" s="7" customFormat="1" ht="18" customHeight="1">
      <c r="A88" s="181"/>
      <c r="B88" s="17"/>
      <c r="C88" s="17"/>
      <c r="D88" s="17"/>
      <c r="E88" s="212"/>
      <c r="F88" s="213"/>
    </row>
    <row r="89" spans="1:9" s="7" customFormat="1" ht="18" customHeight="1">
      <c r="A89" s="186"/>
      <c r="B89" s="214"/>
      <c r="C89" s="214"/>
      <c r="D89" s="214"/>
      <c r="E89" s="215"/>
      <c r="F89" s="216"/>
    </row>
    <row r="90" spans="1:9" s="7" customFormat="1" ht="18" customHeight="1"/>
    <row r="91" spans="1:9" s="7" customFormat="1" ht="18" customHeight="1"/>
    <row r="92" spans="1:9" s="7" customFormat="1" ht="18" customHeight="1">
      <c r="A92" s="28" t="s">
        <v>8846</v>
      </c>
      <c r="B92" s="28"/>
      <c r="C92" s="28"/>
      <c r="D92" s="28"/>
      <c r="E92" s="28"/>
      <c r="F92" s="217"/>
      <c r="G92" s="28"/>
    </row>
    <row r="94" spans="1:9" ht="18" customHeight="1">
      <c r="B94" s="52" t="s">
        <v>8847</v>
      </c>
    </row>
    <row r="96" spans="1:9" ht="18" customHeight="1">
      <c r="E96" s="52" t="s">
        <v>2456</v>
      </c>
      <c r="H96" s="52" t="s">
        <v>8848</v>
      </c>
      <c r="I96" s="63" t="str">
        <f>LEFT(cst_shinsei_UKETUKE_NO,11)</f>
        <v>2020確申建築CIA</v>
      </c>
    </row>
    <row r="97" spans="1:10" ht="18" customHeight="1">
      <c r="E97" s="52" t="s">
        <v>8849</v>
      </c>
      <c r="H97" s="52" t="s">
        <v>8850</v>
      </c>
      <c r="I97" s="63" t="str">
        <f>LEFT(cst_shinsei_ISSUE_NO,11)</f>
        <v/>
      </c>
    </row>
    <row r="99" spans="1:10" ht="18" customHeight="1">
      <c r="B99" s="52" t="s">
        <v>8851</v>
      </c>
    </row>
    <row r="101" spans="1:10" ht="18" customHeight="1">
      <c r="E101" s="52" t="s">
        <v>2456</v>
      </c>
      <c r="H101" s="52" t="s">
        <v>8852</v>
      </c>
      <c r="I101" s="63" t="str">
        <f>RIGHT(cst_shinsei_UKETUKE_NO,4)</f>
        <v>1650</v>
      </c>
    </row>
    <row r="102" spans="1:10" ht="18" customHeight="1">
      <c r="H102" s="52" t="s">
        <v>8853</v>
      </c>
      <c r="I102" s="63" t="str">
        <f>IF(cst_shinsei_UKETUKE_NO="","",RIGHT(cst_shinsei_UKETUKE_NO,4)&amp;"号")</f>
        <v>1650号</v>
      </c>
      <c r="J102" s="52" t="s">
        <v>8854</v>
      </c>
    </row>
    <row r="103" spans="1:10" ht="18" customHeight="1">
      <c r="E103" s="52" t="s">
        <v>8849</v>
      </c>
      <c r="H103" s="52" t="s">
        <v>8855</v>
      </c>
      <c r="I103" s="63" t="str">
        <f>RIGHT(cst_shinsei_ISSUE_NO,4)</f>
        <v/>
      </c>
    </row>
    <row r="104" spans="1:10" ht="18" customHeight="1">
      <c r="H104" s="52" t="s">
        <v>8856</v>
      </c>
      <c r="I104" s="63" t="str">
        <f>IF(cst_shinsei_ISSUE_NO="","",RIGHT(cst_shinsei_ISSUE_NO,4)&amp;"号")</f>
        <v/>
      </c>
      <c r="J104" s="52" t="s">
        <v>8854</v>
      </c>
    </row>
    <row r="108" spans="1:10" ht="18" customHeight="1">
      <c r="A108" s="28" t="s">
        <v>8857</v>
      </c>
      <c r="B108" s="28"/>
      <c r="C108" s="28"/>
      <c r="D108" s="28"/>
      <c r="E108" s="28"/>
      <c r="F108" s="217"/>
      <c r="G108" s="28"/>
    </row>
    <row r="110" spans="1:10" ht="18" customHeight="1">
      <c r="B110" s="52" t="s">
        <v>8858</v>
      </c>
    </row>
    <row r="111" spans="1:10" ht="18" customHeight="1">
      <c r="E111" s="52" t="s">
        <v>8859</v>
      </c>
      <c r="H111" s="52" t="s">
        <v>8860</v>
      </c>
      <c r="I111" s="63" t="str">
        <f>IF(shinsei_INSPECTION_TYPE="中間検査","中間検査申込手数料",IF(shinsei_INSPECTION_TYPE="完了検査","完了検査申込手数料",IF(shinsei_INSPECTION_TYPE="計画変更","建築確認申込手数料（計画変更）","建築確認申込手数料")))</f>
        <v>建築確認申込手数料</v>
      </c>
    </row>
    <row r="115" spans="1:25" ht="18" customHeight="1">
      <c r="E115" s="52" t="s">
        <v>8861</v>
      </c>
      <c r="H115" s="52" t="s">
        <v>1283</v>
      </c>
      <c r="I115" s="152"/>
    </row>
    <row r="118" spans="1:25" ht="18" customHeight="1">
      <c r="A118" s="441" t="s">
        <v>10026</v>
      </c>
      <c r="B118" s="441"/>
      <c r="C118" s="441"/>
      <c r="D118" s="441"/>
      <c r="E118" s="441"/>
      <c r="F118" s="441"/>
      <c r="G118" s="441"/>
    </row>
    <row r="120" spans="1:25" ht="18" customHeight="1">
      <c r="B120" s="52" t="s">
        <v>10027</v>
      </c>
    </row>
    <row r="122" spans="1:25" s="7" customFormat="1" ht="18" customHeight="1">
      <c r="A122" s="5"/>
      <c r="B122" s="5"/>
      <c r="C122" s="5"/>
      <c r="D122" s="5"/>
      <c r="E122" s="5"/>
      <c r="F122" s="5"/>
      <c r="G122" s="6"/>
      <c r="I122" s="49"/>
      <c r="O122" s="50"/>
      <c r="P122" s="50"/>
      <c r="Q122" s="50"/>
      <c r="R122" s="50"/>
      <c r="S122" s="50"/>
      <c r="T122" s="50"/>
      <c r="U122" s="50"/>
      <c r="V122" s="50"/>
      <c r="W122" s="50"/>
      <c r="X122" s="50"/>
      <c r="Y122" s="50"/>
    </row>
    <row r="123" spans="1:25" s="7" customFormat="1" ht="18" customHeight="1">
      <c r="A123" s="5"/>
      <c r="B123" s="5"/>
      <c r="C123" s="5"/>
      <c r="D123" s="5"/>
      <c r="E123" s="5"/>
      <c r="F123" s="5"/>
      <c r="G123" s="6"/>
      <c r="I123" s="49"/>
      <c r="O123" s="50"/>
      <c r="P123" s="50"/>
      <c r="Q123" s="50"/>
      <c r="R123" s="50"/>
      <c r="S123" s="50"/>
      <c r="T123" s="50"/>
      <c r="U123" s="50"/>
      <c r="V123" s="50"/>
      <c r="W123" s="50"/>
      <c r="X123" s="50"/>
      <c r="Y123" s="50"/>
    </row>
    <row r="124" spans="1:25" s="7" customFormat="1" ht="18" customHeight="1">
      <c r="A124" s="5"/>
      <c r="B124" s="5"/>
      <c r="C124" s="5"/>
      <c r="D124" s="5"/>
      <c r="E124" s="5"/>
      <c r="F124" s="5"/>
      <c r="H124" s="52" t="s">
        <v>10032</v>
      </c>
      <c r="I124" s="449">
        <v>1</v>
      </c>
      <c r="O124" s="50"/>
      <c r="P124" s="50"/>
      <c r="Q124" s="50"/>
      <c r="R124" s="50"/>
      <c r="S124" s="50"/>
      <c r="T124" s="50"/>
      <c r="U124" s="50"/>
      <c r="V124" s="50"/>
      <c r="W124" s="50"/>
      <c r="X124" s="50"/>
      <c r="Y124" s="50"/>
    </row>
    <row r="125" spans="1:25" s="7" customFormat="1" ht="18" customHeight="1">
      <c r="A125" s="5"/>
      <c r="B125" s="5"/>
      <c r="C125" s="5"/>
      <c r="D125" s="5"/>
      <c r="E125" s="5"/>
      <c r="F125" s="5"/>
      <c r="H125" s="52" t="s">
        <v>10028</v>
      </c>
      <c r="I125" s="448" t="s">
        <v>10030</v>
      </c>
      <c r="O125" s="50"/>
      <c r="P125" s="50"/>
      <c r="Q125" s="50"/>
      <c r="R125" s="50"/>
      <c r="S125" s="50"/>
      <c r="T125" s="50"/>
      <c r="U125" s="50"/>
      <c r="V125" s="50"/>
      <c r="W125" s="50"/>
      <c r="X125" s="50"/>
      <c r="Y125" s="50"/>
    </row>
    <row r="126" spans="1:25" s="7" customFormat="1" ht="18" customHeight="1">
      <c r="A126" s="5"/>
      <c r="B126" s="5"/>
      <c r="C126" s="5"/>
      <c r="D126" s="5"/>
      <c r="E126" s="5"/>
      <c r="F126" s="5"/>
      <c r="H126" s="52"/>
      <c r="I126" s="448" t="s">
        <v>10031</v>
      </c>
      <c r="O126" s="50"/>
      <c r="P126" s="50"/>
      <c r="Q126" s="50"/>
      <c r="R126" s="50"/>
      <c r="S126" s="50"/>
      <c r="T126" s="50"/>
      <c r="U126" s="50"/>
      <c r="V126" s="50"/>
      <c r="W126" s="50"/>
      <c r="X126" s="50"/>
      <c r="Y126" s="50"/>
    </row>
    <row r="127" spans="1:25" s="7" customFormat="1" ht="18" customHeight="1">
      <c r="A127" s="5"/>
      <c r="B127" s="5"/>
      <c r="C127" s="5"/>
      <c r="D127" s="5"/>
      <c r="E127" s="5"/>
      <c r="F127" s="5"/>
      <c r="H127" s="52" t="s">
        <v>10029</v>
      </c>
      <c r="I127" s="49"/>
      <c r="O127" s="50"/>
      <c r="P127" s="50"/>
      <c r="Q127" s="50"/>
      <c r="R127" s="50"/>
      <c r="S127" s="50"/>
      <c r="T127" s="50"/>
      <c r="U127" s="50"/>
      <c r="V127" s="50"/>
      <c r="W127" s="50"/>
      <c r="X127" s="50"/>
      <c r="Y127" s="50"/>
    </row>
    <row r="128" spans="1:25" s="7" customFormat="1" ht="18" customHeight="1">
      <c r="A128" s="5"/>
      <c r="B128" s="5"/>
      <c r="C128" s="5"/>
      <c r="D128" s="5"/>
      <c r="E128" s="5"/>
      <c r="F128" s="5"/>
      <c r="G128" s="6"/>
      <c r="I128" s="49"/>
      <c r="O128" s="50"/>
      <c r="P128" s="50"/>
      <c r="Q128" s="50"/>
      <c r="R128" s="50"/>
      <c r="S128" s="50"/>
      <c r="T128" s="50"/>
      <c r="U128" s="50"/>
      <c r="V128" s="50"/>
      <c r="W128" s="50"/>
      <c r="X128" s="50"/>
      <c r="Y128" s="50"/>
    </row>
    <row r="129" spans="1:25" s="7" customFormat="1" ht="18" customHeight="1">
      <c r="A129" s="5"/>
      <c r="B129" s="5" t="s">
        <v>10023</v>
      </c>
      <c r="C129" s="5"/>
      <c r="D129" s="5"/>
      <c r="E129" s="5"/>
      <c r="F129" s="5"/>
      <c r="G129" s="6"/>
      <c r="I129" s="49"/>
      <c r="O129" s="50"/>
      <c r="P129" s="50"/>
      <c r="Q129" s="50"/>
      <c r="R129" s="50"/>
      <c r="S129" s="50"/>
      <c r="T129" s="50"/>
      <c r="U129" s="50"/>
      <c r="V129" s="50"/>
      <c r="W129" s="50"/>
      <c r="X129" s="50"/>
      <c r="Y129" s="50"/>
    </row>
    <row r="130" spans="1:25" s="7" customFormat="1" ht="18" customHeight="1">
      <c r="A130" s="5"/>
      <c r="B130" s="5" t="s">
        <v>10025</v>
      </c>
      <c r="C130" s="5"/>
      <c r="D130" s="5"/>
      <c r="E130" s="5"/>
      <c r="F130" s="5"/>
      <c r="G130" s="6"/>
      <c r="I130" s="49" t="s">
        <v>10033</v>
      </c>
      <c r="O130" s="50"/>
      <c r="P130" s="50"/>
      <c r="Q130" s="50"/>
      <c r="R130" s="50"/>
      <c r="S130" s="50"/>
      <c r="T130" s="50"/>
      <c r="U130" s="50"/>
      <c r="V130" s="50"/>
      <c r="W130" s="50"/>
      <c r="X130" s="50"/>
      <c r="Y130" s="50"/>
    </row>
    <row r="131" spans="1:25" s="7" customFormat="1" ht="18" customHeight="1">
      <c r="A131" s="5"/>
      <c r="B131" s="5" t="s">
        <v>3297</v>
      </c>
      <c r="C131" s="5"/>
      <c r="D131" s="5"/>
      <c r="E131" s="5"/>
      <c r="F131" s="5"/>
      <c r="G131" s="6"/>
      <c r="H131" s="7" t="s">
        <v>10034</v>
      </c>
      <c r="I131" s="28" t="str">
        <f>IF(cst_LIST_BOX_link_cell=1,cst_owner_all__char,cst_owner1__char)</f>
        <v>フジ住宅株式会社
代表取締役社長  宮脇　宣綱</v>
      </c>
      <c r="N131" s="50"/>
      <c r="O131" s="50"/>
      <c r="P131" s="50"/>
      <c r="Q131" s="50"/>
      <c r="R131" s="50"/>
      <c r="S131" s="50"/>
      <c r="T131" s="50"/>
      <c r="U131" s="50"/>
      <c r="V131" s="50"/>
      <c r="W131" s="50"/>
      <c r="X131" s="50"/>
    </row>
    <row r="132" spans="1:25" s="7" customFormat="1" ht="18" customHeight="1">
      <c r="A132" s="5"/>
      <c r="B132" s="5"/>
      <c r="C132" s="5"/>
      <c r="D132" s="5"/>
      <c r="E132" s="5"/>
      <c r="F132" s="5"/>
      <c r="G132" s="6"/>
      <c r="I132" s="28"/>
      <c r="N132" s="50"/>
      <c r="O132" s="50"/>
      <c r="P132" s="50"/>
      <c r="Q132" s="50"/>
      <c r="R132" s="50"/>
      <c r="S132" s="50"/>
      <c r="T132" s="50"/>
      <c r="U132" s="50"/>
      <c r="V132" s="50"/>
      <c r="W132" s="50"/>
      <c r="X132" s="50"/>
    </row>
    <row r="133" spans="1:25" s="7" customFormat="1" ht="18" customHeight="1">
      <c r="A133" s="5"/>
      <c r="B133" s="5" t="s">
        <v>3298</v>
      </c>
      <c r="C133" s="5"/>
      <c r="D133" s="5"/>
      <c r="E133" s="5"/>
      <c r="F133" s="5"/>
      <c r="G133" s="6"/>
      <c r="H133" s="7" t="s">
        <v>10036</v>
      </c>
      <c r="I133" s="28" t="str">
        <f>IF(cst_LIST_BOX_link_cell=1,"","（他  "&amp;cst_owner_count&amp;"  名)")</f>
        <v/>
      </c>
      <c r="N133" s="50"/>
      <c r="O133" s="50"/>
      <c r="P133" s="50"/>
      <c r="Q133" s="50"/>
      <c r="R133" s="50"/>
      <c r="S133" s="50"/>
      <c r="T133" s="50"/>
      <c r="U133" s="50"/>
      <c r="V133" s="50"/>
      <c r="W133" s="50"/>
      <c r="X133" s="50"/>
    </row>
    <row r="134" spans="1:25" s="7" customFormat="1" ht="18" customHeight="1">
      <c r="A134" s="5"/>
      <c r="B134" s="5" t="s">
        <v>10024</v>
      </c>
      <c r="C134" s="5"/>
      <c r="D134" s="5"/>
      <c r="E134" s="5"/>
      <c r="F134" s="5"/>
      <c r="G134" s="6"/>
      <c r="H134" s="49"/>
      <c r="N134" s="50"/>
      <c r="O134" s="50"/>
      <c r="P134" s="50"/>
      <c r="Q134" s="50"/>
      <c r="R134" s="50"/>
      <c r="S134" s="50"/>
      <c r="T134" s="50"/>
      <c r="U134" s="50"/>
      <c r="V134" s="50"/>
      <c r="W134" s="50"/>
      <c r="X134" s="50"/>
    </row>
    <row r="135" spans="1:25" s="7" customFormat="1" ht="18" customHeight="1">
      <c r="A135" s="5"/>
      <c r="B135" s="5" t="s">
        <v>3297</v>
      </c>
      <c r="C135" s="5"/>
      <c r="D135" s="5"/>
      <c r="E135" s="5"/>
      <c r="F135" s="5"/>
      <c r="G135" s="6"/>
      <c r="H135" s="7" t="s">
        <v>10035</v>
      </c>
      <c r="I135" s="28" t="str">
        <f>IF(cst_LIST_BOX_link_cell=1,cst_owner_all__char_row_sama,cst_owner1__char_sama)</f>
        <v>フジ住宅株式会社
代表取締役社長  宮脇　宣綱　様</v>
      </c>
      <c r="N135" s="50"/>
      <c r="O135" s="50"/>
      <c r="P135" s="50"/>
      <c r="Q135" s="50"/>
      <c r="R135" s="50"/>
      <c r="S135" s="50"/>
      <c r="T135" s="50"/>
      <c r="U135" s="50"/>
      <c r="V135" s="50"/>
      <c r="W135" s="50"/>
      <c r="X135" s="50"/>
    </row>
    <row r="136" spans="1:25" s="7" customFormat="1" ht="18" customHeight="1">
      <c r="A136" s="5"/>
      <c r="B136" s="5"/>
      <c r="C136" s="5"/>
      <c r="D136" s="5"/>
      <c r="E136" s="5"/>
      <c r="F136" s="5"/>
      <c r="G136" s="6"/>
      <c r="H136" s="7" t="s">
        <v>11373</v>
      </c>
      <c r="I136" s="28" t="str">
        <f>IF(cst_LIST_BOX_link_cell=1,cst_owner_all__space_space_sama,cst_owner1__space_sama)</f>
        <v>フジ住宅株式会社  代表取締役社長  宮脇　宣綱　様</v>
      </c>
      <c r="N136" s="50"/>
      <c r="O136" s="50"/>
      <c r="P136" s="50"/>
      <c r="Q136" s="50"/>
      <c r="R136" s="50"/>
      <c r="S136" s="50"/>
      <c r="T136" s="50"/>
      <c r="U136" s="50"/>
      <c r="V136" s="50"/>
      <c r="W136" s="50"/>
      <c r="X136" s="50"/>
    </row>
    <row r="137" spans="1:25" s="7" customFormat="1" ht="18" customHeight="1">
      <c r="A137" s="5"/>
      <c r="B137" s="5" t="s">
        <v>3299</v>
      </c>
      <c r="C137" s="5"/>
      <c r="D137" s="5"/>
      <c r="E137" s="5"/>
      <c r="F137" s="5"/>
      <c r="G137" s="6"/>
      <c r="H137" s="7" t="s">
        <v>10037</v>
      </c>
      <c r="I137" s="28" t="str">
        <f>IF(cst_LIST_BOX_link_cell=1,"","他の建築主　"&amp;cst_owner_count&amp;"　名")</f>
        <v/>
      </c>
      <c r="N137" s="50"/>
      <c r="O137" s="50"/>
      <c r="P137" s="50"/>
      <c r="Q137" s="50"/>
      <c r="R137" s="50"/>
      <c r="S137" s="50"/>
      <c r="T137" s="50"/>
      <c r="U137" s="50"/>
      <c r="V137" s="50"/>
      <c r="W137" s="50"/>
      <c r="X137" s="50"/>
    </row>
    <row r="138" spans="1:25" s="7" customFormat="1" ht="18" customHeight="1">
      <c r="A138" s="5"/>
      <c r="B138" s="5"/>
      <c r="C138" s="5"/>
      <c r="D138" s="5"/>
      <c r="E138" s="5"/>
      <c r="F138" s="5"/>
      <c r="G138" s="6"/>
      <c r="I138" s="49"/>
      <c r="O138" s="50"/>
      <c r="P138" s="50"/>
      <c r="Q138" s="50"/>
      <c r="R138" s="50"/>
      <c r="S138" s="50"/>
      <c r="T138" s="50"/>
      <c r="U138" s="50"/>
      <c r="V138" s="50"/>
      <c r="W138" s="50"/>
      <c r="X138" s="50"/>
      <c r="Y138" s="50"/>
    </row>
    <row r="139" spans="1:25" s="7" customFormat="1" ht="18" customHeight="1">
      <c r="A139" s="5"/>
      <c r="B139" s="5"/>
      <c r="C139" s="5"/>
      <c r="D139" s="5"/>
      <c r="E139" s="5"/>
      <c r="F139" s="5"/>
      <c r="G139" s="6"/>
      <c r="I139" s="49"/>
      <c r="O139" s="50"/>
      <c r="P139" s="50"/>
      <c r="Q139" s="50"/>
      <c r="R139" s="50"/>
      <c r="S139" s="50"/>
      <c r="T139" s="50"/>
      <c r="U139" s="50"/>
      <c r="V139" s="50"/>
      <c r="W139" s="50"/>
      <c r="X139" s="50"/>
      <c r="Y139" s="50"/>
    </row>
    <row r="140" spans="1:25" ht="18" customHeight="1">
      <c r="A140" s="441" t="s">
        <v>11595</v>
      </c>
      <c r="B140" s="441"/>
      <c r="C140" s="441"/>
      <c r="D140" s="441"/>
      <c r="E140" s="441"/>
      <c r="F140" s="441"/>
      <c r="G140" s="441"/>
    </row>
    <row r="141" spans="1:25" s="7" customFormat="1" ht="18" customHeight="1">
      <c r="A141" s="5"/>
      <c r="B141" s="5"/>
      <c r="C141" s="5"/>
      <c r="D141" s="5"/>
      <c r="E141" s="5"/>
      <c r="F141" s="5"/>
      <c r="G141" s="6"/>
      <c r="I141" s="49"/>
      <c r="O141" s="50"/>
      <c r="P141" s="50"/>
      <c r="Q141" s="50"/>
      <c r="R141" s="50"/>
      <c r="S141" s="50"/>
      <c r="T141" s="50"/>
      <c r="U141" s="50"/>
      <c r="V141" s="50"/>
      <c r="W141" s="50"/>
      <c r="X141" s="50"/>
      <c r="Y141" s="50"/>
    </row>
    <row r="142" spans="1:25" ht="18" customHeight="1">
      <c r="B142" s="52" t="s">
        <v>11596</v>
      </c>
      <c r="H142" s="52" t="s">
        <v>11598</v>
      </c>
      <c r="I142" s="535" t="str">
        <f ca="1">IF(cst_shinsei_HIKIUKE_DATE="","１．※受付年月日：　"&amp;TEXT(TODAY(),"ggg"),"１．※受付年月日：　"&amp;TEXT(cst_shinsei_HIKIUKE_DATE,"ggg"))</f>
        <v>１．※受付年月日：　令和</v>
      </c>
      <c r="J142" s="552" t="s">
        <v>11594</v>
      </c>
      <c r="K142" s="535" t="str">
        <f ca="1">"１．※受付年月日：　"&amp;IF(shinsei_HIKIUKE_DATE="",IF(TODAY()&lt;=43585,TEXT(TODAY(),"ggg"),"令和"),IF(shinsei_HIKIUKE_DATE&lt;=43585,TEXT(shinsei_HIKIUKE_DATE,"ggg"),"令和"))</f>
        <v>１．※受付年月日：　令和</v>
      </c>
    </row>
    <row r="143" spans="1:25" ht="18" customHeight="1">
      <c r="H143" s="52" t="s">
        <v>11599</v>
      </c>
      <c r="I143" s="535" t="str">
        <f>DBCS(TEXT(cst_shinsei_HIKIUKE_DATE,"e"))</f>
        <v>３</v>
      </c>
      <c r="J143" s="552" t="s">
        <v>11594</v>
      </c>
      <c r="K143" s="535" t="str">
        <f>IF(shinsei_HIKIUKE_DATE="","",IF(shinsei_HIKIUKE_DATE&lt;=43585,DBCS(TEXT(shinsei_HIKIUKE_DATE,"e")),DBCS(YEAR(shinsei_HIKIUKE_DATE)-2018)))</f>
        <v>３</v>
      </c>
    </row>
    <row r="144" spans="1:25" ht="18" customHeight="1">
      <c r="B144" s="52" t="s">
        <v>11597</v>
      </c>
      <c r="H144" s="52" t="s">
        <v>11600</v>
      </c>
      <c r="I144" s="535" t="str">
        <f ca="1">IF(cst_shinsei_HIKIUKE_KAKU_KOUFU_YOTEI_DATE="","３．※確認予定日：　"&amp;TEXT(TODAY(),"ggg"),"３．※確認予定日：　"&amp;TEXT(cst_shinsei_HIKIUKE_KAKU_KOUFU_YOTEI_DATE,"ggg"))</f>
        <v>３．※確認予定日：　令和</v>
      </c>
      <c r="J144" s="552" t="s">
        <v>11594</v>
      </c>
      <c r="K144" s="535" t="str">
        <f ca="1">"３．※確認予定日：　"&amp;IF(shinsei_HIKIUKE_KAKU_KOUFU_YOTEI_DATE="",IF(TODAY()&lt;=43585,TEXT(TODAY(),"ggg"),"令和"),IF(shinsei_HIKIUKE_KAKU_KOUFU_YOTEI_DATE&lt;=43585,TEXT(shinsei_HIKIUKE_KAKU_KOUFU_YOTEI_DATE,"ggg"),"令和"))</f>
        <v>３．※確認予定日：　令和</v>
      </c>
    </row>
    <row r="145" spans="1:11" ht="18" customHeight="1">
      <c r="H145" s="52" t="s">
        <v>11601</v>
      </c>
      <c r="I145" s="535" t="str">
        <f>DBCS(TEXT(cst_shinsei_HIKIUKE_KAKU_KOUFU_YOTEI_DATE,"e"))</f>
        <v/>
      </c>
      <c r="J145" s="552" t="s">
        <v>11594</v>
      </c>
      <c r="K145" s="535" t="str">
        <f>IF(shinsei_HIKIUKE_KAKU_KOUFU_YOTEI_DATE="","",IF(shinsei_HIKIUKE_KAKU_KOUFU_YOTEI_DATE&lt;=43585,DBCS(TEXT(shinsei_HIKIUKE_KAKU_KOUFU_YOTEI_DATE,"e")),DBCS(YEAR(shinsei_HIKIUKE_KAKU_KOUFU_YOTEI_DATE)-2018)))</f>
        <v/>
      </c>
    </row>
    <row r="148" spans="1:11" s="558" customFormat="1" ht="18" customHeight="1">
      <c r="A148" s="441" t="s">
        <v>11660</v>
      </c>
      <c r="B148" s="441"/>
      <c r="C148" s="441"/>
      <c r="D148" s="441"/>
      <c r="E148" s="441"/>
      <c r="F148" s="441"/>
      <c r="G148" s="441"/>
    </row>
    <row r="149" spans="1:11" s="558" customFormat="1" ht="18" customHeight="1"/>
    <row r="150" spans="1:11" s="558" customFormat="1" ht="18" customHeight="1">
      <c r="A150" s="558" t="s">
        <v>11659</v>
      </c>
      <c r="H150" s="559" t="s">
        <v>11663</v>
      </c>
      <c r="I150" s="28" t="str">
        <f>IF(don_OFFICE__code_CIAS=1,"令和　　年　　月　　日","")</f>
        <v/>
      </c>
    </row>
    <row r="151" spans="1:11" s="558" customFormat="1" ht="18" customHeight="1">
      <c r="A151" s="559" t="s">
        <v>11664</v>
      </c>
      <c r="H151" s="559" t="s">
        <v>11665</v>
      </c>
      <c r="I151" s="28" t="s">
        <v>11666</v>
      </c>
    </row>
    <row r="152" spans="1:11" s="558" customFormat="1" ht="18" customHeight="1"/>
    <row r="153" spans="1:11" s="559" customFormat="1" ht="18" customHeight="1"/>
    <row r="154" spans="1:11" ht="18" customHeight="1">
      <c r="A154" s="441" t="s">
        <v>10683</v>
      </c>
      <c r="B154" s="441"/>
      <c r="C154" s="441"/>
      <c r="D154" s="441"/>
      <c r="E154" s="441"/>
      <c r="F154" s="441"/>
      <c r="G154" s="441"/>
    </row>
    <row r="156" spans="1:11" ht="18" customHeight="1">
      <c r="A156" s="52" t="s">
        <v>10684</v>
      </c>
      <c r="H156" s="52" t="s">
        <v>10685</v>
      </c>
      <c r="I156" s="28" t="str">
        <f>IF(don_OFFICE__code_CIAS=1,"文書事務部","担当者：")</f>
        <v>担当者：</v>
      </c>
    </row>
    <row r="158" spans="1:11" s="558" customFormat="1" ht="18" customHeight="1"/>
    <row r="159" spans="1:11" ht="18" customHeight="1">
      <c r="A159" s="441" t="s">
        <v>11143</v>
      </c>
      <c r="B159" s="441"/>
      <c r="C159" s="441"/>
      <c r="D159" s="441"/>
      <c r="E159" s="441"/>
      <c r="F159" s="441"/>
      <c r="G159" s="441"/>
    </row>
    <row r="160" spans="1:11" ht="18" customHeight="1">
      <c r="A160" s="52" t="s">
        <v>11145</v>
      </c>
    </row>
    <row r="161" spans="1:10" ht="18" customHeight="1">
      <c r="E161" s="52" t="s">
        <v>11144</v>
      </c>
      <c r="H161" s="52" t="s">
        <v>11146</v>
      </c>
      <c r="I161" s="28" t="str">
        <f>IF(cst_shinsei__NOTIFY_USER=cst_shinsei_KOUZOU_ROUTE2_KENSA_USER_ID,"",cst_shinsei_KOUZOU_ROUTE2_KENSA_USER_ID)</f>
        <v/>
      </c>
    </row>
    <row r="163" spans="1:10" ht="18" customHeight="1">
      <c r="A163" s="441" t="s">
        <v>11133</v>
      </c>
      <c r="B163" s="441"/>
      <c r="C163" s="441"/>
      <c r="D163" s="441"/>
      <c r="E163" s="441"/>
      <c r="F163" s="441"/>
      <c r="G163" s="441"/>
    </row>
    <row r="165" spans="1:10" ht="18" customHeight="1">
      <c r="E165" s="52" t="s">
        <v>11129</v>
      </c>
      <c r="H165" s="52" t="s">
        <v>11130</v>
      </c>
      <c r="I165" s="518">
        <f>IF(shinsei_KOUZOU_ROUTE2=1,"",1)</f>
        <v>1</v>
      </c>
    </row>
    <row r="166" spans="1:10" ht="18" customHeight="1">
      <c r="E166" s="52" t="s">
        <v>11132</v>
      </c>
      <c r="H166" s="52" t="s">
        <v>11131</v>
      </c>
      <c r="I166" s="518">
        <f>IF(shinsei_KOUZOU_ROUTE2=1,"",1)</f>
        <v>1</v>
      </c>
    </row>
    <row r="168" spans="1:10" ht="18" customHeight="1">
      <c r="A168" s="511" t="s">
        <v>11230</v>
      </c>
      <c r="B168" s="524"/>
      <c r="C168" s="524"/>
      <c r="D168" s="524"/>
      <c r="E168" s="524"/>
      <c r="F168" s="524"/>
      <c r="G168" s="524"/>
      <c r="H168" s="1"/>
      <c r="I168" s="1"/>
      <c r="J168" s="1"/>
    </row>
    <row r="169" spans="1:10" ht="18" customHeight="1">
      <c r="A169" s="1"/>
      <c r="B169" s="1" t="s">
        <v>11231</v>
      </c>
      <c r="C169" s="1"/>
      <c r="D169" s="1"/>
      <c r="E169" s="1"/>
      <c r="F169" s="1"/>
      <c r="G169" s="1"/>
      <c r="H169" s="1"/>
      <c r="I169" s="1"/>
      <c r="J169" s="1"/>
    </row>
    <row r="170" spans="1:10" ht="18" customHeight="1">
      <c r="A170" s="1"/>
      <c r="B170" s="1"/>
      <c r="C170" s="1"/>
      <c r="D170" s="1"/>
      <c r="E170" s="1"/>
      <c r="F170" s="1"/>
      <c r="G170" s="1"/>
      <c r="H170" s="1" t="s">
        <v>11232</v>
      </c>
      <c r="I170" s="524" t="str">
        <f>IF(cst__button_kind="","1604ge",IF(cst_shinsei_xx_NOTIFY_DATE="","1604ge",IF(cst_shinsei_xx_NOTIFY_DATE&gt;=DATE(2016,4,1),"1604ge",flg_NOTIFY_DATE__1506)))</f>
        <v>1604ge</v>
      </c>
      <c r="J170" s="1" t="s">
        <v>11233</v>
      </c>
    </row>
    <row r="171" spans="1:10" ht="18" customHeight="1">
      <c r="A171" s="1"/>
      <c r="B171" s="1"/>
      <c r="C171" s="1"/>
      <c r="D171" s="1"/>
      <c r="E171" s="1"/>
      <c r="F171" s="1"/>
      <c r="G171" s="1"/>
      <c r="H171" s="1" t="s">
        <v>11234</v>
      </c>
      <c r="I171" s="1" t="str">
        <f ca="1">IF(AND(cst_shinsei_xx_NOTIFY_DATE&lt;DATE(2016,4,1),cst_shinsei_xx_NOTIFY_DATE&gt;=DATE(2015,6,1)),"1506ge","1506le")</f>
        <v>1506le</v>
      </c>
      <c r="J171" s="1" t="s">
        <v>11235</v>
      </c>
    </row>
    <row r="173" spans="1:10" ht="18" customHeight="1">
      <c r="A173" s="525" t="s">
        <v>11236</v>
      </c>
      <c r="B173" s="525"/>
      <c r="C173" s="525"/>
      <c r="D173" s="525"/>
      <c r="E173" s="525"/>
      <c r="F173" s="525"/>
      <c r="G173" s="525"/>
      <c r="H173" s="525"/>
      <c r="I173" s="525"/>
    </row>
    <row r="174" spans="1:10" ht="18" customHeight="1">
      <c r="A174" s="526"/>
      <c r="B174" s="526" t="s">
        <v>11237</v>
      </c>
      <c r="C174" s="526"/>
      <c r="D174" s="526"/>
      <c r="E174" s="526"/>
      <c r="F174" s="526" t="s">
        <v>11238</v>
      </c>
      <c r="G174" s="526"/>
      <c r="H174" s="526"/>
      <c r="I174" s="526"/>
    </row>
    <row r="175" spans="1:10" ht="18" customHeight="1">
      <c r="A175" s="526"/>
      <c r="B175" s="526"/>
      <c r="C175" s="526"/>
      <c r="D175" s="526"/>
      <c r="E175" s="526"/>
      <c r="F175" s="526"/>
      <c r="G175" s="1"/>
      <c r="H175" s="526" t="s">
        <v>11239</v>
      </c>
      <c r="I175" s="527" t="str">
        <f>IF(flg_NOTIFY_DATE="1506le",cst_NOTIFY_DATE_Keteidekinai_jouban_1506le,cst_NOTIFY_DATE_Keteidekinai_jouban_1506ge)</f>
        <v>建築基準法第６条の２第４項の規定による</v>
      </c>
    </row>
    <row r="176" spans="1:10" ht="18" customHeight="1">
      <c r="A176" s="526"/>
      <c r="B176" s="526"/>
      <c r="C176" s="526"/>
      <c r="D176" s="526"/>
      <c r="E176" s="526"/>
      <c r="F176" s="526"/>
      <c r="G176" s="1"/>
      <c r="H176" s="526"/>
      <c r="I176" s="526"/>
    </row>
    <row r="177" spans="1:9" ht="18" customHeight="1">
      <c r="A177" s="526"/>
      <c r="B177" s="526"/>
      <c r="C177" s="526"/>
      <c r="D177" s="526"/>
      <c r="E177" s="526"/>
      <c r="F177" s="526"/>
      <c r="G177" s="1"/>
      <c r="H177" s="526" t="s">
        <v>11240</v>
      </c>
      <c r="I177" s="526"/>
    </row>
    <row r="178" spans="1:9" ht="18" customHeight="1">
      <c r="A178" s="526"/>
      <c r="B178" s="526"/>
      <c r="C178" s="526"/>
      <c r="D178" s="526"/>
      <c r="E178" s="526"/>
      <c r="F178" s="526"/>
      <c r="G178" s="1"/>
      <c r="H178" s="526" t="s">
        <v>11241</v>
      </c>
      <c r="I178" s="528" t="s">
        <v>11242</v>
      </c>
    </row>
    <row r="179" spans="1:9" ht="18" customHeight="1">
      <c r="A179" s="526"/>
      <c r="B179" s="526"/>
      <c r="C179" s="526"/>
      <c r="D179" s="526"/>
      <c r="E179" s="526"/>
      <c r="F179" s="526"/>
      <c r="G179" s="1"/>
      <c r="H179" s="526" t="s">
        <v>11243</v>
      </c>
      <c r="I179" s="526"/>
    </row>
    <row r="180" spans="1:9" ht="18" customHeight="1">
      <c r="A180" s="526"/>
      <c r="B180" s="526"/>
      <c r="C180" s="526"/>
      <c r="D180" s="526"/>
      <c r="E180" s="526"/>
      <c r="F180" s="526"/>
      <c r="G180" s="1"/>
      <c r="H180" s="526" t="s">
        <v>11244</v>
      </c>
      <c r="I180" s="528" t="s">
        <v>11245</v>
      </c>
    </row>
    <row r="181" spans="1:9" ht="18" customHeight="1">
      <c r="A181" s="526"/>
      <c r="B181" s="526"/>
      <c r="C181" s="526"/>
      <c r="D181" s="526"/>
      <c r="E181" s="526"/>
      <c r="F181" s="526"/>
      <c r="G181" s="1"/>
      <c r="H181" s="526"/>
      <c r="I181" s="526"/>
    </row>
    <row r="182" spans="1:9" ht="18" customHeight="1">
      <c r="A182" s="526"/>
      <c r="B182" s="526"/>
      <c r="C182" s="526"/>
      <c r="D182" s="526"/>
      <c r="E182" s="526"/>
      <c r="F182" s="526" t="s">
        <v>11246</v>
      </c>
      <c r="G182" s="1"/>
      <c r="H182" s="526"/>
      <c r="I182" s="526"/>
    </row>
    <row r="183" spans="1:9" ht="18" customHeight="1">
      <c r="A183" s="526"/>
      <c r="B183" s="526"/>
      <c r="C183" s="526"/>
      <c r="D183" s="526"/>
      <c r="E183" s="526"/>
      <c r="F183" s="526"/>
      <c r="G183" s="1"/>
      <c r="H183" s="526" t="s">
        <v>11247</v>
      </c>
      <c r="I183" s="527" t="str">
        <f>IF(flg_NOTIFY_DATE="1506le",cst_NOTIFY_DATE_Keteidekinai_mongon_1506le,cst_NOTIFY_DATE_Keteidekinai_mongon_1506ge)</f>
        <v>　下記による確認申請書は、下記の理由により建築基準法第６条第１項（同法第６条の４第１項の規定により読み替えて適用される同法第６条第１項）の建築基準関係規定に適合するかどうかを決定することができないので、同法第6条の2第4項（同法第87条第1項、第87条の4又は第88条第1項若しくは第2項において準用する場合を含む。）の規定により通知します。
　</v>
      </c>
    </row>
    <row r="184" spans="1:9" ht="18" customHeight="1">
      <c r="A184" s="526"/>
      <c r="B184" s="526"/>
      <c r="C184" s="526"/>
      <c r="D184" s="526"/>
      <c r="E184" s="526"/>
      <c r="F184" s="526"/>
      <c r="G184" s="1"/>
      <c r="H184" s="526"/>
      <c r="I184" s="526"/>
    </row>
    <row r="185" spans="1:9" ht="18" customHeight="1">
      <c r="A185" s="526"/>
      <c r="B185" s="526"/>
      <c r="C185" s="526"/>
      <c r="D185" s="526"/>
      <c r="E185" s="526"/>
      <c r="F185" s="526"/>
      <c r="G185" s="1"/>
      <c r="H185" s="526" t="s">
        <v>11248</v>
      </c>
      <c r="I185" s="526"/>
    </row>
    <row r="186" spans="1:9" ht="18" customHeight="1">
      <c r="A186" s="526"/>
      <c r="B186" s="526"/>
      <c r="C186" s="526"/>
      <c r="D186" s="526"/>
      <c r="E186" s="526"/>
      <c r="F186" s="526"/>
      <c r="G186" s="1"/>
      <c r="H186" s="526" t="s">
        <v>11249</v>
      </c>
      <c r="I186" s="528" t="s">
        <v>11260</v>
      </c>
    </row>
    <row r="187" spans="1:9" ht="18" customHeight="1">
      <c r="A187" s="526"/>
      <c r="B187" s="526"/>
      <c r="C187" s="526"/>
      <c r="D187" s="526"/>
      <c r="E187" s="526"/>
      <c r="F187" s="526"/>
      <c r="G187" s="1"/>
      <c r="H187" s="526" t="s">
        <v>11250</v>
      </c>
      <c r="I187" s="526"/>
    </row>
    <row r="188" spans="1:9" ht="18" customHeight="1">
      <c r="A188" s="526"/>
      <c r="B188" s="526"/>
      <c r="C188" s="526"/>
      <c r="D188" s="526"/>
      <c r="E188" s="526"/>
      <c r="F188" s="526"/>
      <c r="G188" s="1"/>
      <c r="H188" s="526" t="s">
        <v>11251</v>
      </c>
      <c r="I188" s="554" t="s">
        <v>11610</v>
      </c>
    </row>
    <row r="189" spans="1:9" ht="18" customHeight="1">
      <c r="A189" s="526"/>
      <c r="B189" s="526"/>
      <c r="C189" s="526"/>
      <c r="D189" s="526"/>
      <c r="E189" s="526"/>
      <c r="F189" s="526"/>
      <c r="G189" s="526"/>
      <c r="H189" s="526"/>
      <c r="I189" s="526"/>
    </row>
    <row r="190" spans="1:9" ht="18" customHeight="1">
      <c r="A190" s="525" t="s">
        <v>11252</v>
      </c>
      <c r="B190" s="525"/>
      <c r="C190" s="525"/>
      <c r="D190" s="525"/>
      <c r="E190" s="525"/>
      <c r="F190" s="525"/>
      <c r="G190" s="525"/>
      <c r="H190" s="525"/>
      <c r="I190" s="525"/>
    </row>
    <row r="191" spans="1:9" ht="18" customHeight="1">
      <c r="A191" s="526"/>
      <c r="B191" s="526" t="s">
        <v>11237</v>
      </c>
      <c r="C191" s="526"/>
      <c r="D191" s="526"/>
      <c r="E191" s="526"/>
      <c r="F191" s="526" t="s">
        <v>11238</v>
      </c>
      <c r="G191" s="526"/>
      <c r="H191" s="526"/>
      <c r="I191" s="526"/>
    </row>
    <row r="192" spans="1:9" ht="18" customHeight="1">
      <c r="A192" s="526"/>
      <c r="B192" s="526"/>
      <c r="C192" s="526"/>
      <c r="D192" s="526"/>
      <c r="E192" s="526"/>
      <c r="F192" s="526"/>
      <c r="G192" s="1"/>
      <c r="H192" s="526" t="s">
        <v>11253</v>
      </c>
      <c r="I192" s="527" t="str">
        <f>IF(flg_NOTIFY_DATE="1506le",cst_NOTIFY_DATE_Tekigousinai_jouban_1506le,cst_NOTIFY_DATE_Tekigousinai_jouban_1506ge)</f>
        <v>建築基準法第６条の２第４項の規定による</v>
      </c>
    </row>
    <row r="193" spans="1:9" ht="18" customHeight="1">
      <c r="A193" s="526"/>
      <c r="B193" s="526"/>
      <c r="C193" s="526"/>
      <c r="D193" s="526"/>
      <c r="E193" s="526"/>
      <c r="F193" s="526"/>
      <c r="G193" s="1"/>
      <c r="H193" s="526"/>
      <c r="I193" s="526"/>
    </row>
    <row r="194" spans="1:9" ht="18" customHeight="1">
      <c r="A194" s="526"/>
      <c r="B194" s="526"/>
      <c r="C194" s="526"/>
      <c r="D194" s="526"/>
      <c r="E194" s="526"/>
      <c r="F194" s="526"/>
      <c r="G194" s="1"/>
      <c r="H194" s="526" t="s">
        <v>11240</v>
      </c>
      <c r="I194" s="526"/>
    </row>
    <row r="195" spans="1:9" ht="18" customHeight="1">
      <c r="A195" s="526"/>
      <c r="B195" s="526"/>
      <c r="C195" s="526"/>
      <c r="D195" s="526"/>
      <c r="E195" s="526"/>
      <c r="F195" s="526"/>
      <c r="G195" s="1"/>
      <c r="H195" s="526" t="s">
        <v>11254</v>
      </c>
      <c r="I195" s="528" t="s">
        <v>11242</v>
      </c>
    </row>
    <row r="196" spans="1:9" ht="18" customHeight="1">
      <c r="A196" s="526"/>
      <c r="B196" s="526"/>
      <c r="C196" s="526"/>
      <c r="D196" s="526"/>
      <c r="E196" s="526"/>
      <c r="F196" s="526"/>
      <c r="G196" s="1"/>
      <c r="H196" s="526" t="s">
        <v>11243</v>
      </c>
      <c r="I196" s="526"/>
    </row>
    <row r="197" spans="1:9" ht="18" customHeight="1">
      <c r="A197" s="526"/>
      <c r="B197" s="526"/>
      <c r="C197" s="526"/>
      <c r="D197" s="526"/>
      <c r="E197" s="526"/>
      <c r="F197" s="526"/>
      <c r="G197" s="1"/>
      <c r="H197" s="526" t="s">
        <v>11255</v>
      </c>
      <c r="I197" s="528" t="s">
        <v>11245</v>
      </c>
    </row>
    <row r="198" spans="1:9" ht="18" customHeight="1">
      <c r="A198" s="526"/>
      <c r="B198" s="526"/>
      <c r="C198" s="526"/>
      <c r="D198" s="526"/>
      <c r="E198" s="526"/>
      <c r="F198" s="526"/>
      <c r="G198" s="1"/>
      <c r="H198" s="526"/>
      <c r="I198" s="526"/>
    </row>
    <row r="199" spans="1:9" ht="18" customHeight="1">
      <c r="A199" s="526"/>
      <c r="B199" s="526"/>
      <c r="C199" s="526"/>
      <c r="D199" s="526"/>
      <c r="E199" s="526"/>
      <c r="F199" s="526" t="s">
        <v>11246</v>
      </c>
      <c r="G199" s="1"/>
      <c r="H199" s="526"/>
      <c r="I199" s="526"/>
    </row>
    <row r="200" spans="1:9" ht="18" customHeight="1">
      <c r="A200" s="526"/>
      <c r="B200" s="526"/>
      <c r="C200" s="526"/>
      <c r="D200" s="526"/>
      <c r="E200" s="526"/>
      <c r="F200" s="526"/>
      <c r="G200" s="1"/>
      <c r="H200" s="526" t="s">
        <v>11256</v>
      </c>
      <c r="I200" s="527" t="str">
        <f>IF(flg_NOTIFY_DATE="1506le",cst_NOTIFY_DATE_Tekigousinai_mongon_1506le,cst_NOTIFY_DATE_Tekigousinai_mongon_1506ge)</f>
        <v>　別添の確認申請書及び添付図書に記載の計画は、下記の理由により建築基準法第6条第1項（同法第6条の4第1項の規定により読み替えて適用される同法第6条第1項）の建築基準関係規定に適合しないことを認めましたので、同条第4項（同法第87条第1項、第87条の4又は第88条第1項若しくは第2項において準用する場合を含む。）の規定により通知します。　</v>
      </c>
    </row>
    <row r="201" spans="1:9" ht="18" customHeight="1">
      <c r="A201" s="526"/>
      <c r="B201" s="526"/>
      <c r="C201" s="526"/>
      <c r="D201" s="526"/>
      <c r="E201" s="526"/>
      <c r="F201" s="526"/>
      <c r="G201" s="1"/>
      <c r="H201" s="526"/>
      <c r="I201" s="526"/>
    </row>
    <row r="202" spans="1:9" ht="18" customHeight="1">
      <c r="A202" s="526"/>
      <c r="B202" s="526"/>
      <c r="C202" s="526"/>
      <c r="D202" s="526"/>
      <c r="E202" s="526"/>
      <c r="F202" s="526"/>
      <c r="G202" s="1"/>
      <c r="H202" s="526" t="s">
        <v>11248</v>
      </c>
      <c r="I202" s="526"/>
    </row>
    <row r="203" spans="1:9" ht="18" customHeight="1">
      <c r="A203" s="526"/>
      <c r="B203" s="526"/>
      <c r="C203" s="526"/>
      <c r="D203" s="526"/>
      <c r="E203" s="526"/>
      <c r="F203" s="526"/>
      <c r="G203" s="1"/>
      <c r="H203" s="526" t="s">
        <v>11257</v>
      </c>
      <c r="I203" s="528" t="s">
        <v>11258</v>
      </c>
    </row>
    <row r="204" spans="1:9" ht="18" customHeight="1">
      <c r="A204" s="526"/>
      <c r="B204" s="526"/>
      <c r="C204" s="526"/>
      <c r="D204" s="526"/>
      <c r="E204" s="526"/>
      <c r="F204" s="526"/>
      <c r="G204" s="1"/>
      <c r="H204" s="526" t="s">
        <v>11250</v>
      </c>
      <c r="I204" s="526"/>
    </row>
    <row r="205" spans="1:9" ht="18" customHeight="1">
      <c r="A205" s="526"/>
      <c r="B205" s="526"/>
      <c r="C205" s="526"/>
      <c r="D205" s="526"/>
      <c r="E205" s="526"/>
      <c r="F205" s="526"/>
      <c r="G205" s="1"/>
      <c r="H205" s="526" t="s">
        <v>11259</v>
      </c>
      <c r="I205" s="528" t="s">
        <v>11611</v>
      </c>
    </row>
    <row r="208" spans="1:9" ht="18" customHeight="1">
      <c r="A208" s="441" t="s">
        <v>11317</v>
      </c>
      <c r="B208" s="441"/>
      <c r="C208" s="441"/>
      <c r="D208" s="441"/>
      <c r="E208" s="441"/>
      <c r="F208" s="441"/>
      <c r="G208" s="441"/>
    </row>
    <row r="210" spans="2:11" ht="18" customHeight="1">
      <c r="B210" s="52" t="s">
        <v>11318</v>
      </c>
      <c r="H210" s="52" t="s">
        <v>11327</v>
      </c>
      <c r="I210" s="518">
        <f>IF(OR(shinsei_build_KOUJI_ITEN="■",shinsei_build_KOUJI_YOUTOHENKOU="■",shinsei_build_KOUJI_DAI_MOYOUGAE="■"),1,0)</f>
        <v>0</v>
      </c>
      <c r="K210" s="52" t="s">
        <v>11319</v>
      </c>
    </row>
    <row r="211" spans="2:11" ht="18" customHeight="1">
      <c r="B211" s="52" t="s">
        <v>11324</v>
      </c>
      <c r="H211" s="52" t="s">
        <v>11325</v>
      </c>
    </row>
    <row r="213" spans="2:11" ht="18" customHeight="1">
      <c r="B213" s="52" t="s">
        <v>11322</v>
      </c>
    </row>
    <row r="214" spans="2:11" ht="18" customHeight="1">
      <c r="B214" s="52" t="s">
        <v>11321</v>
      </c>
      <c r="H214" s="52" t="s">
        <v>11328</v>
      </c>
      <c r="I214" s="532">
        <f>IF(AND(chek_shinsei_INSPECTION_TYPE_alter=0,chek_KOUJI_youto_iten_moyou=0),cst_shinsei__RECEIPT_PRICE_BASIC_CHARGE,"")</f>
        <v>76000</v>
      </c>
    </row>
    <row r="215" spans="2:11" ht="18" customHeight="1">
      <c r="B215" s="52" t="s">
        <v>11320</v>
      </c>
      <c r="H215" s="52" t="s">
        <v>11329</v>
      </c>
      <c r="I215" s="532" t="str">
        <f>IF(chek_shinsei_INSPECTION_TYPE_alter=1,cst_shinsei__RECEIPT_PRICE_BASIC_CHARGE,"")</f>
        <v/>
      </c>
    </row>
    <row r="216" spans="2:11" ht="18" customHeight="1">
      <c r="B216" s="52" t="s">
        <v>11323</v>
      </c>
      <c r="H216" s="52" t="s">
        <v>11330</v>
      </c>
      <c r="I216" s="532" t="str">
        <f>IF(AND(chek_shinsei_INSPECTION_TYPE_alter=0,chek_KOUJI_youto_iten_moyou=1),cst_shinsei__RECEIPT_PRICE_BASIC_CHARGE,"")</f>
        <v/>
      </c>
    </row>
    <row r="218" spans="2:11" ht="18" customHeight="1">
      <c r="B218" s="52" t="s">
        <v>11340</v>
      </c>
    </row>
    <row r="219" spans="2:11" ht="18" customHeight="1">
      <c r="H219" s="52" t="s">
        <v>11337</v>
      </c>
      <c r="I219" s="518">
        <f>IF(cst_shinsei_build_NOBE_MENSEKI_BILL_SHINSEI="","",IF(cst_shinsei_build_NOBE_MENSEKI_BILL_SHINSEI&gt;50000,2,IF(cst_shinsei_build_NOBE_MENSEKI_BILL_SHINSEI&lt;=50000,1,0)))</f>
        <v>1</v>
      </c>
      <c r="J219" s="52" t="s">
        <v>11338</v>
      </c>
    </row>
    <row r="221" spans="2:11" ht="18" customHeight="1">
      <c r="C221" s="52" t="s">
        <v>11332</v>
      </c>
      <c r="F221" s="52" t="s">
        <v>11335</v>
      </c>
      <c r="H221" s="52" t="s">
        <v>11336</v>
      </c>
      <c r="I221" s="533" t="str">
        <f>IF(cst_NOBE_MENSEKI_SHINSEI__erea=1,IF(search_CHARGE_DETAIL_fukusuutou&lt;&gt;"",search_CHARGE_DETAIL_fukusuutou_fee,""),"")</f>
        <v/>
      </c>
    </row>
    <row r="222" spans="2:11" ht="18" customHeight="1">
      <c r="C222" s="52" t="s">
        <v>11333</v>
      </c>
      <c r="F222" s="52" t="s">
        <v>11334</v>
      </c>
      <c r="H222" s="52" t="s">
        <v>11339</v>
      </c>
      <c r="I222" s="533" t="str">
        <f>IF(cst_NOBE_MENSEKI_SHINSEI__erea=2,IF(search_CHARGE_DETAIL_fukusuutou&lt;&gt;"",search_CHARGE_DETAIL_fukusuutou_fee,""),"")</f>
        <v/>
      </c>
    </row>
    <row r="224" spans="2:11" ht="18" customHeight="1">
      <c r="B224" s="52" t="s">
        <v>11341</v>
      </c>
      <c r="H224" s="52" t="s">
        <v>11342</v>
      </c>
      <c r="I224" s="518" t="str">
        <f>IF(search_CHARGE_DETAIL_hinananzen="","",search_CHARGE_DETAIL_hinananzen_fee)</f>
        <v/>
      </c>
    </row>
    <row r="225" spans="1:10" ht="18" customHeight="1">
      <c r="H225" s="9"/>
    </row>
    <row r="226" spans="1:10" s="640" customFormat="1" ht="18" customHeight="1">
      <c r="B226" s="640" t="s">
        <v>11719</v>
      </c>
      <c r="H226" s="640" t="s">
        <v>11720</v>
      </c>
      <c r="I226" s="518" t="str">
        <f>IF(search_CHARGE_DETAIL_waribiki="","",search_CHARGE_DETAIL_waribiki_fee)</f>
        <v/>
      </c>
    </row>
    <row r="227" spans="1:10" s="640" customFormat="1" ht="18" customHeight="1">
      <c r="E227" s="643" t="s">
        <v>11728</v>
      </c>
      <c r="H227" s="643" t="s">
        <v>11729</v>
      </c>
      <c r="I227" s="518" t="str">
        <f>IF(search_CHARGE_DETAIL_waribiki="","",search_CHARGE_DETAIL_waribiki_fee_plus)</f>
        <v/>
      </c>
    </row>
    <row r="228" spans="1:10" s="643" customFormat="1" ht="18" customHeight="1">
      <c r="H228" s="9"/>
    </row>
    <row r="229" spans="1:10" s="643" customFormat="1" ht="18" customHeight="1">
      <c r="H229" s="9"/>
    </row>
    <row r="230" spans="1:10" ht="18" customHeight="1">
      <c r="H230" s="9"/>
    </row>
    <row r="231" spans="1:10" ht="18" customHeight="1">
      <c r="A231" s="441" t="s">
        <v>11395</v>
      </c>
      <c r="B231" s="441"/>
      <c r="C231" s="441"/>
      <c r="D231" s="441"/>
      <c r="E231" s="441"/>
      <c r="F231" s="441"/>
      <c r="G231" s="441"/>
    </row>
    <row r="233" spans="1:10" ht="18" customHeight="1">
      <c r="H233" s="52" t="s">
        <v>11396</v>
      </c>
      <c r="I233" s="535" t="str">
        <f>IF(shinsei_CITY_ID__city="京都市",cst_shinsei_DOUI_kyoto_word__result,"")</f>
        <v/>
      </c>
    </row>
    <row r="234" spans="1:10" ht="18" customHeight="1">
      <c r="J234" s="547" t="str">
        <f>IF(shinsei_CITY_ID__city="京都市","留意事項：消防用設備等については、「消防用設備等又は特殊消防用設備等設置計画書」により審査しましたので、確認申請書に添付されている図面のうち消防用設備等の設置位置等については、消防同意の依頼対象外とします。","")</f>
        <v/>
      </c>
    </row>
    <row r="235" spans="1:10" ht="18" customHeight="1">
      <c r="H235" s="52" t="s">
        <v>11531</v>
      </c>
      <c r="I235" s="545"/>
    </row>
    <row r="236" spans="1:10" ht="18" customHeight="1">
      <c r="I236" s="545" t="s">
        <v>11527</v>
      </c>
    </row>
    <row r="237" spans="1:10" ht="18" customHeight="1">
      <c r="I237" s="545" t="s">
        <v>11528</v>
      </c>
    </row>
    <row r="238" spans="1:10" ht="18" customHeight="1">
      <c r="B238" s="52" t="s">
        <v>11546</v>
      </c>
      <c r="I238" s="545" t="str">
        <f>IF(shinsei_INSPECTION_TYPE="計画変更","ウ　計画変更の確認申請において、計画変更前に届け出られた設置計画書に一切の変更が生じない事から設置計画書の作成を省略する場合","")</f>
        <v/>
      </c>
    </row>
    <row r="239" spans="1:10" ht="18" customHeight="1">
      <c r="H239" s="52" t="s">
        <v>11532</v>
      </c>
      <c r="I239" s="546">
        <v>1</v>
      </c>
    </row>
    <row r="241" spans="2:9" ht="18" customHeight="1">
      <c r="H241" s="52" t="s">
        <v>11534</v>
      </c>
      <c r="I241" s="535" t="s">
        <v>11529</v>
      </c>
    </row>
    <row r="242" spans="2:9" ht="18" customHeight="1">
      <c r="H242" s="52" t="s">
        <v>11535</v>
      </c>
      <c r="I242" s="535" t="s">
        <v>11530</v>
      </c>
    </row>
    <row r="243" spans="2:9" ht="18" customHeight="1">
      <c r="B243" s="52" t="s">
        <v>11540</v>
      </c>
      <c r="H243" s="52" t="s">
        <v>11533</v>
      </c>
      <c r="I243" s="535" t="str">
        <f>IF(shinsei_INSPECTION_TYPE="計画変更","「消防用設備等又は特殊消防用設備等設置計画書」については、計画変更前の確認申請書に添付の「消防用設備等又は特殊消防用設備等設置計画書（ "&amp;cst_cyokuzen_shinsei_FIRE_SUBMIT_DATE__ge&amp;"年"&amp;cst_cyokuzen_shinsei_FIRE_SUBMIT_DATE__m&amp;"月"&amp;cst_cyokuzen_shinsei_FIRE_SUBMIT_DATE__d&amp;"日付け ）」から一切の変更がない旨の申請者の申告により、添付されていません。","")</f>
        <v/>
      </c>
    </row>
    <row r="245" spans="2:9" ht="18" customHeight="1">
      <c r="H245" s="52" t="s">
        <v>11536</v>
      </c>
      <c r="I245" s="535" t="str">
        <f ca="1">IF(cst_shinsei_DOUI_kyoto_word__link="","",IF(ISERROR(INDIRECT("cst_shinsei_DOUI_kyoto_word__"&amp;cst_shinsei_DOUI_kyoto_word__link)),"",INDIRECT("cst_shinsei_DOUI_kyoto_word__"&amp;cst_shinsei_DOUI_kyoto_word__link)))</f>
        <v/>
      </c>
    </row>
    <row r="247" spans="2:9" ht="18" customHeight="1">
      <c r="B247" s="52" t="s">
        <v>11547</v>
      </c>
      <c r="H247" s="52" t="s">
        <v>11539</v>
      </c>
      <c r="I247" s="535" t="str">
        <f>IF(shinsei_CITY_ID__city="京都市","京都市のため、その他に記載する文言をリストボックスから選択して下さい。","")</f>
        <v/>
      </c>
    </row>
  </sheetData>
  <mergeCells count="2">
    <mergeCell ref="I66:J66"/>
    <mergeCell ref="A70:E70"/>
  </mergeCells>
  <phoneticPr fontId="2"/>
  <hyperlinks>
    <hyperlink ref="F75" r:id="rId1" xr:uid="{00000000-0004-0000-06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Drop Down 1">
              <controlPr defaultSize="0" print="0" autoLine="0" autoPict="0">
                <anchor moveWithCells="1">
                  <from>
                    <xdr:col>5</xdr:col>
                    <xdr:colOff>47625</xdr:colOff>
                    <xdr:row>69</xdr:row>
                    <xdr:rowOff>0</xdr:rowOff>
                  </from>
                  <to>
                    <xdr:col>6</xdr:col>
                    <xdr:colOff>238125</xdr:colOff>
                    <xdr:row>69</xdr:row>
                    <xdr:rowOff>190500</xdr:rowOff>
                  </to>
                </anchor>
              </controlPr>
            </control>
          </mc:Choice>
        </mc:AlternateContent>
        <mc:AlternateContent xmlns:mc="http://schemas.openxmlformats.org/markup-compatibility/2006">
          <mc:Choice Requires="x14">
            <control shapeId="2050" r:id="rId6" name="Drop Down 2">
              <controlPr defaultSize="0" print="0" autoLine="0" autoPict="0">
                <anchor moveWithCells="1">
                  <from>
                    <xdr:col>7</xdr:col>
                    <xdr:colOff>9525</xdr:colOff>
                    <xdr:row>122</xdr:row>
                    <xdr:rowOff>19050</xdr:rowOff>
                  </from>
                  <to>
                    <xdr:col>7</xdr:col>
                    <xdr:colOff>1323975</xdr:colOff>
                    <xdr:row>122</xdr:row>
                    <xdr:rowOff>209550</xdr:rowOff>
                  </to>
                </anchor>
              </controlPr>
            </control>
          </mc:Choice>
        </mc:AlternateContent>
        <mc:AlternateContent xmlns:mc="http://schemas.openxmlformats.org/markup-compatibility/2006">
          <mc:Choice Requires="x14">
            <control shapeId="2051" r:id="rId7" name="Drop Down 3">
              <controlPr defaultSize="0" print="0" autoLine="0" autoPict="0">
                <anchor moveWithCells="1">
                  <from>
                    <xdr:col>9</xdr:col>
                    <xdr:colOff>57150</xdr:colOff>
                    <xdr:row>230</xdr:row>
                    <xdr:rowOff>76200</xdr:rowOff>
                  </from>
                  <to>
                    <xdr:col>11</xdr:col>
                    <xdr:colOff>676275</xdr:colOff>
                    <xdr:row>231</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rgb="FFFF99CC"/>
  </sheetPr>
  <dimension ref="A1:K521"/>
  <sheetViews>
    <sheetView topLeftCell="A52" zoomScale="90" zoomScaleNormal="90" workbookViewId="0">
      <selection activeCell="G82" sqref="G82"/>
    </sheetView>
  </sheetViews>
  <sheetFormatPr defaultRowHeight="18" customHeight="1"/>
  <cols>
    <col min="1" max="4" width="2.875" style="7" customWidth="1"/>
    <col min="5" max="5" width="22.25" style="7" customWidth="1"/>
    <col min="6" max="6" width="36.25" style="7" customWidth="1"/>
    <col min="7" max="7" width="18.25" style="7" customWidth="1"/>
    <col min="8" max="8" width="38.375" style="7" customWidth="1"/>
    <col min="9" max="9" width="15.125" style="7" customWidth="1"/>
    <col min="10" max="20" width="14.125" style="7" customWidth="1"/>
    <col min="21" max="16384" width="9" style="7"/>
  </cols>
  <sheetData>
    <row r="1" spans="1:11" ht="18" customHeight="1">
      <c r="A1" s="7" t="s">
        <v>2754</v>
      </c>
      <c r="J1" s="16" t="s">
        <v>2469</v>
      </c>
      <c r="K1" s="16"/>
    </row>
    <row r="2" spans="1:11" ht="18" customHeight="1">
      <c r="A2" s="7" t="s">
        <v>2755</v>
      </c>
      <c r="F2" s="7" t="s">
        <v>2756</v>
      </c>
      <c r="G2" s="7" t="s">
        <v>2757</v>
      </c>
      <c r="H2" s="7" t="s">
        <v>2758</v>
      </c>
      <c r="I2" s="7" t="s">
        <v>2759</v>
      </c>
      <c r="J2" s="16" t="s">
        <v>2470</v>
      </c>
      <c r="K2" s="16" t="s">
        <v>2471</v>
      </c>
    </row>
    <row r="5" spans="1:11" s="10" customFormat="1" ht="18" customHeight="1">
      <c r="A5" s="8" t="s">
        <v>2472</v>
      </c>
      <c r="B5" s="8"/>
      <c r="C5" s="8"/>
      <c r="D5" s="8"/>
      <c r="E5" s="8"/>
      <c r="F5" s="22"/>
      <c r="G5" s="22"/>
      <c r="H5" s="9"/>
      <c r="I5" s="9"/>
    </row>
    <row r="6" spans="1:11" s="10" customFormat="1" ht="18" customHeight="1">
      <c r="A6" s="9"/>
      <c r="B6" s="9"/>
      <c r="C6" s="9"/>
      <c r="D6" s="9"/>
      <c r="E6" s="9"/>
      <c r="F6" s="9"/>
      <c r="G6" s="9"/>
      <c r="H6" s="9"/>
      <c r="I6" s="9"/>
      <c r="J6" s="9"/>
    </row>
    <row r="7" spans="1:11" s="10" customFormat="1" ht="18" customHeight="1">
      <c r="B7" s="105" t="s">
        <v>2473</v>
      </c>
      <c r="C7" s="105"/>
      <c r="D7" s="105"/>
      <c r="E7" s="105"/>
      <c r="F7" s="105"/>
      <c r="G7" s="9"/>
    </row>
    <row r="8" spans="1:11" s="10" customFormat="1" ht="18" customHeight="1">
      <c r="A8" s="12"/>
      <c r="B8" s="12"/>
      <c r="C8" s="12"/>
      <c r="D8" s="12"/>
      <c r="E8" s="12"/>
      <c r="F8" s="9"/>
      <c r="G8" s="9"/>
      <c r="H8" s="9"/>
      <c r="I8" s="9"/>
    </row>
    <row r="9" spans="1:11" s="10" customFormat="1" ht="18" customHeight="1">
      <c r="C9" s="9" t="s">
        <v>2474</v>
      </c>
      <c r="D9" s="9"/>
      <c r="E9" s="9"/>
      <c r="F9" s="9" t="s">
        <v>1145</v>
      </c>
      <c r="G9" s="20"/>
      <c r="H9" s="9"/>
      <c r="I9" s="9"/>
      <c r="J9" s="9" t="s">
        <v>2475</v>
      </c>
    </row>
    <row r="10" spans="1:11" s="10" customFormat="1" ht="18" customHeight="1">
      <c r="C10" s="9" t="s">
        <v>2476</v>
      </c>
      <c r="D10" s="9"/>
      <c r="E10" s="9"/>
      <c r="F10" s="9" t="s">
        <v>639</v>
      </c>
      <c r="G10" s="126"/>
      <c r="H10" s="9" t="s">
        <v>2477</v>
      </c>
      <c r="I10" s="132" t="str">
        <f>IF(shinsei_CHARGE_ID__bill__date="","",shinsei_CHARGE_ID__bill__date)</f>
        <v/>
      </c>
      <c r="J10" s="9"/>
    </row>
    <row r="11" spans="1:11" s="10" customFormat="1" ht="18" customHeight="1">
      <c r="C11" s="9" t="s">
        <v>2478</v>
      </c>
      <c r="D11" s="9"/>
      <c r="E11" s="9"/>
      <c r="F11" s="9" t="s">
        <v>640</v>
      </c>
      <c r="G11" s="126">
        <v>44258</v>
      </c>
      <c r="H11" s="9" t="s">
        <v>2479</v>
      </c>
      <c r="I11" s="132">
        <f>IF(shinsei_CHARGE_ID__BASE_DATE="","",shinsei_CHARGE_ID__BASE_DATE)</f>
        <v>44258</v>
      </c>
      <c r="J11" s="9"/>
    </row>
    <row r="12" spans="1:11" s="10" customFormat="1" ht="18" customHeight="1">
      <c r="C12" s="9" t="s">
        <v>2480</v>
      </c>
      <c r="D12" s="9"/>
      <c r="E12" s="9"/>
      <c r="F12" s="9" t="s">
        <v>641</v>
      </c>
      <c r="G12" s="126">
        <v>44260</v>
      </c>
      <c r="H12" s="9" t="s">
        <v>2481</v>
      </c>
      <c r="I12" s="133">
        <f>IF(shinsei_CHARGE_ID__RECEIPT_DATE="",cst_DISP__date,shinsei_CHARGE_ID__RECEIPT_DATE)</f>
        <v>44260</v>
      </c>
      <c r="J12" s="9"/>
    </row>
    <row r="13" spans="1:11" s="10" customFormat="1" ht="18" customHeight="1">
      <c r="C13" s="9"/>
      <c r="D13" s="9"/>
      <c r="E13" s="9"/>
      <c r="F13" s="9"/>
      <c r="G13" s="126"/>
      <c r="H13" s="9" t="s">
        <v>2482</v>
      </c>
      <c r="I13" s="133">
        <f>IF(shinsei_CHARGE_ID__RECEIPT_DATE="","",shinsei_CHARGE_ID__RECEIPT_DATE)</f>
        <v>44260</v>
      </c>
      <c r="J13" s="9"/>
    </row>
    <row r="14" spans="1:11" s="10" customFormat="1" ht="18" customHeight="1">
      <c r="C14" s="9" t="s">
        <v>2483</v>
      </c>
      <c r="D14" s="9"/>
      <c r="E14" s="9"/>
      <c r="F14" s="9" t="s">
        <v>642</v>
      </c>
      <c r="G14" s="13" t="s">
        <v>11787</v>
      </c>
      <c r="H14" s="9" t="s">
        <v>2484</v>
      </c>
      <c r="I14" s="22" t="str">
        <f>IF(shinsei_CHARGE_ID__RECEIPT_TO="","  様",shinsei_CHARGE_ID__RECEIPT_TO&amp;"  様")</f>
        <v xml:space="preserve">  様</v>
      </c>
      <c r="J14" s="10" t="s">
        <v>2485</v>
      </c>
    </row>
    <row r="15" spans="1:11" s="10" customFormat="1" ht="18" customHeight="1">
      <c r="C15" s="9"/>
      <c r="D15" s="9"/>
      <c r="E15" s="9"/>
      <c r="F15" s="9"/>
      <c r="G15" s="13"/>
      <c r="H15" s="9" t="s">
        <v>2486</v>
      </c>
      <c r="I15" s="22" t="str">
        <f>IF(shinsei_CHARGE_ID__RECEIPT_TO="","",shinsei_CHARGE_ID__RECEIPT_TO)</f>
        <v/>
      </c>
    </row>
    <row r="16" spans="1:11" s="10" customFormat="1" ht="18" customHeight="1">
      <c r="C16" s="9" t="s">
        <v>2487</v>
      </c>
      <c r="D16" s="9"/>
      <c r="E16" s="9"/>
      <c r="F16" s="9" t="s">
        <v>643</v>
      </c>
      <c r="G16" s="13" t="s">
        <v>11787</v>
      </c>
      <c r="H16" s="9" t="s">
        <v>2488</v>
      </c>
      <c r="I16" s="19" t="str">
        <f>IF(shinsei_CHARGE_ID__DENPYOU_NO="","",shinsei_CHARGE_ID__DENPYOU_NO)</f>
        <v/>
      </c>
      <c r="J16" s="9"/>
    </row>
    <row r="17" spans="1:10" s="10" customFormat="1" ht="18" customHeight="1">
      <c r="C17" s="9" t="s">
        <v>2489</v>
      </c>
      <c r="D17" s="9"/>
      <c r="E17" s="9"/>
      <c r="F17" s="9"/>
      <c r="G17" s="9"/>
      <c r="H17" s="9"/>
      <c r="I17" s="9"/>
      <c r="J17" s="9"/>
    </row>
    <row r="18" spans="1:10" s="10" customFormat="1" ht="18" customHeight="1">
      <c r="C18" s="9"/>
      <c r="D18" s="9" t="s">
        <v>2490</v>
      </c>
      <c r="E18" s="9"/>
      <c r="F18" s="9" t="s">
        <v>644</v>
      </c>
      <c r="G18" s="20"/>
      <c r="H18" s="9" t="s">
        <v>2491</v>
      </c>
      <c r="I18" s="22" t="str">
        <f>IF(shinsei_CHARGE_ID__cust__zip="","",shinsei_CHARGE_ID__cust__zip)</f>
        <v/>
      </c>
      <c r="J18" s="9"/>
    </row>
    <row r="19" spans="1:10" s="10" customFormat="1" ht="18" customHeight="1">
      <c r="C19" s="9"/>
      <c r="D19" s="9" t="s">
        <v>2492</v>
      </c>
      <c r="E19" s="9"/>
      <c r="F19" s="9" t="s">
        <v>645</v>
      </c>
      <c r="G19" s="20"/>
      <c r="H19" s="9" t="s">
        <v>2493</v>
      </c>
      <c r="I19" s="22" t="str">
        <f>IF(shinsei_CHARGE_ID__cust__address="","",shinsei_CHARGE_ID__cust__address)</f>
        <v/>
      </c>
      <c r="J19" s="9"/>
    </row>
    <row r="20" spans="1:10" s="10" customFormat="1" ht="18" customHeight="1">
      <c r="C20" s="9"/>
      <c r="D20" s="9" t="s">
        <v>2494</v>
      </c>
      <c r="E20" s="9"/>
      <c r="F20" s="9" t="s">
        <v>646</v>
      </c>
      <c r="G20" s="20"/>
      <c r="H20" s="10" t="s">
        <v>2495</v>
      </c>
      <c r="I20" s="22" t="str">
        <f>IF(shinsei_CHARGE_ID__cust__caption="","",shinsei_CHARGE_ID__cust__caption)</f>
        <v/>
      </c>
      <c r="J20" s="9"/>
    </row>
    <row r="21" spans="1:10" s="10" customFormat="1" ht="18" customHeight="1">
      <c r="C21" s="9"/>
      <c r="D21" s="9" t="s">
        <v>2496</v>
      </c>
      <c r="E21" s="9"/>
      <c r="F21" s="9" t="s">
        <v>647</v>
      </c>
      <c r="G21" s="20"/>
      <c r="H21" s="9" t="s">
        <v>2497</v>
      </c>
      <c r="I21" s="22" t="str">
        <f>IF(shinsei_CHARGE_ID__cust__tel="","",shinsei_CHARGE_ID__cust__tel)</f>
        <v/>
      </c>
      <c r="J21" s="9"/>
    </row>
    <row r="22" spans="1:10" s="10" customFormat="1" ht="18" customHeight="1">
      <c r="C22" s="12" t="s">
        <v>2760</v>
      </c>
      <c r="D22" s="12"/>
      <c r="E22" s="12"/>
      <c r="F22" s="9" t="s">
        <v>648</v>
      </c>
      <c r="G22" s="13" t="s">
        <v>11822</v>
      </c>
      <c r="H22" s="9" t="s">
        <v>2498</v>
      </c>
      <c r="I22" s="22" t="str">
        <f>IF(shinsei_CHARGE_ID__NOTE="","",shinsei_CHARGE_ID__NOTE)</f>
        <v>領収済</v>
      </c>
      <c r="J22" s="10" t="s">
        <v>2770</v>
      </c>
    </row>
    <row r="23" spans="1:10" s="10" customFormat="1" ht="18" customHeight="1">
      <c r="A23" s="12"/>
      <c r="B23" s="12"/>
      <c r="C23" s="12"/>
      <c r="D23" s="12"/>
      <c r="E23" s="12"/>
      <c r="F23" s="9"/>
      <c r="G23" s="9"/>
      <c r="H23" s="9"/>
      <c r="I23" s="9"/>
    </row>
    <row r="24" spans="1:10" ht="18" customHeight="1">
      <c r="C24" s="9" t="s">
        <v>2499</v>
      </c>
      <c r="D24" s="9"/>
      <c r="E24" s="9"/>
      <c r="F24" s="9" t="s">
        <v>649</v>
      </c>
      <c r="G24" s="150">
        <v>76000</v>
      </c>
      <c r="H24" s="9" t="s">
        <v>2500</v>
      </c>
      <c r="I24" s="134">
        <f>IF(shinsei_CHARGE_ID__RECEIPT_PRICE="","",shinsei_CHARGE_ID__RECEIPT_PRICE)</f>
        <v>76000</v>
      </c>
    </row>
    <row r="25" spans="1:10" s="10" customFormat="1" ht="18" customHeight="1">
      <c r="A25" s="12"/>
      <c r="B25" s="12"/>
      <c r="C25" s="12"/>
      <c r="D25" s="12"/>
      <c r="E25" s="12"/>
      <c r="F25" s="9"/>
      <c r="G25" s="9"/>
      <c r="H25" s="9" t="s">
        <v>635</v>
      </c>
      <c r="I25" s="510" t="str">
        <f>IF(shinsei_CHARGE_ID__RECEIPT_PRICE="","",TEXT(shinsei_CHARGE_ID__RECEIPT_PRICE,"#,##0_ "))</f>
        <v xml:space="preserve">76,000 </v>
      </c>
    </row>
    <row r="26" spans="1:10" ht="18" customHeight="1">
      <c r="C26" s="12"/>
      <c r="D26" s="12"/>
      <c r="E26" s="12"/>
      <c r="F26" s="9"/>
      <c r="G26" s="9"/>
      <c r="H26" s="9" t="s">
        <v>2501</v>
      </c>
      <c r="I26" s="135" t="str">
        <f>IF(shinsei_CHARGE_ID__RECEIPT_PRICE="","円","円也")</f>
        <v>円也</v>
      </c>
      <c r="J26" s="7" t="s">
        <v>2502</v>
      </c>
    </row>
    <row r="27" spans="1:10" s="10" customFormat="1" ht="18" customHeight="1">
      <c r="A27" s="12"/>
      <c r="B27" s="12"/>
      <c r="C27" s="12"/>
      <c r="D27" s="12"/>
      <c r="E27" s="12"/>
      <c r="F27" s="9"/>
      <c r="G27" s="9"/>
      <c r="H27" s="9"/>
      <c r="I27" s="9"/>
    </row>
    <row r="28" spans="1:10" s="10" customFormat="1" ht="18" customHeight="1">
      <c r="C28" s="12" t="s">
        <v>10956</v>
      </c>
      <c r="D28" s="12"/>
      <c r="E28" s="12"/>
      <c r="F28" s="9" t="s">
        <v>1146</v>
      </c>
      <c r="G28" s="136"/>
      <c r="H28" s="9" t="s">
        <v>2504</v>
      </c>
      <c r="I28" s="134" t="str">
        <f>IF(shinsei_STR_TOTAL_CHARGE="","",shinsei_STR_TOTAL_CHARGE)</f>
        <v/>
      </c>
      <c r="J28" s="10" t="s">
        <v>2505</v>
      </c>
    </row>
    <row r="29" spans="1:10" s="10" customFormat="1" ht="18" customHeight="1">
      <c r="C29" s="12"/>
      <c r="D29" s="12" t="s">
        <v>10953</v>
      </c>
      <c r="E29" s="12"/>
      <c r="F29" s="9" t="s">
        <v>10955</v>
      </c>
      <c r="G29" s="136"/>
      <c r="H29" s="9" t="s">
        <v>2506</v>
      </c>
      <c r="I29" s="134" t="str">
        <f>IF(shinsei_CHARGE_ID__STR_CHARGE="","",shinsei_CHARGE_ID__STR_CHARGE)</f>
        <v/>
      </c>
    </row>
    <row r="30" spans="1:10" s="10" customFormat="1" ht="18" customHeight="1">
      <c r="A30" s="12"/>
      <c r="B30" s="12"/>
      <c r="C30" s="12" t="s">
        <v>10957</v>
      </c>
      <c r="D30" s="12"/>
      <c r="E30" s="12"/>
      <c r="F30" s="9" t="s">
        <v>1147</v>
      </c>
      <c r="G30" s="136"/>
      <c r="H30" s="9" t="s">
        <v>2507</v>
      </c>
      <c r="I30" s="134" t="str">
        <f>IF(shinsei_CHARGE_ID__STR_CHARGE_WARIMASHI="","",shinsei_CHARGE_ID__STR_CHARGE_WARIMASHI)</f>
        <v/>
      </c>
    </row>
    <row r="31" spans="1:10" s="10" customFormat="1" ht="18" customHeight="1">
      <c r="A31" s="12"/>
      <c r="B31" s="12"/>
      <c r="C31" s="12" t="s">
        <v>10954</v>
      </c>
      <c r="D31" s="12"/>
      <c r="E31" s="12"/>
      <c r="F31" s="9"/>
      <c r="G31" s="9"/>
      <c r="H31" s="9"/>
      <c r="I31" s="135">
        <f>IF(shinsei_CHARGE_ID__STR_CHARGE="",IF(shinsei_CHARGE_ID__STR_CHARGE_WARIMASHI="",0,shinsei_CHARGE_ID__STR_CHARGE_WARIMASHI),IF(shinsei_CHARGE_ID__STR_CHARGE_WARIMASHI="",shinsei_CHARGE_ID__STR_CHARGE,shinsei_CHARGE_ID__STR_CHARGE+shinsei_CHARGE_ID__STR_CHARGE_WARIMASHI))</f>
        <v>0</v>
      </c>
    </row>
    <row r="32" spans="1:10" s="10" customFormat="1" ht="18" customHeight="1">
      <c r="A32" s="12"/>
      <c r="B32" s="12"/>
      <c r="C32" s="12"/>
      <c r="D32" s="12"/>
      <c r="E32" s="12"/>
      <c r="F32" s="9"/>
      <c r="G32" s="9"/>
      <c r="H32" s="9"/>
      <c r="I32" s="9"/>
    </row>
    <row r="33" spans="1:10" s="10" customFormat="1" ht="18" customHeight="1">
      <c r="A33" s="12"/>
      <c r="B33" s="12"/>
      <c r="C33" s="12"/>
      <c r="D33" s="12"/>
      <c r="E33" s="12"/>
      <c r="F33" s="9"/>
      <c r="G33" s="9"/>
      <c r="H33" s="9"/>
      <c r="I33" s="9"/>
    </row>
    <row r="34" spans="1:10" s="10" customFormat="1" ht="18" customHeight="1">
      <c r="A34" s="12"/>
      <c r="B34" s="12"/>
      <c r="C34" s="12" t="s">
        <v>10959</v>
      </c>
      <c r="D34" s="12"/>
      <c r="E34" s="12"/>
      <c r="F34" s="9" t="s">
        <v>10961</v>
      </c>
      <c r="G34" s="136">
        <v>76000</v>
      </c>
      <c r="H34" s="9" t="s">
        <v>10963</v>
      </c>
      <c r="I34" s="134">
        <f>IF(shinsei_CHARGE_ID__PRICE__tekihannozoku="","",shinsei_CHARGE_ID__PRICE__tekihannozoku)</f>
        <v>76000</v>
      </c>
    </row>
    <row r="35" spans="1:10" s="10" customFormat="1" ht="18" customHeight="1">
      <c r="A35" s="12"/>
      <c r="B35" s="12"/>
      <c r="C35" s="12" t="s">
        <v>10958</v>
      </c>
      <c r="D35" s="12"/>
      <c r="E35" s="12"/>
      <c r="F35" s="9" t="s">
        <v>10962</v>
      </c>
      <c r="G35" s="136"/>
      <c r="H35" s="9" t="s">
        <v>10964</v>
      </c>
      <c r="I35" s="134" t="str">
        <f>IF(shinsei_CHARGE_ID__PRICE__tekihan="","",shinsei_CHARGE_ID__PRICE__tekihan)</f>
        <v/>
      </c>
    </row>
    <row r="36" spans="1:10" s="10" customFormat="1" ht="18" customHeight="1">
      <c r="A36" s="12"/>
      <c r="B36" s="12"/>
      <c r="C36" s="12"/>
      <c r="D36" s="12" t="s">
        <v>10960</v>
      </c>
      <c r="E36" s="12"/>
      <c r="F36" s="9"/>
      <c r="G36" s="9"/>
      <c r="H36" s="9"/>
      <c r="I36" s="9"/>
    </row>
    <row r="37" spans="1:10" s="10" customFormat="1" ht="18" customHeight="1">
      <c r="A37" s="12"/>
      <c r="B37" s="12"/>
      <c r="C37" s="12"/>
      <c r="D37" s="12"/>
      <c r="E37" s="12"/>
      <c r="F37" s="9"/>
      <c r="G37" s="9"/>
      <c r="H37" s="9"/>
      <c r="I37" s="9"/>
    </row>
    <row r="38" spans="1:10" s="10" customFormat="1" ht="18" customHeight="1">
      <c r="A38" s="12"/>
      <c r="B38" s="12"/>
      <c r="C38" s="12"/>
      <c r="D38" s="12"/>
      <c r="E38" s="12"/>
      <c r="F38" s="9"/>
      <c r="G38" s="9"/>
      <c r="H38" s="9"/>
      <c r="I38" s="9"/>
    </row>
    <row r="39" spans="1:10" s="10" customFormat="1" ht="18" customHeight="1">
      <c r="B39" s="105" t="s">
        <v>2508</v>
      </c>
      <c r="C39" s="105"/>
      <c r="D39" s="105"/>
      <c r="E39" s="105"/>
      <c r="F39" s="105"/>
      <c r="G39" s="9"/>
      <c r="H39" s="9"/>
    </row>
    <row r="40" spans="1:10" s="10" customFormat="1" ht="18" customHeight="1">
      <c r="A40" s="12"/>
      <c r="B40" s="12"/>
      <c r="C40" s="12"/>
      <c r="D40" s="12"/>
      <c r="E40" s="12"/>
      <c r="F40" s="9"/>
      <c r="G40" s="9"/>
      <c r="H40" s="9"/>
      <c r="I40" s="9"/>
    </row>
    <row r="41" spans="1:10" s="10" customFormat="1" ht="18" customHeight="1">
      <c r="A41" s="12"/>
      <c r="B41" s="12" t="s">
        <v>2509</v>
      </c>
      <c r="C41" s="12"/>
      <c r="D41" s="12"/>
      <c r="E41" s="12"/>
      <c r="F41" s="9" t="s">
        <v>1148</v>
      </c>
      <c r="G41" s="20"/>
      <c r="H41" s="9"/>
      <c r="I41" s="9"/>
    </row>
    <row r="42" spans="1:10" s="10" customFormat="1" ht="18" customHeight="1">
      <c r="A42" s="12"/>
      <c r="C42" s="12"/>
      <c r="D42" s="12"/>
      <c r="E42" s="12"/>
      <c r="F42" s="9"/>
      <c r="G42" s="9"/>
      <c r="H42" s="9"/>
      <c r="I42" s="9"/>
    </row>
    <row r="43" spans="1:10" s="10" customFormat="1" ht="18" customHeight="1">
      <c r="A43" s="9"/>
      <c r="B43" s="9" t="s">
        <v>2510</v>
      </c>
      <c r="C43" s="9"/>
      <c r="D43" s="9"/>
      <c r="E43" s="9"/>
      <c r="F43" s="9" t="s">
        <v>650</v>
      </c>
      <c r="G43" s="136"/>
      <c r="H43" s="9" t="s">
        <v>2511</v>
      </c>
      <c r="I43" s="134" t="str">
        <f>IF(shinsei_CHARGE_ID__BASIC_CHARGE="","",shinsei_CHARGE_ID__BASIC_CHARGE)</f>
        <v/>
      </c>
      <c r="J43" s="9"/>
    </row>
    <row r="44" spans="1:10" s="10" customFormat="1" ht="18" customHeight="1">
      <c r="A44" s="12"/>
      <c r="C44" s="12"/>
      <c r="D44" s="12"/>
      <c r="E44" s="12"/>
      <c r="F44" s="9"/>
      <c r="G44" s="9"/>
      <c r="H44" s="9" t="s">
        <v>11331</v>
      </c>
      <c r="I44" s="531">
        <f>IF(shinsei_CHARGE_ID__BASIC_CHARGE="",IF(shinsei_CHARGE_ID__RECEIPT_PRICE="","",shinsei_CHARGE_ID__RECEIPT_PRICE),shinsei_CHARGE_ID__BASIC_CHARGE)</f>
        <v>76000</v>
      </c>
    </row>
    <row r="45" spans="1:10" s="10" customFormat="1" ht="18" customHeight="1">
      <c r="A45" s="12"/>
      <c r="C45" s="12"/>
      <c r="D45" s="12"/>
      <c r="E45" s="12"/>
      <c r="F45" s="9"/>
      <c r="G45" s="9"/>
      <c r="H45" s="9"/>
      <c r="I45" s="9"/>
    </row>
    <row r="46" spans="1:10" s="10" customFormat="1" ht="18" customHeight="1">
      <c r="A46" s="12"/>
      <c r="C46" s="12" t="s">
        <v>2512</v>
      </c>
      <c r="D46" s="12"/>
      <c r="E46" s="12"/>
      <c r="F46" s="9"/>
      <c r="G46" s="9"/>
      <c r="H46" s="9"/>
      <c r="I46" s="9"/>
    </row>
    <row r="47" spans="1:10" s="10" customFormat="1" ht="18" customHeight="1">
      <c r="A47" s="12"/>
      <c r="C47" s="12"/>
      <c r="D47" s="12"/>
      <c r="E47" s="12"/>
      <c r="F47" s="9"/>
      <c r="H47" s="9" t="s">
        <v>2513</v>
      </c>
      <c r="I47" s="134">
        <f>IF(cst_shinsei_CHARGE_ID__BASIC_CHARGE="",IF(shinsei_CHARGE_ID__STR_CHARGE="",cst_shinsei_CHARGE_ID__RECEIPT_PRICE,IF(cst_shinsei_CHARGE_ID__RECEIPT_PRICE="",0,cst_shinsei_CHARGE_ID__RECEIPT_PRICE-shinsei_CHARGE_ID__STR_CHARGE)),cst_shinsei_CHARGE_ID__BASIC_CHARGE)</f>
        <v>76000</v>
      </c>
    </row>
    <row r="48" spans="1:10" s="10" customFormat="1" ht="18" customHeight="1">
      <c r="A48" s="9"/>
      <c r="B48" s="9" t="s">
        <v>2514</v>
      </c>
      <c r="C48" s="9"/>
      <c r="D48" s="9"/>
      <c r="E48" s="9"/>
      <c r="F48" s="9"/>
      <c r="G48" s="137"/>
      <c r="H48" s="9" t="s">
        <v>2515</v>
      </c>
      <c r="I48" s="136">
        <f>shinsei_CHARGE_ID__TIIKIWARIMASHI_CHARGE+shinsei_CHARGE_ID__meisai01_SYOUKEI+shinsei_CHARGE_ID__meisai02_SYOUKEI+shinsei_CHARGE_ID__meisai03_SYOUKEI+shinsei_CHARGE_ID__meisai04_SYOUKEI+shinsei_CHARGE_ID__meisai05_SYOUKEI+shinsei_CHARGE_ID__meisai06_SYOUKEI+shinsei_CHARGE_ID__meisai07_SYOUKEI+shinsei_CHARGE_ID__meisai08_SYOUKEI+shinsei_CHARGE_ID__meisai09_SYOUKEI+shinsei_CHARGE_ID__meisai10_SYOUKEI+shinsei_CHARGE_ID__meisai11_SYOUKEI</f>
        <v>0</v>
      </c>
      <c r="J48" s="9"/>
    </row>
    <row r="49" spans="1:10" s="10" customFormat="1" ht="18" customHeight="1">
      <c r="A49" s="12"/>
      <c r="B49" s="12" t="s">
        <v>2516</v>
      </c>
      <c r="C49" s="12"/>
      <c r="D49" s="12"/>
      <c r="E49" s="12"/>
      <c r="F49" s="9"/>
      <c r="G49" s="9"/>
      <c r="H49" s="9" t="s">
        <v>2517</v>
      </c>
      <c r="I49" s="135">
        <f>SUM(cst_shinsei_CHARGE_ID__BASIC_CHARGE__case0,cst_CHARGE_MEISAI_GOUKEI)</f>
        <v>76000</v>
      </c>
      <c r="J49" s="136">
        <f>SUM(cst_shinsei_CHARGE_ID__BASIC_CHARGE__case0,cst_CHARGE_MEISAI_GOUKEI)</f>
        <v>76000</v>
      </c>
    </row>
    <row r="50" spans="1:10" s="10" customFormat="1" ht="18" customHeight="1">
      <c r="A50" s="12"/>
      <c r="B50" s="12"/>
      <c r="C50" s="12" t="s">
        <v>10974</v>
      </c>
      <c r="D50" s="12"/>
      <c r="E50" s="12"/>
      <c r="F50" s="9"/>
      <c r="G50" s="9"/>
      <c r="H50" s="9" t="s">
        <v>10975</v>
      </c>
      <c r="I50" s="129" t="str">
        <f>"¥"&amp;TEXT(cst_CHARGE__BASIC_MEISAI_GOUKEI,"#,##0")&amp;" -"</f>
        <v>¥76,000 -</v>
      </c>
    </row>
    <row r="51" spans="1:10" s="10" customFormat="1" ht="18" customHeight="1">
      <c r="A51" s="12"/>
      <c r="B51" s="12"/>
      <c r="C51" s="12"/>
      <c r="D51" s="12"/>
      <c r="E51" s="12"/>
      <c r="F51" s="9"/>
      <c r="G51" s="9"/>
      <c r="H51" s="9"/>
      <c r="I51" s="9"/>
    </row>
    <row r="52" spans="1:10" s="10" customFormat="1" ht="18" customHeight="1">
      <c r="A52" s="12"/>
      <c r="B52" s="12"/>
      <c r="C52" s="12"/>
      <c r="D52" s="12"/>
      <c r="E52" s="12"/>
      <c r="F52" s="9"/>
      <c r="G52" s="9"/>
      <c r="H52" s="9"/>
      <c r="I52" s="9"/>
    </row>
    <row r="53" spans="1:10" s="10" customFormat="1" ht="18" customHeight="1">
      <c r="A53" s="9"/>
      <c r="B53" s="9" t="s">
        <v>2518</v>
      </c>
      <c r="C53" s="9"/>
      <c r="D53" s="9"/>
      <c r="E53" s="9"/>
      <c r="F53" s="9"/>
      <c r="G53" s="9"/>
      <c r="H53" s="9"/>
      <c r="I53" s="9"/>
      <c r="J53" s="9"/>
    </row>
    <row r="54" spans="1:10" s="10" customFormat="1" ht="18" customHeight="1">
      <c r="A54" s="9"/>
      <c r="B54" s="9"/>
      <c r="C54" s="9" t="s">
        <v>2519</v>
      </c>
      <c r="D54" s="9"/>
      <c r="E54" s="9"/>
      <c r="F54" s="9" t="s">
        <v>651</v>
      </c>
      <c r="G54" s="136"/>
      <c r="H54" s="9" t="s">
        <v>2520</v>
      </c>
      <c r="I54" s="19" t="str">
        <f>IF(shinsei_CHARGE_ID__TIIKIWARIMASHI_SURYOU="","",shinsei_CHARGE_ID__TIIKIWARIMASHI_SURYOU)</f>
        <v/>
      </c>
      <c r="J54" s="9"/>
    </row>
    <row r="55" spans="1:10" s="10" customFormat="1" ht="18" customHeight="1">
      <c r="A55" s="9"/>
      <c r="B55" s="9"/>
      <c r="C55" s="9" t="s">
        <v>2521</v>
      </c>
      <c r="D55" s="9"/>
      <c r="E55" s="9"/>
      <c r="F55" s="9" t="s">
        <v>652</v>
      </c>
      <c r="G55" s="136"/>
      <c r="H55" s="9" t="s">
        <v>2522</v>
      </c>
      <c r="I55" s="19" t="str">
        <f>IF(shinsei_CHARGE_ID__TIIKIWARIMASHI_TANKA="","",shinsei_CHARGE_ID__TIIKIWARIMASHI_TANKA)</f>
        <v/>
      </c>
      <c r="J55" s="9"/>
    </row>
    <row r="56" spans="1:10" s="10" customFormat="1" ht="18" customHeight="1">
      <c r="A56" s="9"/>
      <c r="B56" s="9"/>
      <c r="C56" s="9" t="s">
        <v>2505</v>
      </c>
      <c r="D56" s="9"/>
      <c r="E56" s="9"/>
      <c r="F56" s="9" t="s">
        <v>653</v>
      </c>
      <c r="G56" s="136"/>
      <c r="H56" s="9" t="s">
        <v>2523</v>
      </c>
      <c r="I56" s="19" t="str">
        <f>IF(shinsei_CHARGE_ID__TIIKIWARIMASHI_CHARGE="","",shinsei_CHARGE_ID__TIIKIWARIMASHI_CHARGE)</f>
        <v/>
      </c>
      <c r="J56" s="9"/>
    </row>
    <row r="57" spans="1:10" s="10" customFormat="1" ht="18" customHeight="1">
      <c r="A57" s="9"/>
      <c r="B57" s="9" t="s">
        <v>2524</v>
      </c>
      <c r="C57" s="9"/>
      <c r="D57" s="9"/>
      <c r="E57" s="9"/>
      <c r="F57" s="9"/>
      <c r="G57" s="9"/>
      <c r="H57" s="9"/>
      <c r="I57" s="9"/>
      <c r="J57" s="9"/>
    </row>
    <row r="58" spans="1:10" s="10" customFormat="1" ht="18" customHeight="1">
      <c r="A58" s="9"/>
      <c r="C58" s="9" t="s">
        <v>2755</v>
      </c>
      <c r="D58" s="9"/>
      <c r="E58" s="9"/>
      <c r="F58" s="9" t="s">
        <v>654</v>
      </c>
      <c r="G58" s="13" t="s">
        <v>11787</v>
      </c>
      <c r="H58" s="9" t="s">
        <v>2525</v>
      </c>
      <c r="I58" s="19" t="str">
        <f>IF(shinsei_CHARGE_ID__meisai01_ITEM_NAME="","",shinsei_CHARGE_ID__meisai01_ITEM_NAME)</f>
        <v/>
      </c>
      <c r="J58" s="10" t="s">
        <v>2526</v>
      </c>
    </row>
    <row r="59" spans="1:10" s="10" customFormat="1" ht="18" customHeight="1">
      <c r="A59" s="9"/>
      <c r="C59" s="9" t="s">
        <v>2519</v>
      </c>
      <c r="D59" s="9"/>
      <c r="E59" s="9"/>
      <c r="F59" s="9" t="s">
        <v>655</v>
      </c>
      <c r="G59" s="136"/>
      <c r="H59" s="9" t="s">
        <v>2527</v>
      </c>
      <c r="I59" s="134" t="str">
        <f>IF(shinsei_CHARGE_ID__meisai01_SURYOU="","",shinsei_CHARGE_ID__meisai01_SURYOU)</f>
        <v/>
      </c>
      <c r="J59" s="9" t="s">
        <v>2528</v>
      </c>
    </row>
    <row r="60" spans="1:10" s="10" customFormat="1" ht="18" customHeight="1">
      <c r="A60" s="9"/>
      <c r="C60" s="9" t="s">
        <v>2521</v>
      </c>
      <c r="D60" s="9"/>
      <c r="E60" s="9"/>
      <c r="F60" s="9" t="s">
        <v>656</v>
      </c>
      <c r="G60" s="136"/>
      <c r="H60" s="9" t="s">
        <v>2529</v>
      </c>
      <c r="I60" s="134" t="str">
        <f>IF(shinsei_CHARGE_ID__meisai01_TANKA="","",shinsei_CHARGE_ID__meisai01_TANKA)</f>
        <v/>
      </c>
      <c r="J60" s="9" t="s">
        <v>2528</v>
      </c>
    </row>
    <row r="61" spans="1:10" s="10" customFormat="1" ht="18" customHeight="1">
      <c r="A61" s="9"/>
      <c r="C61" s="9" t="s">
        <v>2530</v>
      </c>
      <c r="D61" s="9"/>
      <c r="E61" s="9"/>
      <c r="F61" s="9" t="s">
        <v>657</v>
      </c>
      <c r="G61" s="136"/>
      <c r="H61" s="9" t="s">
        <v>2531</v>
      </c>
      <c r="I61" s="136" t="str">
        <f>IF(shinsei_CHARGE_ID__meisai01_SYOUKEI="","",shinsei_CHARGE_ID__meisai01_SYOUKEI)</f>
        <v/>
      </c>
      <c r="J61" s="10" t="s">
        <v>2532</v>
      </c>
    </row>
    <row r="62" spans="1:10" s="10" customFormat="1" ht="18" customHeight="1">
      <c r="A62" s="9"/>
      <c r="B62" s="9" t="s">
        <v>2533</v>
      </c>
      <c r="C62" s="9"/>
      <c r="D62" s="9"/>
      <c r="E62" s="9"/>
      <c r="F62" s="9"/>
      <c r="G62" s="9"/>
      <c r="H62" s="9"/>
      <c r="I62" s="9"/>
      <c r="J62" s="9"/>
    </row>
    <row r="63" spans="1:10" s="10" customFormat="1" ht="18" customHeight="1">
      <c r="A63" s="9"/>
      <c r="C63" s="9" t="s">
        <v>2755</v>
      </c>
      <c r="D63" s="9"/>
      <c r="E63" s="9"/>
      <c r="F63" s="9" t="s">
        <v>658</v>
      </c>
      <c r="G63" s="13" t="s">
        <v>11787</v>
      </c>
      <c r="H63" s="9" t="s">
        <v>2534</v>
      </c>
      <c r="I63" s="19" t="str">
        <f>IF(shinsei_CHARGE_ID__meisai02_ITEM_NAME="","",shinsei_CHARGE_ID__meisai02_ITEM_NAME)</f>
        <v/>
      </c>
      <c r="J63" s="10" t="s">
        <v>2532</v>
      </c>
    </row>
    <row r="64" spans="1:10" s="10" customFormat="1" ht="18" customHeight="1">
      <c r="A64" s="9"/>
      <c r="C64" s="9" t="s">
        <v>2519</v>
      </c>
      <c r="D64" s="9"/>
      <c r="E64" s="9"/>
      <c r="F64" s="9" t="s">
        <v>659</v>
      </c>
      <c r="G64" s="136"/>
      <c r="H64" s="9" t="s">
        <v>2535</v>
      </c>
      <c r="I64" s="134" t="str">
        <f>IF(shinsei_CHARGE_ID__meisai02_SURYOU="","",shinsei_CHARGE_ID__meisai02_SURYOU)</f>
        <v/>
      </c>
      <c r="J64" s="9" t="s">
        <v>2528</v>
      </c>
    </row>
    <row r="65" spans="1:10" s="10" customFormat="1" ht="18" customHeight="1">
      <c r="A65" s="9"/>
      <c r="C65" s="9" t="s">
        <v>2521</v>
      </c>
      <c r="D65" s="9"/>
      <c r="E65" s="9"/>
      <c r="F65" s="9" t="s">
        <v>660</v>
      </c>
      <c r="G65" s="136"/>
      <c r="H65" s="9" t="s">
        <v>2536</v>
      </c>
      <c r="I65" s="134" t="str">
        <f>IF(shinsei_CHARGE_ID__meisai02_TANKA="","",shinsei_CHARGE_ID__meisai02_TANKA)</f>
        <v/>
      </c>
      <c r="J65" s="9" t="s">
        <v>2528</v>
      </c>
    </row>
    <row r="66" spans="1:10" s="10" customFormat="1" ht="18" customHeight="1">
      <c r="A66" s="9"/>
      <c r="C66" s="9" t="s">
        <v>2530</v>
      </c>
      <c r="D66" s="9"/>
      <c r="E66" s="9"/>
      <c r="F66" s="9" t="s">
        <v>661</v>
      </c>
      <c r="G66" s="136"/>
      <c r="H66" s="9" t="s">
        <v>2537</v>
      </c>
      <c r="I66" s="19" t="str">
        <f>IF(shinsei_CHARGE_ID__meisai02_SYOUKEI="","",shinsei_CHARGE_ID__meisai02_SYOUKEI)</f>
        <v/>
      </c>
      <c r="J66" s="10" t="s">
        <v>2526</v>
      </c>
    </row>
    <row r="67" spans="1:10" s="10" customFormat="1" ht="18" customHeight="1">
      <c r="A67" s="9"/>
      <c r="B67" s="9" t="s">
        <v>2538</v>
      </c>
      <c r="C67" s="9"/>
      <c r="D67" s="9"/>
      <c r="E67" s="9"/>
      <c r="F67" s="9"/>
      <c r="G67" s="9"/>
      <c r="H67" s="9"/>
      <c r="I67" s="9"/>
      <c r="J67" s="9"/>
    </row>
    <row r="68" spans="1:10" s="10" customFormat="1" ht="18" customHeight="1">
      <c r="A68" s="9"/>
      <c r="C68" s="9" t="s">
        <v>2755</v>
      </c>
      <c r="D68" s="9"/>
      <c r="E68" s="9"/>
      <c r="F68" s="9" t="s">
        <v>662</v>
      </c>
      <c r="G68" s="13" t="s">
        <v>11787</v>
      </c>
      <c r="H68" s="9" t="s">
        <v>2539</v>
      </c>
      <c r="I68" s="19" t="str">
        <f>IF(shinsei_CHARGE_ID__meisai03_ITEM_NAME="","",shinsei_CHARGE_ID__meisai03_ITEM_NAME)</f>
        <v/>
      </c>
      <c r="J68" s="10" t="s">
        <v>2540</v>
      </c>
    </row>
    <row r="69" spans="1:10" s="10" customFormat="1" ht="18" customHeight="1">
      <c r="A69" s="9"/>
      <c r="C69" s="9" t="s">
        <v>2519</v>
      </c>
      <c r="D69" s="9"/>
      <c r="E69" s="9"/>
      <c r="F69" s="9" t="s">
        <v>663</v>
      </c>
      <c r="G69" s="136"/>
      <c r="H69" s="9" t="s">
        <v>2541</v>
      </c>
      <c r="I69" s="134" t="str">
        <f>IF(shinsei_CHARGE_ID__meisai03_SURYOU="","",shinsei_CHARGE_ID__meisai03_SURYOU)</f>
        <v/>
      </c>
      <c r="J69" s="9" t="s">
        <v>2528</v>
      </c>
    </row>
    <row r="70" spans="1:10" s="10" customFormat="1" ht="18" customHeight="1">
      <c r="A70" s="9"/>
      <c r="C70" s="9" t="s">
        <v>2521</v>
      </c>
      <c r="D70" s="9"/>
      <c r="E70" s="9"/>
      <c r="F70" s="9" t="s">
        <v>664</v>
      </c>
      <c r="G70" s="136"/>
      <c r="H70" s="9" t="s">
        <v>2542</v>
      </c>
      <c r="I70" s="134" t="str">
        <f>IF(shinsei_CHARGE_ID__meisai03_TANKA="","",shinsei_CHARGE_ID__meisai03_TANKA)</f>
        <v/>
      </c>
      <c r="J70" s="9" t="s">
        <v>2528</v>
      </c>
    </row>
    <row r="71" spans="1:10" s="10" customFormat="1" ht="18" customHeight="1">
      <c r="A71" s="9"/>
      <c r="C71" s="9" t="s">
        <v>2530</v>
      </c>
      <c r="D71" s="9"/>
      <c r="E71" s="9"/>
      <c r="F71" s="9" t="s">
        <v>665</v>
      </c>
      <c r="G71" s="136"/>
      <c r="H71" s="9" t="s">
        <v>2543</v>
      </c>
      <c r="I71" s="19" t="str">
        <f>IF(shinsei_CHARGE_ID__meisai03_SYOUKEI="","",shinsei_CHARGE_ID__meisai03_SYOUKEI)</f>
        <v/>
      </c>
      <c r="J71" s="10" t="s">
        <v>2770</v>
      </c>
    </row>
    <row r="72" spans="1:10" s="10" customFormat="1" ht="18" customHeight="1">
      <c r="A72" s="9"/>
      <c r="B72" s="9" t="s">
        <v>2544</v>
      </c>
      <c r="C72" s="9"/>
      <c r="D72" s="9"/>
      <c r="E72" s="9"/>
      <c r="F72" s="9"/>
      <c r="G72" s="9"/>
      <c r="H72" s="9"/>
      <c r="I72" s="9"/>
      <c r="J72" s="9"/>
    </row>
    <row r="73" spans="1:10" s="10" customFormat="1" ht="18" customHeight="1">
      <c r="A73" s="9"/>
      <c r="C73" s="9" t="s">
        <v>2755</v>
      </c>
      <c r="D73" s="9"/>
      <c r="E73" s="9"/>
      <c r="F73" s="9" t="s">
        <v>666</v>
      </c>
      <c r="G73" s="13" t="s">
        <v>11787</v>
      </c>
      <c r="H73" s="9" t="s">
        <v>2545</v>
      </c>
      <c r="I73" s="19" t="str">
        <f>IF(shinsei_CHARGE_ID__meisai04_ITEM_NAME="","",shinsei_CHARGE_ID__meisai04_ITEM_NAME)</f>
        <v/>
      </c>
      <c r="J73" s="10" t="s">
        <v>2770</v>
      </c>
    </row>
    <row r="74" spans="1:10" s="10" customFormat="1" ht="18" customHeight="1">
      <c r="A74" s="9"/>
      <c r="C74" s="9" t="s">
        <v>2519</v>
      </c>
      <c r="D74" s="9"/>
      <c r="E74" s="9"/>
      <c r="F74" s="9" t="s">
        <v>667</v>
      </c>
      <c r="G74" s="136"/>
      <c r="H74" s="9" t="s">
        <v>2546</v>
      </c>
      <c r="I74" s="134" t="str">
        <f>IF(shinsei_CHARGE_ID__meisai04_SURYOU="","",shinsei_CHARGE_ID__meisai04_SURYOU)</f>
        <v/>
      </c>
      <c r="J74" s="9" t="s">
        <v>2528</v>
      </c>
    </row>
    <row r="75" spans="1:10" s="10" customFormat="1" ht="18" customHeight="1">
      <c r="A75" s="9"/>
      <c r="C75" s="9" t="s">
        <v>2521</v>
      </c>
      <c r="D75" s="9"/>
      <c r="E75" s="9"/>
      <c r="F75" s="9" t="s">
        <v>668</v>
      </c>
      <c r="G75" s="136"/>
      <c r="H75" s="9" t="s">
        <v>2547</v>
      </c>
      <c r="I75" s="134" t="str">
        <f>IF(shinsei_CHARGE_ID__meisai04_TANKA="","",shinsei_CHARGE_ID__meisai04_TANKA)</f>
        <v/>
      </c>
      <c r="J75" s="9" t="s">
        <v>2528</v>
      </c>
    </row>
    <row r="76" spans="1:10" s="10" customFormat="1" ht="18" customHeight="1">
      <c r="A76" s="9"/>
      <c r="C76" s="9" t="s">
        <v>2530</v>
      </c>
      <c r="D76" s="9"/>
      <c r="E76" s="9"/>
      <c r="F76" s="9" t="s">
        <v>669</v>
      </c>
      <c r="G76" s="136"/>
      <c r="H76" s="9" t="s">
        <v>2548</v>
      </c>
      <c r="I76" s="19" t="str">
        <f>IF(shinsei_CHARGE_ID__meisai04_SYOUKEI="","",shinsei_CHARGE_ID__meisai04_SYOUKEI)</f>
        <v/>
      </c>
      <c r="J76" s="10" t="s">
        <v>2770</v>
      </c>
    </row>
    <row r="77" spans="1:10" s="10" customFormat="1" ht="18" customHeight="1">
      <c r="A77" s="9"/>
      <c r="B77" s="9" t="s">
        <v>2549</v>
      </c>
      <c r="C77" s="9"/>
      <c r="D77" s="9"/>
      <c r="E77" s="9"/>
      <c r="F77" s="9"/>
      <c r="G77" s="9"/>
      <c r="H77" s="9"/>
      <c r="I77" s="9"/>
      <c r="J77" s="9"/>
    </row>
    <row r="78" spans="1:10" s="10" customFormat="1" ht="18" customHeight="1">
      <c r="A78" s="9"/>
      <c r="C78" s="9" t="s">
        <v>2755</v>
      </c>
      <c r="D78" s="9"/>
      <c r="E78" s="9"/>
      <c r="F78" s="9" t="s">
        <v>670</v>
      </c>
      <c r="G78" s="13" t="s">
        <v>11787</v>
      </c>
      <c r="H78" s="9" t="s">
        <v>2550</v>
      </c>
      <c r="I78" s="19" t="str">
        <f>IF(shinsei_CHARGE_ID__meisai05_ITEM_NAME="","",shinsei_CHARGE_ID__meisai05_ITEM_NAME)</f>
        <v/>
      </c>
      <c r="J78" s="10" t="s">
        <v>2770</v>
      </c>
    </row>
    <row r="79" spans="1:10" s="10" customFormat="1" ht="18" customHeight="1">
      <c r="A79" s="9"/>
      <c r="C79" s="9" t="s">
        <v>2519</v>
      </c>
      <c r="D79" s="9"/>
      <c r="E79" s="9"/>
      <c r="F79" s="9" t="s">
        <v>671</v>
      </c>
      <c r="G79" s="136"/>
      <c r="H79" s="9" t="s">
        <v>2551</v>
      </c>
      <c r="I79" s="134" t="str">
        <f>IF(shinsei_CHARGE_ID__meisai05_SURYOU="","",shinsei_CHARGE_ID__meisai05_SURYOU)</f>
        <v/>
      </c>
      <c r="J79" s="9" t="s">
        <v>2528</v>
      </c>
    </row>
    <row r="80" spans="1:10" s="10" customFormat="1" ht="18" customHeight="1">
      <c r="A80" s="9"/>
      <c r="C80" s="9" t="s">
        <v>2521</v>
      </c>
      <c r="D80" s="9"/>
      <c r="E80" s="9"/>
      <c r="F80" s="9" t="s">
        <v>672</v>
      </c>
      <c r="G80" s="136"/>
      <c r="H80" s="9" t="s">
        <v>2552</v>
      </c>
      <c r="I80" s="134" t="str">
        <f>IF(shinsei_CHARGE_ID__meisai05_TANKA="","",shinsei_CHARGE_ID__meisai05_TANKA)</f>
        <v/>
      </c>
      <c r="J80" s="9" t="s">
        <v>2528</v>
      </c>
    </row>
    <row r="81" spans="1:10" s="10" customFormat="1" ht="18" customHeight="1">
      <c r="A81" s="9"/>
      <c r="C81" s="9" t="s">
        <v>2530</v>
      </c>
      <c r="D81" s="9"/>
      <c r="E81" s="9"/>
      <c r="F81" s="9" t="s">
        <v>673</v>
      </c>
      <c r="G81" s="136"/>
      <c r="H81" s="9" t="s">
        <v>2553</v>
      </c>
      <c r="I81" s="19" t="str">
        <f>IF(shinsei_CHARGE_ID__meisai05_SYOUKEI="","",shinsei_CHARGE_ID__meisai05_SYOUKEI)</f>
        <v/>
      </c>
      <c r="J81" s="10" t="s">
        <v>2526</v>
      </c>
    </row>
    <row r="82" spans="1:10" s="10" customFormat="1" ht="18" customHeight="1">
      <c r="A82" s="9"/>
      <c r="B82" s="9" t="s">
        <v>2554</v>
      </c>
      <c r="C82" s="9"/>
      <c r="D82" s="9"/>
      <c r="E82" s="9"/>
      <c r="F82" s="9"/>
      <c r="G82" s="9"/>
      <c r="H82" s="9"/>
      <c r="I82" s="9"/>
      <c r="J82" s="9"/>
    </row>
    <row r="83" spans="1:10" s="10" customFormat="1" ht="18" customHeight="1">
      <c r="A83" s="9"/>
      <c r="C83" s="9" t="s">
        <v>2755</v>
      </c>
      <c r="D83" s="9"/>
      <c r="E83" s="9"/>
      <c r="F83" s="9" t="s">
        <v>674</v>
      </c>
      <c r="G83" s="13" t="s">
        <v>11787</v>
      </c>
      <c r="H83" s="9" t="s">
        <v>2555</v>
      </c>
      <c r="I83" s="19" t="str">
        <f>IF(shinsei_CHARGE_ID__meisai06_ITEM_NAME="","",shinsei_CHARGE_ID__meisai06_ITEM_NAME)</f>
        <v/>
      </c>
      <c r="J83" s="10" t="s">
        <v>2556</v>
      </c>
    </row>
    <row r="84" spans="1:10" s="10" customFormat="1" ht="18" customHeight="1">
      <c r="A84" s="9"/>
      <c r="C84" s="9" t="s">
        <v>2519</v>
      </c>
      <c r="D84" s="9"/>
      <c r="E84" s="9"/>
      <c r="F84" s="9" t="s">
        <v>675</v>
      </c>
      <c r="G84" s="136"/>
      <c r="H84" s="9" t="s">
        <v>2557</v>
      </c>
      <c r="I84" s="134" t="str">
        <f>IF(shinsei_CHARGE_ID__meisai06_SURYOU="","",shinsei_CHARGE_ID__meisai06_SURYOU)</f>
        <v/>
      </c>
      <c r="J84" s="9" t="s">
        <v>2528</v>
      </c>
    </row>
    <row r="85" spans="1:10" s="10" customFormat="1" ht="18" customHeight="1">
      <c r="A85" s="9"/>
      <c r="C85" s="9" t="s">
        <v>2521</v>
      </c>
      <c r="D85" s="9"/>
      <c r="E85" s="9"/>
      <c r="F85" s="9" t="s">
        <v>676</v>
      </c>
      <c r="G85" s="136"/>
      <c r="H85" s="9" t="s">
        <v>2558</v>
      </c>
      <c r="I85" s="134" t="str">
        <f>IF(shinsei_CHARGE_ID__meisai06_TANKA="","",shinsei_CHARGE_ID__meisai06_TANKA)</f>
        <v/>
      </c>
      <c r="J85" s="9" t="s">
        <v>2528</v>
      </c>
    </row>
    <row r="86" spans="1:10" s="10" customFormat="1" ht="18" customHeight="1">
      <c r="A86" s="9"/>
      <c r="C86" s="9" t="s">
        <v>2530</v>
      </c>
      <c r="D86" s="9"/>
      <c r="E86" s="9"/>
      <c r="F86" s="9" t="s">
        <v>677</v>
      </c>
      <c r="G86" s="136"/>
      <c r="H86" s="9" t="s">
        <v>2559</v>
      </c>
      <c r="I86" s="19" t="str">
        <f>IF(shinsei_CHARGE_ID__meisai06_SYOUKEI="","",shinsei_CHARGE_ID__meisai06_SYOUKEI)</f>
        <v/>
      </c>
      <c r="J86" s="10" t="s">
        <v>2532</v>
      </c>
    </row>
    <row r="87" spans="1:10" s="10" customFormat="1" ht="18" customHeight="1">
      <c r="A87" s="9"/>
      <c r="B87" s="9" t="s">
        <v>2560</v>
      </c>
      <c r="C87" s="9"/>
      <c r="D87" s="9"/>
      <c r="E87" s="9"/>
      <c r="F87" s="9"/>
      <c r="G87" s="9"/>
      <c r="H87" s="9"/>
      <c r="I87" s="9"/>
      <c r="J87" s="9"/>
    </row>
    <row r="88" spans="1:10" s="10" customFormat="1" ht="18" customHeight="1">
      <c r="A88" s="9"/>
      <c r="C88" s="9" t="s">
        <v>2755</v>
      </c>
      <c r="D88" s="9"/>
      <c r="E88" s="9"/>
      <c r="F88" s="9" t="s">
        <v>678</v>
      </c>
      <c r="G88" s="13" t="s">
        <v>11787</v>
      </c>
      <c r="H88" s="9" t="s">
        <v>2561</v>
      </c>
      <c r="I88" s="19" t="str">
        <f>IF(shinsei_CHARGE_ID__meisai07_ITEM_NAME="","",shinsei_CHARGE_ID__meisai07_ITEM_NAME)</f>
        <v/>
      </c>
      <c r="J88" s="10" t="s">
        <v>2532</v>
      </c>
    </row>
    <row r="89" spans="1:10" s="10" customFormat="1" ht="18" customHeight="1">
      <c r="A89" s="9"/>
      <c r="C89" s="9" t="s">
        <v>2519</v>
      </c>
      <c r="D89" s="9"/>
      <c r="E89" s="9"/>
      <c r="F89" s="9" t="s">
        <v>679</v>
      </c>
      <c r="G89" s="136"/>
      <c r="H89" s="9" t="s">
        <v>2562</v>
      </c>
      <c r="I89" s="134" t="str">
        <f>IF(shinsei_CHARGE_ID__meisai07_SURYOU="","",shinsei_CHARGE_ID__meisai07_SURYOU)</f>
        <v/>
      </c>
      <c r="J89" s="9" t="s">
        <v>2528</v>
      </c>
    </row>
    <row r="90" spans="1:10" s="10" customFormat="1" ht="18" customHeight="1">
      <c r="A90" s="9"/>
      <c r="C90" s="9" t="s">
        <v>2521</v>
      </c>
      <c r="D90" s="9"/>
      <c r="E90" s="9"/>
      <c r="F90" s="9" t="s">
        <v>680</v>
      </c>
      <c r="G90" s="136"/>
      <c r="H90" s="9" t="s">
        <v>2563</v>
      </c>
      <c r="I90" s="134" t="str">
        <f>IF(shinsei_CHARGE_ID__meisai07_TANKA="","",shinsei_CHARGE_ID__meisai07_TANKA)</f>
        <v/>
      </c>
      <c r="J90" s="9" t="s">
        <v>2528</v>
      </c>
    </row>
    <row r="91" spans="1:10" s="10" customFormat="1" ht="18" customHeight="1">
      <c r="A91" s="9"/>
      <c r="C91" s="9" t="s">
        <v>2530</v>
      </c>
      <c r="D91" s="9"/>
      <c r="E91" s="9"/>
      <c r="F91" s="9" t="s">
        <v>681</v>
      </c>
      <c r="G91" s="136"/>
      <c r="H91" s="9" t="s">
        <v>2564</v>
      </c>
      <c r="I91" s="19" t="str">
        <f>IF(shinsei_CHARGE_ID__meisai07_SYOUKEI="","",shinsei_CHARGE_ID__meisai07_SYOUKEI)</f>
        <v/>
      </c>
      <c r="J91" s="10" t="s">
        <v>2526</v>
      </c>
    </row>
    <row r="92" spans="1:10" s="10" customFormat="1" ht="18" customHeight="1">
      <c r="A92" s="9"/>
      <c r="B92" s="9" t="s">
        <v>2565</v>
      </c>
      <c r="C92" s="9"/>
      <c r="D92" s="9"/>
      <c r="E92" s="9"/>
      <c r="F92" s="9"/>
      <c r="G92" s="9"/>
      <c r="H92" s="9"/>
      <c r="I92" s="9"/>
      <c r="J92" s="9"/>
    </row>
    <row r="93" spans="1:10" s="10" customFormat="1" ht="18" customHeight="1">
      <c r="A93" s="9"/>
      <c r="C93" s="9" t="s">
        <v>2755</v>
      </c>
      <c r="D93" s="9"/>
      <c r="E93" s="9"/>
      <c r="F93" s="9" t="s">
        <v>682</v>
      </c>
      <c r="G93" s="13" t="s">
        <v>11787</v>
      </c>
      <c r="H93" s="9" t="s">
        <v>4086</v>
      </c>
      <c r="I93" s="19" t="str">
        <f>IF(shinsei_CHARGE_ID__meisai08_ITEM_NAME="","",shinsei_CHARGE_ID__meisai08_ITEM_NAME)</f>
        <v/>
      </c>
      <c r="J93" s="10" t="s">
        <v>2770</v>
      </c>
    </row>
    <row r="94" spans="1:10" s="10" customFormat="1" ht="18" customHeight="1">
      <c r="A94" s="9"/>
      <c r="C94" s="9" t="s">
        <v>2519</v>
      </c>
      <c r="D94" s="9"/>
      <c r="E94" s="9"/>
      <c r="F94" s="9" t="s">
        <v>683</v>
      </c>
      <c r="G94" s="136"/>
      <c r="H94" s="9" t="s">
        <v>4087</v>
      </c>
      <c r="I94" s="134" t="str">
        <f>IF(shinsei_CHARGE_ID__meisai08_SURYOU="","",shinsei_CHARGE_ID__meisai08_SURYOU)</f>
        <v/>
      </c>
      <c r="J94" s="9" t="s">
        <v>2528</v>
      </c>
    </row>
    <row r="95" spans="1:10" s="10" customFormat="1" ht="18" customHeight="1">
      <c r="A95" s="9"/>
      <c r="C95" s="9" t="s">
        <v>2521</v>
      </c>
      <c r="D95" s="9"/>
      <c r="E95" s="9"/>
      <c r="F95" s="9" t="s">
        <v>684</v>
      </c>
      <c r="G95" s="136"/>
      <c r="H95" s="9" t="s">
        <v>4088</v>
      </c>
      <c r="I95" s="134" t="str">
        <f>IF(shinsei_CHARGE_ID__meisai08_TANKA="","",shinsei_CHARGE_ID__meisai08_TANKA)</f>
        <v/>
      </c>
      <c r="J95" s="9" t="s">
        <v>2528</v>
      </c>
    </row>
    <row r="96" spans="1:10" s="10" customFormat="1" ht="18" customHeight="1">
      <c r="A96" s="9"/>
      <c r="C96" s="9" t="s">
        <v>2530</v>
      </c>
      <c r="D96" s="9"/>
      <c r="E96" s="9"/>
      <c r="F96" s="9" t="s">
        <v>685</v>
      </c>
      <c r="G96" s="136"/>
      <c r="H96" s="9" t="s">
        <v>4089</v>
      </c>
      <c r="I96" s="19" t="str">
        <f>IF(shinsei_CHARGE_ID__meisai08_SYOUKEI="","",shinsei_CHARGE_ID__meisai08_SYOUKEI)</f>
        <v/>
      </c>
      <c r="J96" s="10" t="s">
        <v>2770</v>
      </c>
    </row>
    <row r="97" spans="1:10" s="10" customFormat="1" ht="18" customHeight="1">
      <c r="A97" s="9"/>
      <c r="B97" s="9" t="s">
        <v>4090</v>
      </c>
      <c r="C97" s="9"/>
      <c r="D97" s="9"/>
      <c r="E97" s="9"/>
      <c r="F97" s="9"/>
      <c r="G97" s="9"/>
      <c r="H97" s="9"/>
      <c r="I97" s="9"/>
      <c r="J97" s="9"/>
    </row>
    <row r="98" spans="1:10" s="10" customFormat="1" ht="18" customHeight="1">
      <c r="A98" s="9"/>
      <c r="C98" s="9" t="s">
        <v>2755</v>
      </c>
      <c r="D98" s="9"/>
      <c r="E98" s="9"/>
      <c r="F98" s="9" t="s">
        <v>686</v>
      </c>
      <c r="G98" s="13" t="s">
        <v>11787</v>
      </c>
      <c r="H98" s="9" t="s">
        <v>4091</v>
      </c>
      <c r="I98" s="19" t="str">
        <f>IF(shinsei_CHARGE_ID__meisai09_ITEM_NAME="","",shinsei_CHARGE_ID__meisai09_ITEM_NAME)</f>
        <v/>
      </c>
      <c r="J98" s="10" t="s">
        <v>4092</v>
      </c>
    </row>
    <row r="99" spans="1:10" s="10" customFormat="1" ht="18" customHeight="1">
      <c r="A99" s="9"/>
      <c r="C99" s="9" t="s">
        <v>2519</v>
      </c>
      <c r="D99" s="9"/>
      <c r="E99" s="9"/>
      <c r="F99" s="9" t="s">
        <v>687</v>
      </c>
      <c r="G99" s="136"/>
      <c r="H99" s="9" t="s">
        <v>4093</v>
      </c>
      <c r="I99" s="134" t="str">
        <f>IF(shinsei_CHARGE_ID__meisai09_SURYOU="","",shinsei_CHARGE_ID__meisai09_SURYOU)</f>
        <v/>
      </c>
      <c r="J99" s="9" t="s">
        <v>2528</v>
      </c>
    </row>
    <row r="100" spans="1:10" s="10" customFormat="1" ht="18" customHeight="1">
      <c r="A100" s="9"/>
      <c r="C100" s="9" t="s">
        <v>2521</v>
      </c>
      <c r="D100" s="9"/>
      <c r="E100" s="9"/>
      <c r="F100" s="9" t="s">
        <v>688</v>
      </c>
      <c r="G100" s="136"/>
      <c r="H100" s="9" t="s">
        <v>4094</v>
      </c>
      <c r="I100" s="134" t="str">
        <f>IF(shinsei_CHARGE_ID__meisai09_TANKA="","",shinsei_CHARGE_ID__meisai09_TANKA)</f>
        <v/>
      </c>
      <c r="J100" s="9" t="s">
        <v>2528</v>
      </c>
    </row>
    <row r="101" spans="1:10" s="10" customFormat="1" ht="18" customHeight="1">
      <c r="A101" s="9"/>
      <c r="C101" s="9" t="s">
        <v>2530</v>
      </c>
      <c r="D101" s="9"/>
      <c r="E101" s="9"/>
      <c r="F101" s="9" t="s">
        <v>689</v>
      </c>
      <c r="G101" s="136"/>
      <c r="H101" s="9" t="s">
        <v>4095</v>
      </c>
      <c r="I101" s="19" t="str">
        <f>IF(shinsei_CHARGE_ID__meisai09_SYOUKEI="","",shinsei_CHARGE_ID__meisai09_SYOUKEI)</f>
        <v/>
      </c>
      <c r="J101" s="10" t="s">
        <v>4096</v>
      </c>
    </row>
    <row r="102" spans="1:10" s="10" customFormat="1" ht="18" customHeight="1">
      <c r="A102" s="9"/>
      <c r="B102" s="9" t="s">
        <v>4097</v>
      </c>
      <c r="C102" s="9"/>
      <c r="D102" s="9"/>
      <c r="E102" s="9"/>
      <c r="F102" s="9"/>
      <c r="G102" s="9"/>
      <c r="H102" s="9"/>
      <c r="I102" s="9"/>
      <c r="J102" s="9"/>
    </row>
    <row r="103" spans="1:10" s="10" customFormat="1" ht="18" customHeight="1">
      <c r="A103" s="9"/>
      <c r="C103" s="9" t="s">
        <v>2755</v>
      </c>
      <c r="D103" s="9"/>
      <c r="E103" s="9"/>
      <c r="F103" s="9" t="s">
        <v>690</v>
      </c>
      <c r="G103" s="13" t="s">
        <v>11787</v>
      </c>
      <c r="H103" s="9" t="s">
        <v>4098</v>
      </c>
      <c r="I103" s="19" t="str">
        <f>IF(shinsei_CHARGE_ID__meisai10_ITEM_NAME="","",shinsei_CHARGE_ID__meisai10_ITEM_NAME)</f>
        <v/>
      </c>
      <c r="J103" s="10" t="s">
        <v>4099</v>
      </c>
    </row>
    <row r="104" spans="1:10" s="10" customFormat="1" ht="18" customHeight="1">
      <c r="A104" s="9"/>
      <c r="C104" s="9" t="s">
        <v>2519</v>
      </c>
      <c r="D104" s="9"/>
      <c r="E104" s="9"/>
      <c r="F104" s="9" t="s">
        <v>691</v>
      </c>
      <c r="G104" s="136"/>
      <c r="H104" s="9" t="s">
        <v>4100</v>
      </c>
      <c r="I104" s="134" t="str">
        <f>IF(shinsei_CHARGE_ID__meisai10_SURYOU="","",shinsei_CHARGE_ID__meisai10_SURYOU)</f>
        <v/>
      </c>
      <c r="J104" s="9" t="s">
        <v>2528</v>
      </c>
    </row>
    <row r="105" spans="1:10" s="10" customFormat="1" ht="18" customHeight="1">
      <c r="A105" s="9"/>
      <c r="C105" s="9" t="s">
        <v>2521</v>
      </c>
      <c r="D105" s="9"/>
      <c r="E105" s="9"/>
      <c r="F105" s="9" t="s">
        <v>692</v>
      </c>
      <c r="G105" s="136"/>
      <c r="H105" s="9" t="s">
        <v>4101</v>
      </c>
      <c r="I105" s="134" t="str">
        <f>IF(shinsei_CHARGE_ID__meisai10_TANKA="","",shinsei_CHARGE_ID__meisai10_TANKA)</f>
        <v/>
      </c>
      <c r="J105" s="9" t="s">
        <v>2528</v>
      </c>
    </row>
    <row r="106" spans="1:10" s="10" customFormat="1" ht="18" customHeight="1">
      <c r="A106" s="9"/>
      <c r="C106" s="9" t="s">
        <v>2530</v>
      </c>
      <c r="D106" s="9"/>
      <c r="E106" s="9"/>
      <c r="F106" s="9" t="s">
        <v>693</v>
      </c>
      <c r="G106" s="136"/>
      <c r="H106" s="9" t="s">
        <v>4102</v>
      </c>
      <c r="I106" s="19" t="str">
        <f>IF(shinsei_CHARGE_ID__meisai10_SYOUKEI="","",shinsei_CHARGE_ID__meisai10_SYOUKEI)</f>
        <v/>
      </c>
      <c r="J106" s="10" t="s">
        <v>2770</v>
      </c>
    </row>
    <row r="107" spans="1:10" s="10" customFormat="1" ht="18" customHeight="1">
      <c r="A107" s="9"/>
      <c r="B107" s="9" t="s">
        <v>4103</v>
      </c>
      <c r="C107" s="9"/>
      <c r="D107" s="9"/>
      <c r="E107" s="9"/>
      <c r="F107" s="9"/>
      <c r="G107" s="9"/>
      <c r="H107" s="9"/>
      <c r="I107" s="9"/>
      <c r="J107" s="9"/>
    </row>
    <row r="108" spans="1:10" s="10" customFormat="1" ht="18" customHeight="1">
      <c r="A108" s="9"/>
      <c r="C108" s="9" t="s">
        <v>2755</v>
      </c>
      <c r="D108" s="9"/>
      <c r="E108" s="9"/>
      <c r="F108" s="9" t="s">
        <v>694</v>
      </c>
      <c r="G108" s="13" t="s">
        <v>11787</v>
      </c>
      <c r="H108" s="9" t="s">
        <v>4104</v>
      </c>
      <c r="I108" s="19" t="str">
        <f>IF(shinsei_CHARGE_ID__meisai11_ITEM_NAME="","",shinsei_CHARGE_ID__meisai11_ITEM_NAME)</f>
        <v/>
      </c>
      <c r="J108" s="10" t="s">
        <v>2526</v>
      </c>
    </row>
    <row r="109" spans="1:10" s="10" customFormat="1" ht="18" customHeight="1">
      <c r="A109" s="9"/>
      <c r="C109" s="9" t="s">
        <v>2519</v>
      </c>
      <c r="D109" s="9"/>
      <c r="E109" s="9"/>
      <c r="F109" s="9" t="s">
        <v>695</v>
      </c>
      <c r="G109" s="136"/>
      <c r="H109" s="9" t="s">
        <v>4105</v>
      </c>
      <c r="I109" s="134" t="str">
        <f>IF(shinsei_CHARGE_ID__meisai11_SURYOU="","",shinsei_CHARGE_ID__meisai11_SURYOU)</f>
        <v/>
      </c>
      <c r="J109" s="9" t="s">
        <v>2528</v>
      </c>
    </row>
    <row r="110" spans="1:10" s="10" customFormat="1" ht="18" customHeight="1">
      <c r="A110" s="9"/>
      <c r="C110" s="9" t="s">
        <v>2521</v>
      </c>
      <c r="D110" s="9"/>
      <c r="E110" s="9"/>
      <c r="F110" s="9" t="s">
        <v>696</v>
      </c>
      <c r="G110" s="136"/>
      <c r="H110" s="9" t="s">
        <v>4106</v>
      </c>
      <c r="I110" s="134" t="str">
        <f>IF(shinsei_CHARGE_ID__meisai11_TANKA="","",shinsei_CHARGE_ID__meisai11_TANKA)</f>
        <v/>
      </c>
      <c r="J110" s="9" t="s">
        <v>2528</v>
      </c>
    </row>
    <row r="111" spans="1:10" s="10" customFormat="1" ht="18" customHeight="1">
      <c r="A111" s="9"/>
      <c r="C111" s="9" t="s">
        <v>2530</v>
      </c>
      <c r="D111" s="9"/>
      <c r="E111" s="9"/>
      <c r="F111" s="9" t="s">
        <v>697</v>
      </c>
      <c r="G111" s="136"/>
      <c r="H111" s="9" t="s">
        <v>4107</v>
      </c>
      <c r="I111" s="19" t="str">
        <f>IF(shinsei_CHARGE_ID__meisai11_SYOUKEI="","",shinsei_CHARGE_ID__meisai11_SYOUKEI)</f>
        <v/>
      </c>
      <c r="J111" s="10" t="s">
        <v>4099</v>
      </c>
    </row>
    <row r="112" spans="1:10" s="10" customFormat="1" ht="18" customHeight="1">
      <c r="A112" s="9"/>
      <c r="B112" s="9"/>
      <c r="C112" s="9"/>
      <c r="D112" s="9"/>
      <c r="E112" s="9"/>
      <c r="F112" s="9"/>
      <c r="G112" s="9"/>
      <c r="H112" s="9"/>
      <c r="I112" s="9"/>
      <c r="J112" s="9"/>
    </row>
    <row r="114" spans="1:9" ht="18" customHeight="1">
      <c r="B114" s="7" t="s">
        <v>4109</v>
      </c>
      <c r="F114" s="7" t="s">
        <v>698</v>
      </c>
      <c r="G114" s="122">
        <v>44260</v>
      </c>
      <c r="H114" s="7" t="s">
        <v>4110</v>
      </c>
      <c r="I114" s="17">
        <f>IF(shinsei_CHARGE_ID__income01_INCOME_DATE="","",shinsei_CHARGE_ID__income01_INCOME_DATE)</f>
        <v>44260</v>
      </c>
    </row>
    <row r="115" spans="1:9" ht="18" customHeight="1">
      <c r="B115" s="7" t="s">
        <v>4112</v>
      </c>
      <c r="F115" s="7" t="s">
        <v>699</v>
      </c>
      <c r="G115" s="122"/>
      <c r="H115" s="7" t="s">
        <v>4113</v>
      </c>
      <c r="I115" s="17" t="str">
        <f>IF(shinsei_CHARGE_ID__income02_INCOME_DATE="","",shinsei_CHARGE_ID__income02_INCOME_DATE)</f>
        <v/>
      </c>
    </row>
    <row r="116" spans="1:9" ht="18" customHeight="1">
      <c r="B116" s="7" t="s">
        <v>4115</v>
      </c>
      <c r="F116" s="7" t="s">
        <v>700</v>
      </c>
      <c r="G116" s="122"/>
      <c r="H116" s="7" t="s">
        <v>4116</v>
      </c>
      <c r="I116" s="17" t="str">
        <f>IF(shinsei_CHARGE_ID__income03_INCOME_DATE="","",shinsei_CHARGE_ID__income03_INCOME_DATE)</f>
        <v/>
      </c>
    </row>
    <row r="117" spans="1:9" ht="18" customHeight="1">
      <c r="B117" s="7" t="s">
        <v>4118</v>
      </c>
      <c r="F117" s="7" t="s">
        <v>701</v>
      </c>
      <c r="G117" s="92"/>
      <c r="H117" s="7" t="s">
        <v>4119</v>
      </c>
      <c r="I117" s="17" t="str">
        <f>IF(shinsei_CHARGE_ID__income01_INCOME_MONEY="","",shinsei_CHARGE_ID__income01_INCOME_MONEY)</f>
        <v/>
      </c>
    </row>
    <row r="118" spans="1:9" ht="18" customHeight="1">
      <c r="B118" s="7" t="s">
        <v>4120</v>
      </c>
      <c r="F118" s="7" t="s">
        <v>702</v>
      </c>
      <c r="G118" s="92"/>
      <c r="H118" s="7" t="s">
        <v>4121</v>
      </c>
      <c r="I118" s="17" t="str">
        <f>IF(shinsei_CHARGE_ID__income02_INCOME_MONEY="","",shinsei_CHARGE_ID__income02_INCOME_MONEY)</f>
        <v/>
      </c>
    </row>
    <row r="119" spans="1:9" ht="18" customHeight="1">
      <c r="B119" s="7" t="s">
        <v>4122</v>
      </c>
      <c r="F119" s="7" t="s">
        <v>703</v>
      </c>
      <c r="G119" s="92"/>
      <c r="H119" s="7" t="s">
        <v>4123</v>
      </c>
      <c r="I119" s="17" t="str">
        <f>IF(shinsei_CHARGE_ID__income03_INCOME_MONEY="","",shinsei_CHARGE_ID__income03_INCOME_MONEY)</f>
        <v/>
      </c>
    </row>
    <row r="122" spans="1:9" ht="18" customHeight="1">
      <c r="A122" s="138" t="s">
        <v>4124</v>
      </c>
      <c r="B122" s="138"/>
      <c r="C122" s="138"/>
      <c r="D122" s="138"/>
      <c r="E122" s="102"/>
      <c r="F122" s="102"/>
    </row>
    <row r="123" spans="1:9" ht="18" customHeight="1">
      <c r="A123" s="1"/>
      <c r="B123" s="1"/>
      <c r="C123" s="1"/>
      <c r="D123" s="1"/>
    </row>
    <row r="124" spans="1:9" ht="18" customHeight="1">
      <c r="A124" s="10"/>
      <c r="B124" s="12" t="s">
        <v>4125</v>
      </c>
      <c r="C124" s="12"/>
      <c r="F124" s="9" t="s">
        <v>704</v>
      </c>
      <c r="G124" s="40"/>
    </row>
    <row r="125" spans="1:9" ht="18" customHeight="1">
      <c r="A125" s="10"/>
      <c r="B125" s="10"/>
      <c r="C125" s="12" t="s">
        <v>4126</v>
      </c>
      <c r="F125" s="9" t="s">
        <v>705</v>
      </c>
      <c r="G125" s="40"/>
      <c r="H125" s="7" t="s">
        <v>4127</v>
      </c>
      <c r="I125" s="102" t="str">
        <f>IF(shinsei_CHARGE_ID2__CASH_FLAG="","",shinsei_CHARGE_ID2__CASH_FLAG)</f>
        <v/>
      </c>
    </row>
    <row r="126" spans="1:9" ht="18" customHeight="1">
      <c r="A126" s="10"/>
      <c r="B126" s="10"/>
      <c r="C126" s="12" t="s">
        <v>1378</v>
      </c>
      <c r="F126" s="9" t="s">
        <v>706</v>
      </c>
      <c r="G126" s="40">
        <v>1</v>
      </c>
      <c r="H126" s="7" t="s">
        <v>4128</v>
      </c>
      <c r="I126" s="102">
        <f>IF(shinsei_CHARGE_ID2__ENABLED="","",shinsei_CHARGE_ID2__ENABLED)</f>
        <v>1</v>
      </c>
    </row>
    <row r="127" spans="1:9" ht="18" customHeight="1">
      <c r="A127" s="10"/>
      <c r="B127" s="12" t="s">
        <v>4129</v>
      </c>
      <c r="C127" s="12"/>
      <c r="F127" s="9" t="s">
        <v>707</v>
      </c>
      <c r="G127" s="40"/>
      <c r="H127" s="7" t="s">
        <v>4130</v>
      </c>
      <c r="I127" s="102" t="str">
        <f>IF(shinsei_CHARGE_ID2__BASE_DATE="","",shinsei_CHARGE_ID2__BASE_DATE)</f>
        <v/>
      </c>
    </row>
    <row r="128" spans="1:9" ht="18" customHeight="1">
      <c r="A128" s="10"/>
      <c r="B128" s="12" t="s">
        <v>4131</v>
      </c>
      <c r="C128" s="12"/>
      <c r="F128" s="9" t="s">
        <v>708</v>
      </c>
      <c r="G128" s="40"/>
      <c r="H128" s="7" t="s">
        <v>4132</v>
      </c>
      <c r="I128" s="102" t="str">
        <f>IF(shinsei_CHARGE_ID2__bill__no="","",shinsei_CHARGE_ID2__bill__no)</f>
        <v/>
      </c>
    </row>
    <row r="129" spans="1:9" ht="18" customHeight="1">
      <c r="A129" s="10"/>
      <c r="B129" s="12" t="s">
        <v>4133</v>
      </c>
      <c r="C129" s="12"/>
      <c r="F129" s="9" t="s">
        <v>709</v>
      </c>
      <c r="G129" s="40"/>
      <c r="H129" s="7" t="s">
        <v>2853</v>
      </c>
      <c r="I129" s="102" t="str">
        <f>IF(shinsei_CHARGE_ID2__bill__date="","",shinsei_CHARGE_ID2__bill__date)</f>
        <v/>
      </c>
    </row>
    <row r="130" spans="1:9" ht="18" customHeight="1">
      <c r="A130" s="10"/>
      <c r="B130" s="12" t="s">
        <v>2854</v>
      </c>
      <c r="C130" s="12"/>
      <c r="F130" s="9"/>
    </row>
    <row r="131" spans="1:9" ht="18" customHeight="1">
      <c r="A131" s="10"/>
      <c r="B131" s="12"/>
      <c r="C131" s="12" t="s">
        <v>2490</v>
      </c>
      <c r="F131" s="9" t="s">
        <v>710</v>
      </c>
      <c r="G131" s="40"/>
    </row>
    <row r="132" spans="1:9" ht="18" customHeight="1">
      <c r="A132" s="10"/>
      <c r="B132" s="12"/>
      <c r="C132" s="12" t="s">
        <v>2855</v>
      </c>
      <c r="F132" s="9" t="s">
        <v>711</v>
      </c>
      <c r="G132" s="40"/>
    </row>
    <row r="133" spans="1:9" ht="18" customHeight="1">
      <c r="A133" s="10"/>
      <c r="B133" s="12"/>
      <c r="C133" s="12" t="s">
        <v>2856</v>
      </c>
      <c r="F133" s="9" t="s">
        <v>712</v>
      </c>
      <c r="G133" s="40"/>
    </row>
    <row r="134" spans="1:9" ht="18" customHeight="1">
      <c r="A134" s="10"/>
      <c r="B134" s="12"/>
      <c r="C134" s="12" t="s">
        <v>2496</v>
      </c>
      <c r="F134" s="9" t="s">
        <v>713</v>
      </c>
      <c r="G134" s="40"/>
    </row>
    <row r="135" spans="1:9" ht="18" customHeight="1">
      <c r="A135" s="10"/>
      <c r="B135" s="12" t="s">
        <v>2857</v>
      </c>
      <c r="C135" s="12"/>
      <c r="F135" s="9" t="s">
        <v>714</v>
      </c>
      <c r="G135" s="40"/>
      <c r="H135" s="7" t="s">
        <v>2858</v>
      </c>
      <c r="I135" s="102" t="str">
        <f>IF(shinsei_CHARGE_ID2__RECEIPT_AREA="","",shinsei_CHARGE_ID2__RECEIPT_AREA)</f>
        <v/>
      </c>
    </row>
    <row r="136" spans="1:9" ht="18" customHeight="1">
      <c r="A136" s="10"/>
      <c r="B136" s="12" t="s">
        <v>2859</v>
      </c>
      <c r="C136" s="12"/>
      <c r="F136" s="9" t="s">
        <v>715</v>
      </c>
      <c r="G136" s="40"/>
    </row>
    <row r="137" spans="1:9" ht="18" customHeight="1">
      <c r="A137" s="10"/>
      <c r="B137" s="9" t="s">
        <v>2499</v>
      </c>
      <c r="C137" s="12"/>
      <c r="F137" s="9" t="s">
        <v>716</v>
      </c>
      <c r="G137" s="40"/>
      <c r="H137" s="7" t="s">
        <v>2860</v>
      </c>
      <c r="I137" s="102" t="str">
        <f>IF(shinsei_CHARGE_ID2__RECEIPT_PRICE="","",shinsei_CHARGE_ID2__RECEIPT_PRICE)</f>
        <v/>
      </c>
    </row>
    <row r="138" spans="1:9" ht="18" customHeight="1">
      <c r="A138" s="10"/>
      <c r="B138" s="12" t="s">
        <v>2861</v>
      </c>
      <c r="C138" s="12"/>
      <c r="F138" s="9" t="s">
        <v>717</v>
      </c>
      <c r="G138" s="40"/>
      <c r="H138" s="7" t="s">
        <v>2862</v>
      </c>
      <c r="I138" s="102" t="str">
        <f>IF(shinsei_CHARGE_ID2__RECEIPT_TO="","",shinsei_CHARGE_ID2__RECEIPT_TO)</f>
        <v/>
      </c>
    </row>
    <row r="139" spans="1:9" ht="18" customHeight="1">
      <c r="A139" s="10"/>
      <c r="B139" s="12" t="s">
        <v>2480</v>
      </c>
      <c r="C139" s="12"/>
      <c r="F139" s="9" t="s">
        <v>718</v>
      </c>
      <c r="G139" s="40"/>
      <c r="H139" s="7" t="s">
        <v>2863</v>
      </c>
      <c r="I139" s="102" t="str">
        <f>IF(shinsei_CHARGE_ID2__RECEIPT_DATE="","",shinsei_CHARGE_ID2__RECEIPT_DATE)</f>
        <v/>
      </c>
    </row>
    <row r="140" spans="1:9" ht="18" customHeight="1">
      <c r="A140" s="10"/>
      <c r="B140" s="12" t="s">
        <v>2864</v>
      </c>
      <c r="C140" s="12"/>
      <c r="F140" s="9" t="s">
        <v>719</v>
      </c>
      <c r="G140" s="40"/>
      <c r="H140" s="7" t="s">
        <v>2865</v>
      </c>
      <c r="I140" s="102" t="str">
        <f>IF(shinsei_CHARGE_ID2__DENPYOU_PRICE="","",shinsei_CHARGE_ID2__DENPYOU_PRICE)</f>
        <v/>
      </c>
    </row>
    <row r="141" spans="1:9" ht="18" customHeight="1">
      <c r="A141" s="10"/>
      <c r="B141" s="12" t="s">
        <v>2866</v>
      </c>
      <c r="C141" s="12"/>
      <c r="F141" s="9" t="s">
        <v>720</v>
      </c>
      <c r="G141" s="40"/>
      <c r="H141" s="7" t="s">
        <v>2867</v>
      </c>
      <c r="I141" s="102" t="str">
        <f>IF(shinsei_CHARGE_ID2__DENPYOU_NO="","",shinsei_CHARGE_ID2__DENPYOU_NO)</f>
        <v/>
      </c>
    </row>
    <row r="142" spans="1:9" ht="18" customHeight="1">
      <c r="A142" s="10"/>
      <c r="B142" s="9" t="s">
        <v>2868</v>
      </c>
      <c r="C142" s="12"/>
      <c r="F142" s="9"/>
    </row>
    <row r="143" spans="1:9" ht="18" customHeight="1">
      <c r="A143" s="10"/>
      <c r="B143" s="12" t="s">
        <v>2760</v>
      </c>
      <c r="C143" s="12"/>
      <c r="F143" s="9" t="s">
        <v>721</v>
      </c>
      <c r="G143" s="40"/>
      <c r="H143" s="7" t="s">
        <v>2869</v>
      </c>
      <c r="I143" s="102" t="str">
        <f>IF(shinsei_CHARGE_ID2__NOTE="","",shinsei_CHARGE_ID2__NOTE)</f>
        <v/>
      </c>
    </row>
    <row r="144" spans="1:9" ht="18" customHeight="1">
      <c r="A144" s="10"/>
      <c r="B144" s="12"/>
      <c r="C144" s="12"/>
      <c r="F144" s="9"/>
    </row>
    <row r="145" spans="1:9" ht="18" customHeight="1">
      <c r="A145" s="139" t="s">
        <v>2870</v>
      </c>
      <c r="B145" s="139"/>
      <c r="C145" s="139"/>
      <c r="D145" s="102"/>
      <c r="E145" s="102"/>
      <c r="F145" s="21"/>
    </row>
    <row r="147" spans="1:9" ht="18" customHeight="1">
      <c r="A147" s="9"/>
      <c r="B147" s="9" t="s">
        <v>2510</v>
      </c>
      <c r="C147" s="9"/>
      <c r="F147" s="9" t="s">
        <v>722</v>
      </c>
      <c r="G147" s="40"/>
      <c r="H147" s="7" t="s">
        <v>2871</v>
      </c>
      <c r="I147" s="102" t="str">
        <f>IF(shinsei_CHARGE_ID2__BASIC_CHARGE="","",shinsei_CHARGE_ID2__BASIC_CHARGE)</f>
        <v/>
      </c>
    </row>
    <row r="148" spans="1:9" ht="18" customHeight="1">
      <c r="A148" s="9"/>
      <c r="B148" s="9" t="s">
        <v>2518</v>
      </c>
      <c r="C148" s="9"/>
      <c r="F148" s="9"/>
    </row>
    <row r="149" spans="1:9" ht="18" customHeight="1">
      <c r="A149" s="9"/>
      <c r="B149" s="9"/>
      <c r="C149" s="9" t="s">
        <v>2505</v>
      </c>
      <c r="F149" s="9" t="s">
        <v>723</v>
      </c>
      <c r="G149" s="40"/>
      <c r="H149" s="7" t="s">
        <v>2872</v>
      </c>
      <c r="I149" s="102" t="str">
        <f>IF(shinsei_CHARGE_ID2__TIIKIWARIMASHI_CHARGE="","",shinsei_CHARGE_ID2__TIIKIWARIMASHI_CHARGE)</f>
        <v/>
      </c>
    </row>
    <row r="150" spans="1:9" ht="18" customHeight="1">
      <c r="A150" s="9"/>
      <c r="B150" s="9" t="s">
        <v>2524</v>
      </c>
      <c r="C150" s="9"/>
      <c r="F150" s="9" t="s">
        <v>724</v>
      </c>
      <c r="G150" s="40"/>
      <c r="H150" s="7" t="s">
        <v>2873</v>
      </c>
      <c r="I150" s="102" t="str">
        <f>IF(shinsei_CHARGE_ID2__meisai01_ITEM_NAME="","",shinsei_CHARGE_ID2__meisai01_ITEM_NAME)</f>
        <v/>
      </c>
    </row>
    <row r="151" spans="1:9" ht="18" customHeight="1">
      <c r="A151" s="9"/>
      <c r="B151" s="10"/>
      <c r="C151" s="9" t="s">
        <v>2530</v>
      </c>
      <c r="F151" s="9" t="s">
        <v>725</v>
      </c>
      <c r="G151" s="40"/>
      <c r="H151" s="7" t="s">
        <v>2874</v>
      </c>
      <c r="I151" s="102" t="str">
        <f>IF(shinsei_CHARGE_ID2__meisai01_SYOUKEI="","",shinsei_CHARGE_ID2__meisai01_SYOUKEI)</f>
        <v/>
      </c>
    </row>
    <row r="152" spans="1:9" ht="18" customHeight="1">
      <c r="A152" s="9"/>
      <c r="B152" s="9" t="s">
        <v>2533</v>
      </c>
      <c r="C152" s="9"/>
      <c r="F152" s="9" t="s">
        <v>726</v>
      </c>
      <c r="G152" s="40"/>
      <c r="H152" s="7" t="s">
        <v>2875</v>
      </c>
      <c r="I152" s="102" t="str">
        <f>IF(shinsei_CHARGE_ID2__meisai02_ITEM_NAME="","",shinsei_CHARGE_ID2__meisai02_ITEM_NAME)</f>
        <v/>
      </c>
    </row>
    <row r="153" spans="1:9" ht="18" customHeight="1">
      <c r="A153" s="9"/>
      <c r="B153" s="10"/>
      <c r="C153" s="9" t="s">
        <v>2530</v>
      </c>
      <c r="F153" s="9" t="s">
        <v>727</v>
      </c>
      <c r="G153" s="40"/>
      <c r="H153" s="7" t="s">
        <v>2876</v>
      </c>
      <c r="I153" s="102" t="str">
        <f>IF(shinsei_CHARGE_ID2__meisai02_SYOUKEI="","",shinsei_CHARGE_ID2__meisai02_SYOUKEI)</f>
        <v/>
      </c>
    </row>
    <row r="154" spans="1:9" ht="18" customHeight="1">
      <c r="A154" s="9"/>
      <c r="B154" s="9" t="s">
        <v>2538</v>
      </c>
      <c r="C154" s="9"/>
      <c r="F154" s="9" t="s">
        <v>728</v>
      </c>
      <c r="G154" s="40"/>
      <c r="H154" s="7" t="s">
        <v>2877</v>
      </c>
      <c r="I154" s="102" t="str">
        <f>IF(shinsei_CHARGE_ID2__meisai03_ITEM_NAME="","",shinsei_CHARGE_ID2__meisai03_ITEM_NAME)</f>
        <v/>
      </c>
    </row>
    <row r="155" spans="1:9" ht="18" customHeight="1">
      <c r="A155" s="9"/>
      <c r="B155" s="10"/>
      <c r="C155" s="9" t="s">
        <v>2530</v>
      </c>
      <c r="F155" s="9" t="s">
        <v>729</v>
      </c>
      <c r="G155" s="40"/>
      <c r="H155" s="7" t="s">
        <v>2878</v>
      </c>
      <c r="I155" s="102" t="str">
        <f>IF(shinsei_CHARGE_ID2__meisai03_SYOUKEI="","",shinsei_CHARGE_ID2__meisai03_SYOUKEI)</f>
        <v/>
      </c>
    </row>
    <row r="156" spans="1:9" ht="18" customHeight="1">
      <c r="A156" s="9"/>
      <c r="B156" s="9" t="s">
        <v>2544</v>
      </c>
      <c r="C156" s="9"/>
      <c r="F156" s="9" t="s">
        <v>730</v>
      </c>
      <c r="G156" s="40"/>
      <c r="H156" s="7" t="s">
        <v>2879</v>
      </c>
      <c r="I156" s="102" t="str">
        <f>IF(shinsei_CHARGE_ID2__meisai04_ITEM_NAME="","",shinsei_CHARGE_ID2__meisai04_ITEM_NAME)</f>
        <v/>
      </c>
    </row>
    <row r="157" spans="1:9" ht="18" customHeight="1">
      <c r="A157" s="9"/>
      <c r="B157" s="10"/>
      <c r="C157" s="9" t="s">
        <v>2530</v>
      </c>
      <c r="F157" s="9" t="s">
        <v>731</v>
      </c>
      <c r="G157" s="40"/>
      <c r="H157" s="7" t="s">
        <v>2880</v>
      </c>
      <c r="I157" s="102" t="str">
        <f>IF(shinsei_CHARGE_ID2__meisai04_SYOUKEI="","",shinsei_CHARGE_ID2__meisai04_SYOUKEI)</f>
        <v/>
      </c>
    </row>
    <row r="158" spans="1:9" ht="18" customHeight="1">
      <c r="A158" s="9"/>
      <c r="B158" s="9" t="s">
        <v>2549</v>
      </c>
      <c r="C158" s="9"/>
      <c r="F158" s="9" t="s">
        <v>732</v>
      </c>
      <c r="G158" s="40"/>
      <c r="H158" s="7" t="s">
        <v>2881</v>
      </c>
      <c r="I158" s="102" t="str">
        <f>IF(shinsei_CHARGE_ID2__meisai05_ITEM_NAME="","",shinsei_CHARGE_ID2__meisai05_ITEM_NAME)</f>
        <v/>
      </c>
    </row>
    <row r="159" spans="1:9" ht="18" customHeight="1">
      <c r="A159" s="9"/>
      <c r="B159" s="10"/>
      <c r="C159" s="9" t="s">
        <v>2530</v>
      </c>
      <c r="F159" s="9" t="s">
        <v>733</v>
      </c>
      <c r="G159" s="40"/>
      <c r="H159" s="7" t="s">
        <v>2882</v>
      </c>
      <c r="I159" s="102" t="str">
        <f>IF(shinsei_CHARGE_ID2__meisai05_SYOUKEI="","",shinsei_CHARGE_ID2__meisai05_SYOUKEI)</f>
        <v/>
      </c>
    </row>
    <row r="160" spans="1:9" ht="18" customHeight="1">
      <c r="A160" s="9"/>
      <c r="B160" s="9" t="s">
        <v>2554</v>
      </c>
      <c r="C160" s="9"/>
      <c r="F160" s="9" t="s">
        <v>734</v>
      </c>
      <c r="G160" s="40"/>
      <c r="H160" s="7" t="s">
        <v>2883</v>
      </c>
      <c r="I160" s="102" t="str">
        <f>IF(shinsei_CHARGE_ID2__meisai06_ITEM_NAME="","",shinsei_CHARGE_ID2__meisai06_ITEM_NAME)</f>
        <v/>
      </c>
    </row>
    <row r="161" spans="1:9" ht="18" customHeight="1">
      <c r="A161" s="9"/>
      <c r="B161" s="10"/>
      <c r="C161" s="9" t="s">
        <v>2530</v>
      </c>
      <c r="F161" s="9" t="s">
        <v>735</v>
      </c>
      <c r="G161" s="40"/>
      <c r="H161" s="7" t="s">
        <v>2884</v>
      </c>
      <c r="I161" s="102" t="str">
        <f>IF(shinsei_CHARGE_ID2__meisai06_SYOUKEI="","",shinsei_CHARGE_ID2__meisai06_SYOUKEI)</f>
        <v/>
      </c>
    </row>
    <row r="162" spans="1:9" ht="18" customHeight="1">
      <c r="A162" s="9"/>
      <c r="B162" s="9" t="s">
        <v>2560</v>
      </c>
      <c r="C162" s="9"/>
      <c r="F162" s="9" t="s">
        <v>736</v>
      </c>
      <c r="G162" s="40"/>
      <c r="H162" s="7" t="s">
        <v>2885</v>
      </c>
      <c r="I162" s="102" t="str">
        <f>IF(shinsei_CHARGE_ID2__meisai07_ITEM_NAME="","",shinsei_CHARGE_ID2__meisai07_ITEM_NAME)</f>
        <v/>
      </c>
    </row>
    <row r="163" spans="1:9" ht="18" customHeight="1">
      <c r="A163" s="9"/>
      <c r="B163" s="10"/>
      <c r="C163" s="9" t="s">
        <v>2530</v>
      </c>
      <c r="F163" s="9" t="s">
        <v>737</v>
      </c>
      <c r="G163" s="40"/>
      <c r="H163" s="7" t="s">
        <v>2886</v>
      </c>
      <c r="I163" s="102" t="str">
        <f>IF(shinsei_CHARGE_ID2__meisai07_SYOUKEI="","",shinsei_CHARGE_ID2__meisai07_SYOUKEI)</f>
        <v/>
      </c>
    </row>
    <row r="164" spans="1:9" ht="18" customHeight="1">
      <c r="A164" s="9"/>
      <c r="B164" s="9" t="s">
        <v>2565</v>
      </c>
      <c r="C164" s="9"/>
      <c r="F164" s="9" t="s">
        <v>738</v>
      </c>
      <c r="G164" s="40"/>
      <c r="H164" s="7" t="s">
        <v>2887</v>
      </c>
      <c r="I164" s="102" t="str">
        <f>IF(shinsei_CHARGE_ID2__meisai08_ITEM_NAME="","",shinsei_CHARGE_ID2__meisai08_ITEM_NAME)</f>
        <v/>
      </c>
    </row>
    <row r="165" spans="1:9" ht="18" customHeight="1">
      <c r="A165" s="9"/>
      <c r="B165" s="10"/>
      <c r="C165" s="9" t="s">
        <v>2530</v>
      </c>
      <c r="F165" s="9" t="s">
        <v>739</v>
      </c>
      <c r="G165" s="40"/>
      <c r="H165" s="7" t="s">
        <v>2888</v>
      </c>
      <c r="I165" s="102" t="str">
        <f>IF(shinsei_CHARGE_ID2__meisai08_SYOUKEI="","",shinsei_CHARGE_ID2__meisai08_SYOUKEI)</f>
        <v/>
      </c>
    </row>
    <row r="166" spans="1:9" ht="18" customHeight="1">
      <c r="A166" s="9"/>
      <c r="B166" s="9" t="s">
        <v>4090</v>
      </c>
      <c r="C166" s="9"/>
      <c r="F166" s="9" t="s">
        <v>740</v>
      </c>
      <c r="G166" s="40"/>
      <c r="H166" s="7" t="s">
        <v>2889</v>
      </c>
      <c r="I166" s="102" t="str">
        <f>IF(shinsei_CHARGE_ID2__meisai09_ITEM_NAME="","",shinsei_CHARGE_ID2__meisai09_ITEM_NAME)</f>
        <v/>
      </c>
    </row>
    <row r="167" spans="1:9" ht="18" customHeight="1">
      <c r="A167" s="9"/>
      <c r="B167" s="10"/>
      <c r="C167" s="9" t="s">
        <v>2530</v>
      </c>
      <c r="F167" s="9" t="s">
        <v>741</v>
      </c>
      <c r="G167" s="40"/>
      <c r="H167" s="7" t="s">
        <v>2890</v>
      </c>
      <c r="I167" s="102" t="str">
        <f>IF(shinsei_CHARGE_ID2__meisai09_SYOUKEI="","",shinsei_CHARGE_ID2__meisai09_SYOUKEI)</f>
        <v/>
      </c>
    </row>
    <row r="168" spans="1:9" ht="18" customHeight="1">
      <c r="A168" s="9"/>
      <c r="B168" s="9" t="s">
        <v>4097</v>
      </c>
      <c r="C168" s="9"/>
      <c r="F168" s="9" t="s">
        <v>742</v>
      </c>
      <c r="G168" s="40"/>
      <c r="H168" s="7" t="s">
        <v>2891</v>
      </c>
      <c r="I168" s="102" t="str">
        <f>IF(shinsei_CHARGE_ID2__meisai10_ITEM_NAME="","",shinsei_CHARGE_ID2__meisai10_ITEM_NAME)</f>
        <v/>
      </c>
    </row>
    <row r="169" spans="1:9" ht="18" customHeight="1">
      <c r="A169" s="9"/>
      <c r="B169" s="10"/>
      <c r="C169" s="9" t="s">
        <v>2530</v>
      </c>
      <c r="F169" s="9" t="s">
        <v>743</v>
      </c>
      <c r="G169" s="40"/>
      <c r="H169" s="7" t="s">
        <v>2892</v>
      </c>
      <c r="I169" s="102" t="str">
        <f>IF(shinsei_CHARGE_ID2__meisai10_SYOUKEI="","",shinsei_CHARGE_ID2__meisai10_SYOUKEI)</f>
        <v/>
      </c>
    </row>
    <row r="170" spans="1:9" ht="18" customHeight="1">
      <c r="A170" s="9"/>
      <c r="B170" s="9" t="s">
        <v>4103</v>
      </c>
      <c r="C170" s="9"/>
      <c r="F170" s="9" t="s">
        <v>744</v>
      </c>
      <c r="G170" s="40"/>
      <c r="H170" s="7" t="s">
        <v>2893</v>
      </c>
      <c r="I170" s="102" t="str">
        <f>IF(shinsei_CHARGE_ID2__meisai11_ITEM_NAME="","",shinsei_CHARGE_ID2__meisai11_ITEM_NAME)</f>
        <v/>
      </c>
    </row>
    <row r="171" spans="1:9" ht="18" customHeight="1">
      <c r="A171" s="9"/>
      <c r="B171" s="10"/>
      <c r="C171" s="9" t="s">
        <v>2530</v>
      </c>
      <c r="F171" s="9" t="s">
        <v>745</v>
      </c>
      <c r="G171" s="40"/>
      <c r="H171" s="7" t="s">
        <v>2894</v>
      </c>
      <c r="I171" s="102" t="str">
        <f>IF(shinsei_CHARGE_ID2__meisai11_SYOUKEI="","",shinsei_CHARGE_ID2__meisai11_SYOUKEI)</f>
        <v/>
      </c>
    </row>
    <row r="172" spans="1:9" ht="18" customHeight="1">
      <c r="A172" s="9"/>
      <c r="B172" s="9"/>
      <c r="C172" s="9"/>
      <c r="F172" s="9"/>
    </row>
    <row r="174" spans="1:9" ht="18" customHeight="1">
      <c r="B174" s="7" t="s">
        <v>2895</v>
      </c>
      <c r="F174" s="7" t="s">
        <v>746</v>
      </c>
      <c r="G174" s="40"/>
      <c r="H174" s="7" t="s">
        <v>2896</v>
      </c>
      <c r="I174" s="102" t="str">
        <f>IF(shinsei_CHARGE_ID2__STR_CHARGE="","",shinsei_CHARGE_ID2__STR_CHARGE)</f>
        <v/>
      </c>
    </row>
    <row r="177" spans="1:9" ht="18" customHeight="1">
      <c r="A177" s="138" t="s">
        <v>2897</v>
      </c>
      <c r="B177" s="138"/>
      <c r="C177" s="138"/>
      <c r="D177" s="138"/>
      <c r="E177" s="102"/>
      <c r="F177" s="102"/>
    </row>
    <row r="178" spans="1:9" ht="18" customHeight="1">
      <c r="A178" s="1"/>
      <c r="B178" s="1"/>
      <c r="C178" s="1"/>
      <c r="D178" s="1"/>
    </row>
    <row r="179" spans="1:9" ht="18" customHeight="1">
      <c r="A179" s="10"/>
      <c r="B179" s="12" t="s">
        <v>2898</v>
      </c>
      <c r="C179" s="12"/>
      <c r="F179" s="9" t="s">
        <v>747</v>
      </c>
      <c r="G179" s="40"/>
    </row>
    <row r="180" spans="1:9" ht="18" customHeight="1">
      <c r="A180" s="10"/>
      <c r="B180" s="10"/>
      <c r="C180" s="12" t="s">
        <v>4126</v>
      </c>
      <c r="F180" s="9" t="s">
        <v>748</v>
      </c>
      <c r="G180" s="40"/>
      <c r="H180" s="7" t="s">
        <v>2899</v>
      </c>
      <c r="I180" s="102" t="str">
        <f>IF(shinsei_CHARGE_ID3__CASH_FLAG="","",shinsei_CHARGE_ID3__CASH_FLAG)</f>
        <v/>
      </c>
    </row>
    <row r="181" spans="1:9" ht="18" customHeight="1">
      <c r="A181" s="10"/>
      <c r="B181" s="10"/>
      <c r="C181" s="12" t="s">
        <v>1378</v>
      </c>
      <c r="F181" s="9" t="s">
        <v>749</v>
      </c>
      <c r="G181" s="40"/>
    </row>
    <row r="182" spans="1:9" ht="18" customHeight="1">
      <c r="A182" s="10"/>
      <c r="B182" s="12" t="s">
        <v>4129</v>
      </c>
      <c r="C182" s="12"/>
      <c r="F182" s="9" t="s">
        <v>750</v>
      </c>
      <c r="G182" s="40"/>
      <c r="H182" s="7" t="s">
        <v>2900</v>
      </c>
      <c r="I182" s="102" t="str">
        <f>IF(shinsei_CHARGE_ID3__BASE_DATE="","",shinsei_CHARGE_ID3__BASE_DATE)</f>
        <v/>
      </c>
    </row>
    <row r="183" spans="1:9" ht="18" customHeight="1">
      <c r="A183" s="10"/>
      <c r="B183" s="12" t="s">
        <v>4131</v>
      </c>
      <c r="C183" s="12"/>
      <c r="F183" s="9" t="s">
        <v>751</v>
      </c>
      <c r="G183" s="40"/>
      <c r="H183" s="7" t="s">
        <v>2901</v>
      </c>
      <c r="I183" s="102" t="str">
        <f>IF(shinsei_CHARGE_ID3__bill__no="","",shinsei_CHARGE_ID3__bill__no)</f>
        <v/>
      </c>
    </row>
    <row r="184" spans="1:9" ht="18" customHeight="1">
      <c r="A184" s="10"/>
      <c r="B184" s="12" t="s">
        <v>4133</v>
      </c>
      <c r="C184" s="12"/>
      <c r="F184" s="9" t="s">
        <v>752</v>
      </c>
      <c r="G184" s="40"/>
      <c r="H184" s="7" t="s">
        <v>2902</v>
      </c>
      <c r="I184" s="102" t="str">
        <f>IF(shinsei_CHARGE_ID3__bill__date="","",shinsei_CHARGE_ID3__bill__date)</f>
        <v/>
      </c>
    </row>
    <row r="185" spans="1:9" ht="18" customHeight="1">
      <c r="A185" s="10"/>
      <c r="B185" s="12" t="s">
        <v>2854</v>
      </c>
      <c r="C185" s="12"/>
      <c r="F185" s="9"/>
    </row>
    <row r="186" spans="1:9" ht="18" customHeight="1">
      <c r="A186" s="10"/>
      <c r="B186" s="12"/>
      <c r="C186" s="12" t="s">
        <v>2490</v>
      </c>
      <c r="F186" s="9" t="s">
        <v>753</v>
      </c>
      <c r="G186" s="40"/>
    </row>
    <row r="187" spans="1:9" ht="18" customHeight="1">
      <c r="A187" s="10"/>
      <c r="B187" s="12"/>
      <c r="C187" s="12" t="s">
        <v>2492</v>
      </c>
      <c r="F187" s="9" t="s">
        <v>754</v>
      </c>
      <c r="G187" s="40"/>
    </row>
    <row r="188" spans="1:9" ht="18" customHeight="1">
      <c r="A188" s="10"/>
      <c r="B188" s="12"/>
      <c r="C188" s="12" t="s">
        <v>2856</v>
      </c>
      <c r="F188" s="9" t="s">
        <v>755</v>
      </c>
      <c r="G188" s="40"/>
    </row>
    <row r="189" spans="1:9" ht="18" customHeight="1">
      <c r="A189" s="10"/>
      <c r="B189" s="12"/>
      <c r="C189" s="12" t="s">
        <v>2496</v>
      </c>
      <c r="F189" s="9" t="s">
        <v>756</v>
      </c>
      <c r="G189" s="40"/>
    </row>
    <row r="190" spans="1:9" ht="18" customHeight="1">
      <c r="A190" s="10"/>
      <c r="B190" s="12" t="s">
        <v>2857</v>
      </c>
      <c r="C190" s="12"/>
      <c r="F190" s="9" t="s">
        <v>757</v>
      </c>
      <c r="G190" s="40"/>
      <c r="H190" s="7" t="s">
        <v>2903</v>
      </c>
      <c r="I190" s="102" t="str">
        <f>IF(shinsei_CHARGE_ID3__RECEIPT_AREA="","",shinsei_CHARGE_ID3__RECEIPT_AREA)</f>
        <v/>
      </c>
    </row>
    <row r="191" spans="1:9" ht="18" customHeight="1">
      <c r="A191" s="10"/>
      <c r="B191" s="12" t="s">
        <v>2859</v>
      </c>
      <c r="C191" s="12"/>
      <c r="F191" s="9" t="s">
        <v>758</v>
      </c>
      <c r="G191" s="40"/>
      <c r="H191" s="7" t="s">
        <v>2904</v>
      </c>
      <c r="I191" s="102" t="str">
        <f>IF(shinsei_CHARGE_ID3__ZERO_FLAG="","",shinsei_CHARGE_ID3__ZERO_FLAG)</f>
        <v/>
      </c>
    </row>
    <row r="192" spans="1:9" ht="18" customHeight="1">
      <c r="A192" s="10"/>
      <c r="B192" s="9" t="s">
        <v>2499</v>
      </c>
      <c r="C192" s="12"/>
      <c r="F192" s="9" t="s">
        <v>759</v>
      </c>
      <c r="G192" s="40"/>
      <c r="H192" s="7" t="s">
        <v>2905</v>
      </c>
      <c r="I192" s="102" t="str">
        <f>IF(shinsei_CHARGE_ID3__RECEIPT_PRICE="","",shinsei_CHARGE_ID3__RECEIPT_PRICE)</f>
        <v/>
      </c>
    </row>
    <row r="193" spans="1:9" ht="18" customHeight="1">
      <c r="A193" s="10"/>
      <c r="B193" s="12" t="s">
        <v>2861</v>
      </c>
      <c r="C193" s="12"/>
      <c r="F193" s="9" t="s">
        <v>760</v>
      </c>
      <c r="G193" s="40"/>
      <c r="H193" s="7" t="s">
        <v>2906</v>
      </c>
      <c r="I193" s="102" t="str">
        <f>IF(shinsei_CHARGE_ID3__RECEIPT_TO="","",shinsei_CHARGE_ID3__RECEIPT_TO)</f>
        <v/>
      </c>
    </row>
    <row r="194" spans="1:9" ht="18" customHeight="1">
      <c r="A194" s="10"/>
      <c r="B194" s="12" t="s">
        <v>2480</v>
      </c>
      <c r="C194" s="12"/>
      <c r="F194" s="9" t="s">
        <v>761</v>
      </c>
      <c r="G194" s="40"/>
      <c r="H194" s="7" t="s">
        <v>2907</v>
      </c>
      <c r="I194" s="102" t="str">
        <f>IF(shinsei_CHARGE_ID3__RECEIPT_DATE="","",shinsei_CHARGE_ID3__RECEIPT_DATE)</f>
        <v/>
      </c>
    </row>
    <row r="195" spans="1:9" ht="18" customHeight="1">
      <c r="A195" s="10"/>
      <c r="B195" s="12" t="s">
        <v>2864</v>
      </c>
      <c r="C195" s="12"/>
      <c r="F195" s="9" t="s">
        <v>762</v>
      </c>
      <c r="G195" s="40"/>
      <c r="H195" s="7" t="s">
        <v>2908</v>
      </c>
      <c r="I195" s="102" t="str">
        <f>IF(shinsei_CHARGE_ID3__DENPYOU_PRICE="","",shinsei_CHARGE_ID3__DENPYOU_PRICE)</f>
        <v/>
      </c>
    </row>
    <row r="196" spans="1:9" ht="18" customHeight="1">
      <c r="A196" s="10"/>
      <c r="B196" s="12" t="s">
        <v>2866</v>
      </c>
      <c r="C196" s="12"/>
      <c r="F196" s="9" t="s">
        <v>763</v>
      </c>
      <c r="G196" s="40"/>
      <c r="H196" s="7" t="s">
        <v>2909</v>
      </c>
      <c r="I196" s="102" t="str">
        <f>IF(shinsei_CHARGE_ID3__DENPYOU_NO="","",shinsei_CHARGE_ID3__DENPYOU_NO)</f>
        <v/>
      </c>
    </row>
    <row r="197" spans="1:9" ht="18" customHeight="1">
      <c r="A197" s="10"/>
      <c r="B197" s="9" t="s">
        <v>2868</v>
      </c>
      <c r="C197" s="12"/>
      <c r="F197" s="9"/>
    </row>
    <row r="198" spans="1:9" ht="18" customHeight="1">
      <c r="A198" s="10"/>
      <c r="B198" s="12" t="s">
        <v>2760</v>
      </c>
      <c r="C198" s="12"/>
      <c r="F198" s="9" t="s">
        <v>764</v>
      </c>
      <c r="G198" s="40"/>
      <c r="H198" s="7" t="s">
        <v>2910</v>
      </c>
      <c r="I198" s="102" t="str">
        <f>IF(shinsei_CHARGE_ID3__NOTE="","",shinsei_CHARGE_ID3__NOTE)</f>
        <v/>
      </c>
    </row>
    <row r="199" spans="1:9" ht="18" customHeight="1">
      <c r="A199" s="10"/>
      <c r="B199" s="12"/>
      <c r="C199" s="12"/>
      <c r="F199" s="9"/>
    </row>
    <row r="200" spans="1:9" ht="18" customHeight="1">
      <c r="A200" s="139" t="s">
        <v>2911</v>
      </c>
      <c r="B200" s="139"/>
      <c r="C200" s="139"/>
      <c r="D200" s="102"/>
      <c r="E200" s="102"/>
      <c r="F200" s="21"/>
    </row>
    <row r="202" spans="1:9" ht="18" customHeight="1">
      <c r="A202" s="9"/>
      <c r="B202" s="9" t="s">
        <v>2510</v>
      </c>
      <c r="C202" s="9"/>
      <c r="F202" s="9" t="s">
        <v>765</v>
      </c>
      <c r="G202" s="40"/>
      <c r="H202" s="7" t="s">
        <v>2912</v>
      </c>
      <c r="I202" s="102" t="str">
        <f>IF(shinsei_CHARGE_ID3__BASIC_CHARGE="","",shinsei_CHARGE_ID3__BASIC_CHARGE)</f>
        <v/>
      </c>
    </row>
    <row r="203" spans="1:9" ht="18" customHeight="1">
      <c r="A203" s="9"/>
      <c r="B203" s="9" t="s">
        <v>2518</v>
      </c>
      <c r="C203" s="9"/>
      <c r="F203" s="9"/>
    </row>
    <row r="204" spans="1:9" ht="18" customHeight="1">
      <c r="A204" s="9"/>
      <c r="B204" s="9"/>
      <c r="C204" s="9" t="s">
        <v>2505</v>
      </c>
      <c r="F204" s="9" t="s">
        <v>766</v>
      </c>
      <c r="G204" s="40"/>
      <c r="H204" s="7" t="s">
        <v>2913</v>
      </c>
      <c r="I204" s="102" t="str">
        <f>IF(shinsei_CHARGE_ID3__TIIKIWARIMASHI_CHARGE="","",shinsei_CHARGE_ID3__TIIKIWARIMASHI_CHARGE)</f>
        <v/>
      </c>
    </row>
    <row r="205" spans="1:9" ht="18" customHeight="1">
      <c r="A205" s="9"/>
      <c r="B205" s="9" t="s">
        <v>2524</v>
      </c>
      <c r="C205" s="9"/>
      <c r="F205" s="9" t="s">
        <v>767</v>
      </c>
      <c r="G205" s="40"/>
      <c r="H205" s="7" t="s">
        <v>2914</v>
      </c>
      <c r="I205" s="102" t="str">
        <f>IF(shinsei_CHARGE_ID3__meisai01_ITEM_NAME="","",shinsei_CHARGE_ID3__meisai01_ITEM_NAME)</f>
        <v/>
      </c>
    </row>
    <row r="206" spans="1:9" ht="18" customHeight="1">
      <c r="A206" s="9"/>
      <c r="B206" s="10"/>
      <c r="C206" s="9" t="s">
        <v>2530</v>
      </c>
      <c r="F206" s="9" t="s">
        <v>768</v>
      </c>
      <c r="G206" s="40"/>
      <c r="H206" s="7" t="s">
        <v>2915</v>
      </c>
      <c r="I206" s="102" t="str">
        <f>IF(shinsei_CHARGE_ID3__meisai01_SYOUKEI="","",shinsei_CHARGE_ID3__meisai01_SYOUKEI)</f>
        <v/>
      </c>
    </row>
    <row r="207" spans="1:9" ht="18" customHeight="1">
      <c r="A207" s="9"/>
      <c r="B207" s="9" t="s">
        <v>2533</v>
      </c>
      <c r="C207" s="9"/>
      <c r="F207" s="9" t="s">
        <v>769</v>
      </c>
      <c r="G207" s="40"/>
      <c r="H207" s="7" t="s">
        <v>2916</v>
      </c>
      <c r="I207" s="102" t="str">
        <f>IF(shinsei_CHARGE_ID3__meisai02_ITEM_NAME="","",shinsei_CHARGE_ID3__meisai02_ITEM_NAME)</f>
        <v/>
      </c>
    </row>
    <row r="208" spans="1:9" ht="18" customHeight="1">
      <c r="A208" s="9"/>
      <c r="B208" s="10"/>
      <c r="C208" s="9" t="s">
        <v>2530</v>
      </c>
      <c r="F208" s="9" t="s">
        <v>770</v>
      </c>
      <c r="G208" s="40"/>
      <c r="H208" s="7" t="s">
        <v>2917</v>
      </c>
      <c r="I208" s="102" t="str">
        <f>IF(shinsei_CHARGE_ID3__meisai02_SYOUKEI="","",shinsei_CHARGE_ID3__meisai02_SYOUKEI)</f>
        <v/>
      </c>
    </row>
    <row r="209" spans="1:9" ht="18" customHeight="1">
      <c r="A209" s="9"/>
      <c r="B209" s="9" t="s">
        <v>2538</v>
      </c>
      <c r="C209" s="9"/>
      <c r="F209" s="9" t="s">
        <v>771</v>
      </c>
      <c r="G209" s="40"/>
      <c r="H209" s="7" t="s">
        <v>2918</v>
      </c>
      <c r="I209" s="102" t="str">
        <f>IF(shinsei_CHARGE_ID3__meisai03_ITEM_NAME="","",shinsei_CHARGE_ID3__meisai03_ITEM_NAME)</f>
        <v/>
      </c>
    </row>
    <row r="210" spans="1:9" ht="18" customHeight="1">
      <c r="A210" s="9"/>
      <c r="B210" s="10"/>
      <c r="C210" s="9" t="s">
        <v>2530</v>
      </c>
      <c r="F210" s="9" t="s">
        <v>772</v>
      </c>
      <c r="G210" s="40"/>
      <c r="H210" s="7" t="s">
        <v>2919</v>
      </c>
      <c r="I210" s="102" t="str">
        <f>IF(shinsei_CHARGE_ID3__meisai03_SYOUKEI="","",shinsei_CHARGE_ID3__meisai03_SYOUKEI)</f>
        <v/>
      </c>
    </row>
    <row r="211" spans="1:9" ht="18" customHeight="1">
      <c r="A211" s="9"/>
      <c r="B211" s="9" t="s">
        <v>2544</v>
      </c>
      <c r="C211" s="9"/>
      <c r="F211" s="9" t="s">
        <v>773</v>
      </c>
      <c r="G211" s="40"/>
      <c r="H211" s="7" t="s">
        <v>2920</v>
      </c>
      <c r="I211" s="102" t="str">
        <f>IF(shinsei_CHARGE_ID3__meisai04_ITEM_NAME="","",shinsei_CHARGE_ID3__meisai04_ITEM_NAME)</f>
        <v/>
      </c>
    </row>
    <row r="212" spans="1:9" ht="18" customHeight="1">
      <c r="A212" s="9"/>
      <c r="B212" s="10"/>
      <c r="C212" s="9" t="s">
        <v>2530</v>
      </c>
      <c r="F212" s="9" t="s">
        <v>774</v>
      </c>
      <c r="G212" s="40"/>
      <c r="H212" s="7" t="s">
        <v>2921</v>
      </c>
      <c r="I212" s="102" t="str">
        <f>IF(shinsei_CHARGE_ID3__meisai04_SYOUKEI="","",shinsei_CHARGE_ID3__meisai04_SYOUKEI)</f>
        <v/>
      </c>
    </row>
    <row r="213" spans="1:9" ht="18" customHeight="1">
      <c r="A213" s="9"/>
      <c r="B213" s="9" t="s">
        <v>2549</v>
      </c>
      <c r="C213" s="9"/>
      <c r="F213" s="9" t="s">
        <v>775</v>
      </c>
      <c r="G213" s="40"/>
      <c r="H213" s="7" t="s">
        <v>2922</v>
      </c>
      <c r="I213" s="102" t="str">
        <f>IF(shinsei_CHARGE_ID3__meisai05_ITEM_NAME="","",shinsei_CHARGE_ID3__meisai05_ITEM_NAME)</f>
        <v/>
      </c>
    </row>
    <row r="214" spans="1:9" ht="18" customHeight="1">
      <c r="A214" s="9"/>
      <c r="B214" s="10"/>
      <c r="C214" s="9" t="s">
        <v>2530</v>
      </c>
      <c r="F214" s="9" t="s">
        <v>776</v>
      </c>
      <c r="G214" s="40"/>
      <c r="H214" s="7" t="s">
        <v>2923</v>
      </c>
      <c r="I214" s="102" t="str">
        <f>IF(shinsei_CHARGE_ID3__meisai05_SYOUKEI="","",shinsei_CHARGE_ID3__meisai05_SYOUKEI)</f>
        <v/>
      </c>
    </row>
    <row r="215" spans="1:9" ht="18" customHeight="1">
      <c r="A215" s="9"/>
      <c r="B215" s="9" t="s">
        <v>2554</v>
      </c>
      <c r="C215" s="9"/>
      <c r="F215" s="9" t="s">
        <v>777</v>
      </c>
      <c r="G215" s="40"/>
      <c r="H215" s="7" t="s">
        <v>2924</v>
      </c>
      <c r="I215" s="102" t="str">
        <f>IF(shinsei_CHARGE_ID3__meisai06_ITEM_NAME="","",shinsei_CHARGE_ID3__meisai06_ITEM_NAME)</f>
        <v/>
      </c>
    </row>
    <row r="216" spans="1:9" ht="18" customHeight="1">
      <c r="A216" s="9"/>
      <c r="B216" s="10"/>
      <c r="C216" s="9" t="s">
        <v>2530</v>
      </c>
      <c r="F216" s="9" t="s">
        <v>778</v>
      </c>
      <c r="G216" s="40"/>
      <c r="H216" s="7" t="s">
        <v>2925</v>
      </c>
      <c r="I216" s="102" t="str">
        <f>IF(shinsei_CHARGE_ID3__meisai06_SYOUKEI="","",shinsei_CHARGE_ID3__meisai06_SYOUKEI)</f>
        <v/>
      </c>
    </row>
    <row r="217" spans="1:9" ht="18" customHeight="1">
      <c r="A217" s="9"/>
      <c r="B217" s="9" t="s">
        <v>2560</v>
      </c>
      <c r="C217" s="9"/>
      <c r="F217" s="9" t="s">
        <v>779</v>
      </c>
      <c r="G217" s="40"/>
      <c r="H217" s="7" t="s">
        <v>2926</v>
      </c>
      <c r="I217" s="102" t="str">
        <f>IF(shinsei_CHARGE_ID3__meisai07_ITEM_NAME="","",shinsei_CHARGE_ID3__meisai07_ITEM_NAME)</f>
        <v/>
      </c>
    </row>
    <row r="218" spans="1:9" ht="18" customHeight="1">
      <c r="A218" s="9"/>
      <c r="B218" s="10"/>
      <c r="C218" s="9" t="s">
        <v>2530</v>
      </c>
      <c r="F218" s="9" t="s">
        <v>780</v>
      </c>
      <c r="G218" s="40"/>
      <c r="H218" s="7" t="s">
        <v>2927</v>
      </c>
      <c r="I218" s="102" t="str">
        <f>IF(shinsei_CHARGE_ID3__meisai07_SYOUKEI="","",shinsei_CHARGE_ID3__meisai07_SYOUKEI)</f>
        <v/>
      </c>
    </row>
    <row r="219" spans="1:9" ht="18" customHeight="1">
      <c r="A219" s="9"/>
      <c r="B219" s="9" t="s">
        <v>2565</v>
      </c>
      <c r="C219" s="9"/>
      <c r="F219" s="9" t="s">
        <v>781</v>
      </c>
      <c r="G219" s="40"/>
      <c r="H219" s="7" t="s">
        <v>2928</v>
      </c>
      <c r="I219" s="102" t="str">
        <f>IF(shinsei_CHARGE_ID3__meisai08_ITEM_NAME="","",shinsei_CHARGE_ID3__meisai08_ITEM_NAME)</f>
        <v/>
      </c>
    </row>
    <row r="220" spans="1:9" ht="18" customHeight="1">
      <c r="A220" s="9"/>
      <c r="B220" s="10"/>
      <c r="C220" s="9" t="s">
        <v>2530</v>
      </c>
      <c r="F220" s="9" t="s">
        <v>1137</v>
      </c>
      <c r="G220" s="40"/>
      <c r="H220" s="7" t="s">
        <v>2929</v>
      </c>
      <c r="I220" s="102" t="str">
        <f>IF(shinsei_CHARGE_ID3__meisai08_SYOUKEI="","",shinsei_CHARGE_ID3__meisai08_SYOUKEI)</f>
        <v/>
      </c>
    </row>
    <row r="221" spans="1:9" ht="18" customHeight="1">
      <c r="A221" s="9"/>
      <c r="B221" s="9" t="s">
        <v>4090</v>
      </c>
      <c r="C221" s="9"/>
      <c r="F221" s="9" t="s">
        <v>1138</v>
      </c>
      <c r="G221" s="40"/>
      <c r="H221" s="7" t="s">
        <v>2930</v>
      </c>
      <c r="I221" s="102" t="str">
        <f>IF(shinsei_CHARGE_ID3__meisai09_ITEM_NAME="","",shinsei_CHARGE_ID3__meisai09_ITEM_NAME)</f>
        <v/>
      </c>
    </row>
    <row r="222" spans="1:9" ht="18" customHeight="1">
      <c r="A222" s="9"/>
      <c r="B222" s="10"/>
      <c r="C222" s="9" t="s">
        <v>2530</v>
      </c>
      <c r="F222" s="9" t="s">
        <v>1139</v>
      </c>
      <c r="G222" s="40"/>
      <c r="H222" s="7" t="s">
        <v>2931</v>
      </c>
      <c r="I222" s="102" t="str">
        <f>IF(shinsei_CHARGE_ID3__meisai09_SYOUKEI="","",shinsei_CHARGE_ID3__meisai09_SYOUKEI)</f>
        <v/>
      </c>
    </row>
    <row r="223" spans="1:9" ht="18" customHeight="1">
      <c r="A223" s="9"/>
      <c r="B223" s="9" t="s">
        <v>4097</v>
      </c>
      <c r="C223" s="9"/>
      <c r="F223" s="9" t="s">
        <v>1140</v>
      </c>
      <c r="G223" s="40"/>
      <c r="H223" s="7" t="s">
        <v>2932</v>
      </c>
      <c r="I223" s="102" t="str">
        <f>IF(shinsei_CHARGE_ID3__meisai10_ITEM_NAME="","",shinsei_CHARGE_ID3__meisai10_ITEM_NAME)</f>
        <v/>
      </c>
    </row>
    <row r="224" spans="1:9" ht="18" customHeight="1">
      <c r="A224" s="9"/>
      <c r="B224" s="10"/>
      <c r="C224" s="9" t="s">
        <v>2530</v>
      </c>
      <c r="F224" s="9" t="s">
        <v>1141</v>
      </c>
      <c r="G224" s="40"/>
      <c r="H224" s="7" t="s">
        <v>2933</v>
      </c>
      <c r="I224" s="102" t="str">
        <f>IF(shinsei_CHARGE_ID3__meisai10_SYOUKEI="","",shinsei_CHARGE_ID3__meisai10_SYOUKEI)</f>
        <v/>
      </c>
    </row>
    <row r="225" spans="1:10" ht="18" customHeight="1">
      <c r="A225" s="9"/>
      <c r="B225" s="9" t="s">
        <v>4103</v>
      </c>
      <c r="C225" s="9"/>
      <c r="F225" s="9" t="s">
        <v>1142</v>
      </c>
      <c r="G225" s="40"/>
      <c r="H225" s="7" t="s">
        <v>2934</v>
      </c>
      <c r="I225" s="102" t="str">
        <f>IF(shinsei_CHARGE_ID3__meisai11_ITEM_NAME="","",shinsei_CHARGE_ID3__meisai11_ITEM_NAME)</f>
        <v/>
      </c>
    </row>
    <row r="226" spans="1:10" ht="18" customHeight="1">
      <c r="A226" s="9"/>
      <c r="B226" s="10"/>
      <c r="C226" s="9" t="s">
        <v>2530</v>
      </c>
      <c r="F226" s="9" t="s">
        <v>1143</v>
      </c>
      <c r="G226" s="40"/>
      <c r="H226" s="7" t="s">
        <v>2935</v>
      </c>
      <c r="I226" s="102" t="str">
        <f>IF(shinsei_CHARGE_ID3__meisai11_SYOUKEI="","",shinsei_CHARGE_ID3__meisai11_SYOUKEI)</f>
        <v/>
      </c>
    </row>
    <row r="229" spans="1:10" ht="18" customHeight="1">
      <c r="A229" s="12" t="s">
        <v>2936</v>
      </c>
      <c r="B229" s="10"/>
      <c r="C229" s="10"/>
      <c r="F229" s="9" t="s">
        <v>1144</v>
      </c>
      <c r="G229" s="40"/>
      <c r="H229" s="7" t="s">
        <v>2937</v>
      </c>
      <c r="I229" s="102" t="str">
        <f>IF(shinsei_CHARGE_ID3__STR_CHARGE="","",shinsei_CHARGE_ID3__STR_CHARGE)</f>
        <v/>
      </c>
    </row>
    <row r="233" spans="1:10" s="16" customFormat="1" ht="18" customHeight="1">
      <c r="A233" s="26" t="s">
        <v>2938</v>
      </c>
      <c r="B233" s="26"/>
      <c r="C233" s="26"/>
      <c r="D233" s="26"/>
      <c r="E233" s="26"/>
      <c r="F233" s="26"/>
      <c r="G233" s="28"/>
      <c r="I233" s="7"/>
      <c r="J233" s="18"/>
    </row>
    <row r="235" spans="1:10" s="10" customFormat="1" ht="18" customHeight="1">
      <c r="B235" s="12" t="s">
        <v>2898</v>
      </c>
      <c r="C235" s="12"/>
      <c r="D235" s="12"/>
      <c r="E235" s="12"/>
      <c r="F235" s="9" t="s">
        <v>2939</v>
      </c>
      <c r="G235" s="9"/>
      <c r="I235" s="9"/>
      <c r="J235" s="9" t="s">
        <v>2940</v>
      </c>
    </row>
    <row r="236" spans="1:10" s="10" customFormat="1" ht="18" customHeight="1">
      <c r="C236" s="12" t="s">
        <v>4126</v>
      </c>
      <c r="D236" s="12"/>
      <c r="E236" s="12"/>
      <c r="F236" s="9" t="s">
        <v>1284</v>
      </c>
      <c r="G236" s="9"/>
      <c r="I236" s="9"/>
      <c r="J236" s="10" t="s">
        <v>2941</v>
      </c>
    </row>
    <row r="237" spans="1:10" s="10" customFormat="1" ht="18" customHeight="1">
      <c r="C237" s="12" t="s">
        <v>1378</v>
      </c>
      <c r="D237" s="12"/>
      <c r="E237" s="12"/>
      <c r="F237" s="9" t="s">
        <v>2942</v>
      </c>
      <c r="G237" s="9"/>
      <c r="I237" s="9"/>
      <c r="J237" s="10" t="s">
        <v>2941</v>
      </c>
    </row>
    <row r="238" spans="1:10" s="10" customFormat="1" ht="18" customHeight="1">
      <c r="B238" s="12" t="s">
        <v>4129</v>
      </c>
      <c r="C238" s="12"/>
      <c r="D238" s="12"/>
      <c r="E238" s="12"/>
      <c r="F238" s="9" t="s">
        <v>1149</v>
      </c>
      <c r="G238" s="74"/>
      <c r="H238" s="10" t="s">
        <v>2943</v>
      </c>
      <c r="I238" s="128" t="str">
        <f>IF(charge_BASE_DATE="","",charge_BASE_DATE)</f>
        <v/>
      </c>
      <c r="J238" s="10" t="s">
        <v>4361</v>
      </c>
    </row>
    <row r="239" spans="1:10" s="10" customFormat="1" ht="18" customHeight="1">
      <c r="B239" s="12"/>
      <c r="C239" s="12"/>
      <c r="D239" s="12"/>
      <c r="E239" s="12"/>
      <c r="F239" s="9"/>
      <c r="G239" s="74"/>
      <c r="H239" s="10" t="s">
        <v>2944</v>
      </c>
      <c r="I239" s="128" t="str">
        <f ca="1">IF(charge_BASE_DATE="",TEXT(TODAY(),"ggg")&amp;"　　年　　月　日",charge_BASE_DATE)</f>
        <v>令和　　年　　月　日</v>
      </c>
    </row>
    <row r="240" spans="1:10" s="10" customFormat="1" ht="18" customHeight="1">
      <c r="B240" s="12" t="s">
        <v>4131</v>
      </c>
      <c r="C240" s="12"/>
      <c r="D240" s="12"/>
      <c r="E240" s="12"/>
      <c r="F240" s="9" t="s">
        <v>2945</v>
      </c>
      <c r="G240" s="9"/>
      <c r="I240" s="9"/>
      <c r="J240" s="10" t="s">
        <v>2770</v>
      </c>
    </row>
    <row r="241" spans="2:10" s="10" customFormat="1" ht="18" customHeight="1">
      <c r="B241" s="12" t="s">
        <v>4133</v>
      </c>
      <c r="C241" s="12"/>
      <c r="D241" s="12"/>
      <c r="E241" s="12"/>
      <c r="F241" s="9" t="s">
        <v>2946</v>
      </c>
      <c r="G241" s="9"/>
      <c r="I241" s="9"/>
      <c r="J241" s="10" t="s">
        <v>4361</v>
      </c>
    </row>
    <row r="242" spans="2:10" s="10" customFormat="1" ht="18" customHeight="1">
      <c r="B242" s="12" t="s">
        <v>2854</v>
      </c>
      <c r="C242" s="12"/>
      <c r="D242" s="12"/>
      <c r="E242" s="12"/>
      <c r="F242" s="9"/>
      <c r="G242" s="9"/>
      <c r="I242" s="9"/>
    </row>
    <row r="243" spans="2:10" s="10" customFormat="1" ht="18" customHeight="1">
      <c r="B243" s="12"/>
      <c r="C243" s="12" t="s">
        <v>2490</v>
      </c>
      <c r="D243" s="12"/>
      <c r="E243" s="12"/>
      <c r="F243" s="9" t="s">
        <v>2947</v>
      </c>
      <c r="G243" s="9"/>
      <c r="I243" s="9"/>
      <c r="J243" s="10" t="s">
        <v>2770</v>
      </c>
    </row>
    <row r="244" spans="2:10" s="10" customFormat="1" ht="18" customHeight="1">
      <c r="B244" s="12"/>
      <c r="C244" s="12" t="s">
        <v>2492</v>
      </c>
      <c r="D244" s="12"/>
      <c r="E244" s="12"/>
      <c r="F244" s="9" t="s">
        <v>2948</v>
      </c>
      <c r="G244" s="9"/>
      <c r="I244" s="9"/>
      <c r="J244" s="10" t="s">
        <v>2770</v>
      </c>
    </row>
    <row r="245" spans="2:10" s="10" customFormat="1" ht="18" customHeight="1">
      <c r="B245" s="12"/>
      <c r="C245" s="12" t="s">
        <v>2856</v>
      </c>
      <c r="D245" s="12"/>
      <c r="E245" s="12"/>
      <c r="F245" s="9" t="s">
        <v>1150</v>
      </c>
      <c r="G245" s="15"/>
      <c r="H245" s="9" t="s">
        <v>2949</v>
      </c>
      <c r="I245" s="19" t="str">
        <f>IF(charge_cust__caption="","",charge_cust__caption)</f>
        <v/>
      </c>
      <c r="J245" s="10" t="s">
        <v>2950</v>
      </c>
    </row>
    <row r="246" spans="2:10" s="10" customFormat="1" ht="18" customHeight="1">
      <c r="B246" s="12"/>
      <c r="C246" s="12" t="s">
        <v>2496</v>
      </c>
      <c r="D246" s="12"/>
      <c r="E246" s="12"/>
      <c r="F246" s="9" t="s">
        <v>2951</v>
      </c>
      <c r="G246" s="7"/>
      <c r="I246" s="9"/>
      <c r="J246" s="10" t="s">
        <v>2950</v>
      </c>
    </row>
    <row r="247" spans="2:10" s="10" customFormat="1" ht="18" customHeight="1">
      <c r="B247" s="12" t="s">
        <v>2857</v>
      </c>
      <c r="C247" s="12"/>
      <c r="D247" s="12"/>
      <c r="E247" s="12"/>
      <c r="F247" s="9" t="s">
        <v>2952</v>
      </c>
      <c r="G247" s="7"/>
      <c r="I247" s="9"/>
      <c r="J247" s="10" t="s">
        <v>2953</v>
      </c>
    </row>
    <row r="248" spans="2:10" s="10" customFormat="1" ht="18" customHeight="1">
      <c r="B248" s="12" t="s">
        <v>2859</v>
      </c>
      <c r="C248" s="12"/>
      <c r="D248" s="12"/>
      <c r="E248" s="12"/>
      <c r="F248" s="9" t="s">
        <v>2954</v>
      </c>
      <c r="G248" s="7"/>
      <c r="I248" s="9"/>
      <c r="J248" s="10" t="s">
        <v>2941</v>
      </c>
    </row>
    <row r="249" spans="2:10" s="10" customFormat="1" ht="18" customHeight="1">
      <c r="B249" s="12" t="s">
        <v>2955</v>
      </c>
      <c r="C249" s="12"/>
      <c r="D249" s="12"/>
      <c r="E249" s="12"/>
      <c r="F249" s="9" t="s">
        <v>1151</v>
      </c>
      <c r="G249" s="92">
        <v>250000</v>
      </c>
      <c r="H249" s="9" t="s">
        <v>2956</v>
      </c>
      <c r="I249" s="134">
        <f>IF(charge_RECEIPT_PRICE="","",charge_RECEIPT_PRICE)</f>
        <v>250000</v>
      </c>
      <c r="J249" s="10" t="s">
        <v>2505</v>
      </c>
    </row>
    <row r="250" spans="2:10" s="10" customFormat="1" ht="18" customHeight="1">
      <c r="B250" s="12" t="s">
        <v>2861</v>
      </c>
      <c r="C250" s="12"/>
      <c r="D250" s="12"/>
      <c r="E250" s="12"/>
      <c r="F250" s="9" t="s">
        <v>1152</v>
      </c>
      <c r="G250" s="40" t="s">
        <v>2957</v>
      </c>
      <c r="H250" s="9" t="s">
        <v>2958</v>
      </c>
      <c r="I250" s="21" t="str">
        <f>IF(charge_RECEIPT_TO="","",charge_RECEIPT_TO)</f>
        <v>株式会社領収書   代表取締役　氏名</v>
      </c>
      <c r="J250" s="10" t="s">
        <v>2556</v>
      </c>
    </row>
    <row r="251" spans="2:10" s="10" customFormat="1" ht="18" customHeight="1">
      <c r="B251" s="12"/>
      <c r="C251" s="12"/>
      <c r="D251" s="12"/>
      <c r="E251" s="12"/>
      <c r="F251" s="9"/>
      <c r="G251" s="7"/>
      <c r="H251" s="9" t="s">
        <v>2959</v>
      </c>
      <c r="I251" s="22" t="str">
        <f>IF(charge_RECEIPT_TO="","",IF(ISERROR(SEARCH("様",charge_RECEIPT_TO)),charge_RECEIPT_TO&amp;" 様",LEFT(charge_RECEIPT_TO,LEN(charge_RECEIPT_TO)-1)&amp;" 様"))</f>
        <v>株式会社領収書   代表取締役　氏名 様</v>
      </c>
    </row>
    <row r="252" spans="2:10" s="10" customFormat="1" ht="18" customHeight="1">
      <c r="B252" s="12"/>
      <c r="C252" s="12"/>
      <c r="D252" s="12"/>
      <c r="E252" s="12"/>
      <c r="F252" s="9"/>
      <c r="G252" s="7"/>
      <c r="H252" s="9" t="s">
        <v>2960</v>
      </c>
      <c r="I252" s="22" t="str">
        <f>IF(charge_RECEIPT_TO="","",SUBSTITUTE(SUBSTITUTE(charge_RECEIPT_TO,"　"," "),"   ",CHAR(10)))</f>
        <v>株式会社領収書
代表取締役 氏名</v>
      </c>
    </row>
    <row r="253" spans="2:10" s="10" customFormat="1" ht="18" customHeight="1">
      <c r="B253" s="12" t="s">
        <v>2480</v>
      </c>
      <c r="C253" s="12"/>
      <c r="D253" s="12"/>
      <c r="E253" s="12"/>
      <c r="F253" s="9" t="s">
        <v>1153</v>
      </c>
      <c r="G253" s="122"/>
      <c r="H253" s="9" t="s">
        <v>2961</v>
      </c>
      <c r="I253" s="140" t="str">
        <f>IF(charge_RECEIPT_DATE="","",charge_RECEIPT_DATE)</f>
        <v/>
      </c>
      <c r="J253" s="10" t="s">
        <v>2962</v>
      </c>
    </row>
    <row r="254" spans="2:10" s="10" customFormat="1" ht="18" customHeight="1">
      <c r="B254" s="12" t="s">
        <v>2864</v>
      </c>
      <c r="C254" s="12"/>
      <c r="D254" s="12"/>
      <c r="E254" s="12"/>
      <c r="F254" s="9" t="s">
        <v>2963</v>
      </c>
      <c r="G254" s="9"/>
      <c r="I254" s="9"/>
      <c r="J254" s="10" t="s">
        <v>2505</v>
      </c>
    </row>
    <row r="255" spans="2:10" s="10" customFormat="1" ht="18" customHeight="1">
      <c r="B255" s="12" t="s">
        <v>2866</v>
      </c>
      <c r="C255" s="12"/>
      <c r="D255" s="12"/>
      <c r="E255" s="12"/>
      <c r="F255" s="9" t="s">
        <v>2964</v>
      </c>
      <c r="G255" s="9"/>
      <c r="I255" s="9"/>
      <c r="J255" s="10" t="s">
        <v>2965</v>
      </c>
    </row>
    <row r="256" spans="2:10" s="10" customFormat="1" ht="18" customHeight="1">
      <c r="B256" s="12" t="s">
        <v>2760</v>
      </c>
      <c r="C256" s="12"/>
      <c r="D256" s="12"/>
      <c r="E256" s="12"/>
      <c r="F256" s="9" t="s">
        <v>1154</v>
      </c>
      <c r="G256" s="20"/>
      <c r="H256" s="10" t="s">
        <v>2966</v>
      </c>
      <c r="I256" s="21" t="str">
        <f>IF(charge_NOTE="","",charge_NOTE)</f>
        <v/>
      </c>
      <c r="J256" s="10" t="s">
        <v>2967</v>
      </c>
    </row>
    <row r="257" spans="1:10" s="10" customFormat="1" ht="18" customHeight="1">
      <c r="A257" s="9"/>
      <c r="B257" s="9" t="s">
        <v>2968</v>
      </c>
      <c r="C257" s="9"/>
      <c r="D257" s="9"/>
      <c r="E257" s="9"/>
      <c r="F257" s="9" t="s">
        <v>1155</v>
      </c>
      <c r="G257" s="20"/>
      <c r="H257" s="9" t="s">
        <v>2969</v>
      </c>
      <c r="I257" s="19" t="str">
        <f>IF(charge_DETAIL_BIKO="","",charge_DETAIL_BIKO)</f>
        <v/>
      </c>
      <c r="J257" s="9"/>
    </row>
    <row r="258" spans="1:10" ht="18" customHeight="1">
      <c r="B258" s="7" t="s">
        <v>2970</v>
      </c>
      <c r="H258" s="9" t="s">
        <v>2971</v>
      </c>
      <c r="I258" s="28" t="str">
        <f>"但し、上記"&amp;shinsei_TARGET_KIND&amp;"の"&amp;cst_shinsei_INSPECTION_TYPE_class4&amp;"申請代として"</f>
        <v>但し、上記建築物の確認申請代として</v>
      </c>
      <c r="J258" s="27"/>
    </row>
    <row r="259" spans="1:10" ht="18" customHeight="1">
      <c r="H259" s="27"/>
      <c r="I259" s="27"/>
      <c r="J259" s="27"/>
    </row>
    <row r="260" spans="1:10" s="10" customFormat="1" ht="18" customHeight="1">
      <c r="A260" s="9"/>
      <c r="B260" s="9" t="s">
        <v>2972</v>
      </c>
      <c r="C260" s="9"/>
      <c r="D260" s="9"/>
      <c r="E260" s="9"/>
      <c r="F260" s="9"/>
      <c r="G260" s="137"/>
      <c r="I260" s="9"/>
      <c r="J260" s="9"/>
    </row>
    <row r="261" spans="1:10" s="10" customFormat="1" ht="18" customHeight="1">
      <c r="A261" s="9"/>
      <c r="B261" s="9" t="s">
        <v>2510</v>
      </c>
      <c r="C261" s="9"/>
      <c r="D261" s="9"/>
      <c r="E261" s="9"/>
      <c r="F261" s="9" t="s">
        <v>1156</v>
      </c>
      <c r="G261" s="136">
        <v>100000</v>
      </c>
      <c r="H261" s="10" t="s">
        <v>2973</v>
      </c>
      <c r="I261" s="141">
        <f>IF(charge_BASIC_CHARGE="",0,charge_BASIC_CHARGE)</f>
        <v>100000</v>
      </c>
      <c r="J261" s="9"/>
    </row>
    <row r="262" spans="1:10" s="10" customFormat="1" ht="18" customHeight="1">
      <c r="A262" s="9"/>
      <c r="B262" s="9" t="s">
        <v>2974</v>
      </c>
      <c r="C262" s="9"/>
      <c r="D262" s="9"/>
      <c r="E262" s="9"/>
      <c r="F262" s="9" t="s">
        <v>1157</v>
      </c>
      <c r="G262" s="126"/>
      <c r="H262" s="9" t="s">
        <v>2975</v>
      </c>
      <c r="I262" s="140" t="str">
        <f>IF(charge_STR_SIHARAI_DATE="","",charge_STR_SIHARAI_DATE)</f>
        <v/>
      </c>
      <c r="J262" s="9"/>
    </row>
    <row r="263" spans="1:10" s="10" customFormat="1" ht="18" customHeight="1">
      <c r="A263" s="9"/>
      <c r="B263" s="9" t="s">
        <v>2976</v>
      </c>
      <c r="C263" s="9"/>
      <c r="D263" s="9"/>
      <c r="E263" s="9"/>
      <c r="F263" s="9" t="s">
        <v>1158</v>
      </c>
      <c r="G263" s="136">
        <v>150000</v>
      </c>
      <c r="H263" s="9" t="s">
        <v>2977</v>
      </c>
      <c r="I263" s="142">
        <f>IF(charge_STR_CHARGE="",0,charge_STR_CHARGE)</f>
        <v>150000</v>
      </c>
      <c r="J263" s="9"/>
    </row>
    <row r="264" spans="1:10" s="10" customFormat="1" ht="18" customHeight="1">
      <c r="A264" s="9"/>
      <c r="B264" s="9" t="s">
        <v>2978</v>
      </c>
      <c r="C264" s="9"/>
      <c r="D264" s="9"/>
      <c r="E264" s="9"/>
      <c r="F264" s="9"/>
      <c r="G264" s="9"/>
      <c r="H264" s="9" t="s">
        <v>2979</v>
      </c>
      <c r="I264" s="142">
        <f>cst_charge_STR_CHARGE+cst_charge_STR_CHARGE_WARIMASHI</f>
        <v>150000</v>
      </c>
      <c r="J264" s="9"/>
    </row>
    <row r="265" spans="1:10" s="10" customFormat="1" ht="18" customHeight="1">
      <c r="A265" s="9"/>
      <c r="B265" s="9"/>
      <c r="C265" s="9"/>
      <c r="D265" s="9"/>
      <c r="E265" s="9"/>
      <c r="G265" s="9"/>
      <c r="H265" s="9"/>
      <c r="I265" s="142"/>
      <c r="J265" s="9"/>
    </row>
    <row r="266" spans="1:10" s="10" customFormat="1" ht="18" customHeight="1">
      <c r="A266" s="9"/>
      <c r="B266" s="9" t="s">
        <v>2980</v>
      </c>
      <c r="C266" s="9"/>
      <c r="D266" s="9"/>
      <c r="E266" s="9"/>
      <c r="G266" s="9"/>
      <c r="H266" s="9" t="s">
        <v>2981</v>
      </c>
      <c r="I266" s="143">
        <f>cst_charge_TIIKIWARIMASHI_CHARGE+cst_charge_STR_CHARGE_WARIMASHI+cst_charge_ZOUGEN_nomi_CHARGE__total</f>
        <v>0</v>
      </c>
      <c r="J266" s="127"/>
    </row>
    <row r="267" spans="1:10" s="10" customFormat="1" ht="18" customHeight="1">
      <c r="A267" s="9"/>
      <c r="B267" s="9" t="s">
        <v>2982</v>
      </c>
      <c r="C267" s="9"/>
      <c r="D267" s="9"/>
      <c r="E267" s="9"/>
      <c r="F267" s="9"/>
      <c r="G267" s="137"/>
      <c r="H267" s="9" t="s">
        <v>2983</v>
      </c>
      <c r="I267" s="143">
        <f>cst_charge_meisai01_SYOUKEI+cst_charge_meisai02_SYOUKEI+cst_charge_meisai03_SYOUKEI+cst_charge_meisai04_SYOUKEI+cst_charge_meisai05_SYOUKEI+cst_charge_meisai06_SYOUKEI+cst_charge_meisai07_SYOUKEI+cst_charge_meisai08_SYOUKEI+cst_charge_meisai09_SYOUKEI+cst_charge_meisai10_SYOUKEI+cst_charge_meisai11_SYOUKEI</f>
        <v>0</v>
      </c>
      <c r="J267" s="9"/>
    </row>
    <row r="268" spans="1:10" s="10" customFormat="1" ht="18" customHeight="1">
      <c r="A268" s="9"/>
      <c r="B268" s="9"/>
      <c r="C268" s="9"/>
      <c r="D268" s="9"/>
      <c r="E268" s="9"/>
      <c r="F268" s="9"/>
      <c r="G268" s="137"/>
      <c r="I268" s="9"/>
      <c r="J268" s="9"/>
    </row>
    <row r="269" spans="1:10" s="10" customFormat="1" ht="18" customHeight="1">
      <c r="A269" s="9"/>
      <c r="B269" s="9" t="s">
        <v>2984</v>
      </c>
      <c r="C269" s="9"/>
      <c r="D269" s="9"/>
      <c r="E269" s="9"/>
      <c r="F269" s="9" t="s">
        <v>1159</v>
      </c>
      <c r="G269" s="136"/>
      <c r="H269" s="9" t="s">
        <v>2985</v>
      </c>
      <c r="I269" s="134">
        <f>IF(charge_STR_CHARGE_WARIMASHI="",0,charge_STR_CHARGE_WARIMASHI)</f>
        <v>0</v>
      </c>
      <c r="J269" s="9"/>
    </row>
    <row r="270" spans="1:10" s="10" customFormat="1" ht="18" customHeight="1">
      <c r="A270" s="9"/>
      <c r="B270" s="9" t="s">
        <v>2518</v>
      </c>
      <c r="C270" s="9"/>
      <c r="D270" s="9"/>
      <c r="E270" s="9"/>
      <c r="G270" s="9"/>
      <c r="H270" s="9" t="s">
        <v>2986</v>
      </c>
      <c r="I270" s="9" t="str">
        <f>IF(charge_STR_CHARGE_WARIMASHI="","",charge_STR_CHARGE_WARIMASHI)</f>
        <v/>
      </c>
      <c r="J270" s="9"/>
    </row>
    <row r="271" spans="1:10" s="10" customFormat="1" ht="18" customHeight="1">
      <c r="A271" s="9"/>
      <c r="B271" s="9"/>
      <c r="C271" s="9" t="s">
        <v>2519</v>
      </c>
      <c r="D271" s="9"/>
      <c r="E271" s="9"/>
      <c r="G271" s="9"/>
      <c r="H271" s="9" t="s">
        <v>2987</v>
      </c>
      <c r="I271" s="9"/>
      <c r="J271" s="9"/>
    </row>
    <row r="272" spans="1:10" s="10" customFormat="1" ht="18" customHeight="1">
      <c r="A272" s="9"/>
      <c r="B272" s="9"/>
      <c r="C272" s="9" t="s">
        <v>2521</v>
      </c>
      <c r="D272" s="9"/>
      <c r="E272" s="9"/>
      <c r="G272" s="9"/>
      <c r="H272" s="9" t="s">
        <v>2988</v>
      </c>
      <c r="I272" s="9"/>
      <c r="J272" s="9"/>
    </row>
    <row r="273" spans="1:10" s="10" customFormat="1" ht="18" customHeight="1">
      <c r="A273" s="9"/>
      <c r="B273" s="9"/>
      <c r="C273" s="9" t="s">
        <v>2505</v>
      </c>
      <c r="D273" s="9"/>
      <c r="E273" s="9"/>
      <c r="F273" s="9" t="s">
        <v>1160</v>
      </c>
      <c r="G273" s="136"/>
      <c r="H273" s="10" t="s">
        <v>2989</v>
      </c>
      <c r="I273" s="21">
        <f>IF(charge_TIIKIWARIMASHI_CHARGE="",0,charge_TIIKIWARIMASHI_CHARGE)</f>
        <v>0</v>
      </c>
      <c r="J273" s="9"/>
    </row>
    <row r="274" spans="1:10" s="10" customFormat="1" ht="18" customHeight="1">
      <c r="A274" s="9"/>
      <c r="B274" s="9" t="s">
        <v>2524</v>
      </c>
      <c r="C274" s="9"/>
      <c r="D274" s="9"/>
      <c r="E274" s="9"/>
      <c r="G274" s="9"/>
      <c r="H274" s="9"/>
      <c r="I274" s="9"/>
      <c r="J274" s="9"/>
    </row>
    <row r="275" spans="1:10" s="10" customFormat="1" ht="18" customHeight="1">
      <c r="A275" s="9"/>
      <c r="C275" s="9" t="s">
        <v>2755</v>
      </c>
      <c r="D275" s="9"/>
      <c r="E275" s="9"/>
      <c r="F275" s="9" t="s">
        <v>1161</v>
      </c>
      <c r="G275" s="13" t="s">
        <v>2990</v>
      </c>
      <c r="I275" s="9"/>
      <c r="J275" s="10" t="s">
        <v>2967</v>
      </c>
    </row>
    <row r="276" spans="1:10" s="10" customFormat="1" ht="18" customHeight="1">
      <c r="A276" s="9"/>
      <c r="C276" s="9" t="s">
        <v>2519</v>
      </c>
      <c r="D276" s="9"/>
      <c r="E276" s="9"/>
      <c r="F276" s="9" t="s">
        <v>2991</v>
      </c>
      <c r="G276" s="136"/>
      <c r="I276" s="137"/>
      <c r="J276" s="9" t="s">
        <v>2528</v>
      </c>
    </row>
    <row r="277" spans="1:10" s="10" customFormat="1" ht="18" customHeight="1">
      <c r="A277" s="9"/>
      <c r="C277" s="9" t="s">
        <v>2521</v>
      </c>
      <c r="D277" s="9"/>
      <c r="E277" s="9"/>
      <c r="F277" s="9" t="s">
        <v>2992</v>
      </c>
      <c r="G277" s="136"/>
      <c r="I277" s="137"/>
      <c r="J277" s="9" t="s">
        <v>2528</v>
      </c>
    </row>
    <row r="278" spans="1:10" s="10" customFormat="1" ht="18" customHeight="1">
      <c r="A278" s="9"/>
      <c r="C278" s="9" t="s">
        <v>2530</v>
      </c>
      <c r="D278" s="9"/>
      <c r="E278" s="9"/>
      <c r="F278" s="9" t="s">
        <v>1162</v>
      </c>
      <c r="G278" s="136"/>
      <c r="H278" s="10" t="s">
        <v>2993</v>
      </c>
      <c r="I278" s="21">
        <f>IF(charge_meisai01_SYOUKEI="",0,charge_meisai01_SYOUKEI)</f>
        <v>0</v>
      </c>
      <c r="J278" s="10" t="s">
        <v>2994</v>
      </c>
    </row>
    <row r="279" spans="1:10" s="10" customFormat="1" ht="18" customHeight="1">
      <c r="A279" s="9"/>
      <c r="B279" s="9" t="s">
        <v>2533</v>
      </c>
      <c r="C279" s="9"/>
      <c r="D279" s="9"/>
      <c r="E279" s="9"/>
      <c r="G279" s="9"/>
      <c r="H279" s="9"/>
      <c r="I279" s="9"/>
      <c r="J279" s="9"/>
    </row>
    <row r="280" spans="1:10" s="10" customFormat="1" ht="18" customHeight="1">
      <c r="A280" s="9"/>
      <c r="C280" s="9" t="s">
        <v>2755</v>
      </c>
      <c r="D280" s="9"/>
      <c r="E280" s="9"/>
      <c r="F280" s="9" t="s">
        <v>1163</v>
      </c>
      <c r="G280" s="13" t="s">
        <v>2995</v>
      </c>
      <c r="I280" s="9"/>
      <c r="J280" s="10" t="s">
        <v>2994</v>
      </c>
    </row>
    <row r="281" spans="1:10" s="10" customFormat="1" ht="18" customHeight="1">
      <c r="A281" s="9"/>
      <c r="C281" s="9" t="s">
        <v>2519</v>
      </c>
      <c r="D281" s="9"/>
      <c r="E281" s="9"/>
      <c r="F281" s="9" t="s">
        <v>2996</v>
      </c>
      <c r="G281" s="136"/>
      <c r="I281" s="137"/>
      <c r="J281" s="9" t="s">
        <v>2528</v>
      </c>
    </row>
    <row r="282" spans="1:10" s="10" customFormat="1" ht="18" customHeight="1">
      <c r="A282" s="9"/>
      <c r="C282" s="9" t="s">
        <v>2521</v>
      </c>
      <c r="D282" s="9"/>
      <c r="E282" s="9"/>
      <c r="F282" s="9" t="s">
        <v>1285</v>
      </c>
      <c r="G282" s="136"/>
      <c r="I282" s="137"/>
      <c r="J282" s="9" t="s">
        <v>2528</v>
      </c>
    </row>
    <row r="283" spans="1:10" s="10" customFormat="1" ht="18" customHeight="1">
      <c r="A283" s="9"/>
      <c r="C283" s="9" t="s">
        <v>2530</v>
      </c>
      <c r="D283" s="9"/>
      <c r="E283" s="9"/>
      <c r="F283" s="9" t="s">
        <v>1164</v>
      </c>
      <c r="G283" s="136"/>
      <c r="H283" s="10" t="s">
        <v>2997</v>
      </c>
      <c r="I283" s="21">
        <f>IF(charge_meisai02_SYOUKEI="",0,charge_meisai02_SYOUKEI)</f>
        <v>0</v>
      </c>
      <c r="J283" s="10" t="s">
        <v>2967</v>
      </c>
    </row>
    <row r="284" spans="1:10" s="10" customFormat="1" ht="18" customHeight="1">
      <c r="A284" s="9"/>
      <c r="B284" s="9" t="s">
        <v>2538</v>
      </c>
      <c r="C284" s="9"/>
      <c r="D284" s="9"/>
      <c r="E284" s="9"/>
      <c r="G284" s="9"/>
      <c r="H284" s="9"/>
      <c r="I284" s="9"/>
      <c r="J284" s="9"/>
    </row>
    <row r="285" spans="1:10" s="10" customFormat="1" ht="18" customHeight="1">
      <c r="A285" s="9"/>
      <c r="C285" s="9" t="s">
        <v>2755</v>
      </c>
      <c r="D285" s="9"/>
      <c r="E285" s="9"/>
      <c r="F285" s="9" t="s">
        <v>1165</v>
      </c>
      <c r="G285" s="13"/>
      <c r="I285" s="9"/>
      <c r="J285" s="10" t="s">
        <v>2967</v>
      </c>
    </row>
    <row r="286" spans="1:10" s="10" customFormat="1" ht="18" customHeight="1">
      <c r="A286" s="9"/>
      <c r="C286" s="9" t="s">
        <v>2519</v>
      </c>
      <c r="D286" s="9"/>
      <c r="E286" s="9"/>
      <c r="F286" s="9" t="s">
        <v>2998</v>
      </c>
      <c r="G286" s="136"/>
      <c r="I286" s="137"/>
      <c r="J286" s="9" t="s">
        <v>2528</v>
      </c>
    </row>
    <row r="287" spans="1:10" s="10" customFormat="1" ht="18" customHeight="1">
      <c r="A287" s="9"/>
      <c r="C287" s="9" t="s">
        <v>2521</v>
      </c>
      <c r="D287" s="9"/>
      <c r="E287" s="9"/>
      <c r="F287" s="9" t="s">
        <v>1286</v>
      </c>
      <c r="G287" s="136"/>
      <c r="I287" s="137"/>
      <c r="J287" s="9" t="s">
        <v>2528</v>
      </c>
    </row>
    <row r="288" spans="1:10" s="10" customFormat="1" ht="18" customHeight="1">
      <c r="A288" s="9"/>
      <c r="C288" s="9" t="s">
        <v>2530</v>
      </c>
      <c r="D288" s="9"/>
      <c r="E288" s="9"/>
      <c r="F288" s="9" t="s">
        <v>1166</v>
      </c>
      <c r="G288" s="136"/>
      <c r="H288" s="10" t="s">
        <v>2999</v>
      </c>
      <c r="I288" s="21">
        <f>IF(charge_meisai03_SYOUKEI="",0,charge_meisai03_SYOUKEI)</f>
        <v>0</v>
      </c>
      <c r="J288" s="10" t="s">
        <v>2967</v>
      </c>
    </row>
    <row r="289" spans="1:10" s="10" customFormat="1" ht="18" customHeight="1">
      <c r="A289" s="9"/>
      <c r="B289" s="9" t="s">
        <v>2544</v>
      </c>
      <c r="C289" s="9"/>
      <c r="D289" s="9"/>
      <c r="E289" s="9"/>
      <c r="G289" s="9"/>
      <c r="H289" s="9"/>
      <c r="I289" s="9"/>
      <c r="J289" s="9"/>
    </row>
    <row r="290" spans="1:10" s="10" customFormat="1" ht="18" customHeight="1">
      <c r="A290" s="9"/>
      <c r="C290" s="9" t="s">
        <v>2755</v>
      </c>
      <c r="D290" s="9"/>
      <c r="E290" s="9"/>
      <c r="F290" s="9" t="s">
        <v>1167</v>
      </c>
      <c r="G290" s="13"/>
      <c r="I290" s="9"/>
      <c r="J290" s="10" t="s">
        <v>2967</v>
      </c>
    </row>
    <row r="291" spans="1:10" s="10" customFormat="1" ht="18" customHeight="1">
      <c r="A291" s="9"/>
      <c r="C291" s="9" t="s">
        <v>2519</v>
      </c>
      <c r="D291" s="9"/>
      <c r="E291" s="9"/>
      <c r="F291" s="9" t="s">
        <v>3000</v>
      </c>
      <c r="G291" s="136"/>
      <c r="I291" s="137"/>
      <c r="J291" s="9" t="s">
        <v>2528</v>
      </c>
    </row>
    <row r="292" spans="1:10" s="10" customFormat="1" ht="18" customHeight="1">
      <c r="A292" s="9"/>
      <c r="C292" s="9" t="s">
        <v>2521</v>
      </c>
      <c r="D292" s="9"/>
      <c r="E292" s="9"/>
      <c r="F292" s="9" t="s">
        <v>3001</v>
      </c>
      <c r="G292" s="136"/>
      <c r="I292" s="137"/>
      <c r="J292" s="9" t="s">
        <v>2528</v>
      </c>
    </row>
    <row r="293" spans="1:10" s="10" customFormat="1" ht="18" customHeight="1">
      <c r="A293" s="9"/>
      <c r="C293" s="9" t="s">
        <v>2530</v>
      </c>
      <c r="D293" s="9"/>
      <c r="E293" s="9"/>
      <c r="F293" s="9" t="s">
        <v>1168</v>
      </c>
      <c r="G293" s="136"/>
      <c r="H293" s="10" t="s">
        <v>3002</v>
      </c>
      <c r="I293" s="21">
        <f>IF(charge_meisai04_SYOUKEI="",0,charge_meisai04_SYOUKEI)</f>
        <v>0</v>
      </c>
      <c r="J293" s="10" t="s">
        <v>2994</v>
      </c>
    </row>
    <row r="294" spans="1:10" s="10" customFormat="1" ht="18" customHeight="1">
      <c r="A294" s="9"/>
      <c r="B294" s="9" t="s">
        <v>2549</v>
      </c>
      <c r="C294" s="9"/>
      <c r="D294" s="9"/>
      <c r="E294" s="9"/>
      <c r="G294" s="9"/>
      <c r="H294" s="9"/>
      <c r="I294" s="9"/>
      <c r="J294" s="9"/>
    </row>
    <row r="295" spans="1:10" s="10" customFormat="1" ht="18" customHeight="1">
      <c r="A295" s="9"/>
      <c r="C295" s="9" t="s">
        <v>2755</v>
      </c>
      <c r="D295" s="9"/>
      <c r="E295" s="9"/>
      <c r="F295" s="9" t="s">
        <v>1169</v>
      </c>
      <c r="G295" s="13"/>
      <c r="I295" s="9"/>
      <c r="J295" s="10" t="s">
        <v>2994</v>
      </c>
    </row>
    <row r="296" spans="1:10" s="10" customFormat="1" ht="18" customHeight="1">
      <c r="A296" s="9"/>
      <c r="C296" s="9" t="s">
        <v>2519</v>
      </c>
      <c r="D296" s="9"/>
      <c r="E296" s="9"/>
      <c r="F296" s="9" t="s">
        <v>3003</v>
      </c>
      <c r="G296" s="136"/>
      <c r="I296" s="137"/>
      <c r="J296" s="9" t="s">
        <v>2528</v>
      </c>
    </row>
    <row r="297" spans="1:10" s="10" customFormat="1" ht="18" customHeight="1">
      <c r="A297" s="9"/>
      <c r="C297" s="9" t="s">
        <v>2521</v>
      </c>
      <c r="D297" s="9"/>
      <c r="E297" s="9"/>
      <c r="F297" s="9" t="s">
        <v>3004</v>
      </c>
      <c r="G297" s="136"/>
      <c r="I297" s="137"/>
      <c r="J297" s="9" t="s">
        <v>2528</v>
      </c>
    </row>
    <row r="298" spans="1:10" s="10" customFormat="1" ht="18" customHeight="1">
      <c r="A298" s="9"/>
      <c r="C298" s="9" t="s">
        <v>2530</v>
      </c>
      <c r="D298" s="9"/>
      <c r="E298" s="9"/>
      <c r="F298" s="9" t="s">
        <v>1170</v>
      </c>
      <c r="G298" s="136"/>
      <c r="H298" s="10" t="s">
        <v>3005</v>
      </c>
      <c r="I298" s="21">
        <f>IF(charge_meisai05_SYOUKEI="",0,charge_meisai05_SYOUKEI)</f>
        <v>0</v>
      </c>
      <c r="J298" s="10" t="s">
        <v>2967</v>
      </c>
    </row>
    <row r="299" spans="1:10" s="10" customFormat="1" ht="18" customHeight="1">
      <c r="A299" s="9"/>
      <c r="B299" s="9" t="s">
        <v>2554</v>
      </c>
      <c r="C299" s="9"/>
      <c r="D299" s="9"/>
      <c r="E299" s="9"/>
      <c r="G299" s="9"/>
      <c r="H299" s="9"/>
      <c r="I299" s="9"/>
      <c r="J299" s="9"/>
    </row>
    <row r="300" spans="1:10" s="10" customFormat="1" ht="18" customHeight="1">
      <c r="A300" s="9"/>
      <c r="C300" s="9" t="s">
        <v>2755</v>
      </c>
      <c r="D300" s="9"/>
      <c r="E300" s="9"/>
      <c r="F300" s="9" t="s">
        <v>1171</v>
      </c>
      <c r="G300" s="13"/>
      <c r="I300" s="9"/>
      <c r="J300" s="10" t="s">
        <v>2967</v>
      </c>
    </row>
    <row r="301" spans="1:10" s="10" customFormat="1" ht="18" customHeight="1">
      <c r="A301" s="9"/>
      <c r="C301" s="9" t="s">
        <v>2519</v>
      </c>
      <c r="D301" s="9"/>
      <c r="E301" s="9"/>
      <c r="F301" s="9" t="s">
        <v>3006</v>
      </c>
      <c r="G301" s="136"/>
      <c r="I301" s="137"/>
      <c r="J301" s="9" t="s">
        <v>2528</v>
      </c>
    </row>
    <row r="302" spans="1:10" s="10" customFormat="1" ht="18" customHeight="1">
      <c r="A302" s="9"/>
      <c r="C302" s="9" t="s">
        <v>2521</v>
      </c>
      <c r="D302" s="9"/>
      <c r="E302" s="9"/>
      <c r="F302" s="9" t="s">
        <v>3007</v>
      </c>
      <c r="G302" s="136"/>
      <c r="I302" s="137"/>
      <c r="J302" s="9" t="s">
        <v>2528</v>
      </c>
    </row>
    <row r="303" spans="1:10" s="10" customFormat="1" ht="18" customHeight="1">
      <c r="A303" s="9"/>
      <c r="C303" s="9" t="s">
        <v>2530</v>
      </c>
      <c r="D303" s="9"/>
      <c r="E303" s="9"/>
      <c r="F303" s="9" t="s">
        <v>1172</v>
      </c>
      <c r="G303" s="136"/>
      <c r="H303" s="10" t="s">
        <v>3008</v>
      </c>
      <c r="I303" s="21">
        <f>IF(charge_meisai06_SYOUKEI="",0,charge_meisai06_SYOUKEI)</f>
        <v>0</v>
      </c>
      <c r="J303" s="10" t="s">
        <v>3009</v>
      </c>
    </row>
    <row r="304" spans="1:10" s="10" customFormat="1" ht="18" customHeight="1">
      <c r="A304" s="9"/>
      <c r="B304" s="9" t="s">
        <v>2560</v>
      </c>
      <c r="C304" s="9"/>
      <c r="D304" s="9"/>
      <c r="E304" s="9"/>
      <c r="G304" s="9"/>
      <c r="H304" s="9"/>
      <c r="I304" s="9"/>
      <c r="J304" s="9"/>
    </row>
    <row r="305" spans="1:10" s="10" customFormat="1" ht="18" customHeight="1">
      <c r="A305" s="9"/>
      <c r="C305" s="9" t="s">
        <v>2755</v>
      </c>
      <c r="D305" s="9"/>
      <c r="E305" s="9"/>
      <c r="F305" s="9" t="s">
        <v>1173</v>
      </c>
      <c r="G305" s="13"/>
      <c r="I305" s="9"/>
      <c r="J305" s="10" t="s">
        <v>3009</v>
      </c>
    </row>
    <row r="306" spans="1:10" s="10" customFormat="1" ht="18" customHeight="1">
      <c r="A306" s="9"/>
      <c r="C306" s="9" t="s">
        <v>2519</v>
      </c>
      <c r="D306" s="9"/>
      <c r="E306" s="9"/>
      <c r="F306" s="9" t="s">
        <v>3010</v>
      </c>
      <c r="G306" s="136"/>
      <c r="I306" s="137"/>
      <c r="J306" s="9" t="s">
        <v>2528</v>
      </c>
    </row>
    <row r="307" spans="1:10" s="10" customFormat="1" ht="18" customHeight="1">
      <c r="A307" s="9"/>
      <c r="C307" s="9" t="s">
        <v>2521</v>
      </c>
      <c r="D307" s="9"/>
      <c r="E307" s="9"/>
      <c r="F307" s="9" t="s">
        <v>1287</v>
      </c>
      <c r="G307" s="136"/>
      <c r="I307" s="137"/>
      <c r="J307" s="9" t="s">
        <v>2528</v>
      </c>
    </row>
    <row r="308" spans="1:10" s="10" customFormat="1" ht="18" customHeight="1">
      <c r="A308" s="9"/>
      <c r="C308" s="9" t="s">
        <v>2530</v>
      </c>
      <c r="D308" s="9"/>
      <c r="E308" s="9"/>
      <c r="F308" s="9" t="s">
        <v>1174</v>
      </c>
      <c r="G308" s="136"/>
      <c r="H308" s="10" t="s">
        <v>3011</v>
      </c>
      <c r="I308" s="21">
        <f>IF(charge_meisai07_SYOUKEI="",0,charge_meisai07_SYOUKEI)</f>
        <v>0</v>
      </c>
      <c r="J308" s="10" t="s">
        <v>2770</v>
      </c>
    </row>
    <row r="309" spans="1:10" s="10" customFormat="1" ht="18" customHeight="1">
      <c r="A309" s="9"/>
      <c r="B309" s="9" t="s">
        <v>2565</v>
      </c>
      <c r="C309" s="9"/>
      <c r="D309" s="9"/>
      <c r="E309" s="9"/>
      <c r="G309" s="9"/>
      <c r="H309" s="9"/>
      <c r="I309" s="9"/>
      <c r="J309" s="9"/>
    </row>
    <row r="310" spans="1:10" s="10" customFormat="1" ht="18" customHeight="1">
      <c r="A310" s="9"/>
      <c r="C310" s="9" t="s">
        <v>2755</v>
      </c>
      <c r="D310" s="9"/>
      <c r="E310" s="9"/>
      <c r="F310" s="9" t="s">
        <v>1175</v>
      </c>
      <c r="G310" s="13"/>
      <c r="I310" s="9"/>
      <c r="J310" s="10" t="s">
        <v>2770</v>
      </c>
    </row>
    <row r="311" spans="1:10" s="10" customFormat="1" ht="18" customHeight="1">
      <c r="A311" s="9"/>
      <c r="C311" s="9" t="s">
        <v>2519</v>
      </c>
      <c r="D311" s="9"/>
      <c r="E311" s="9"/>
      <c r="F311" s="9" t="s">
        <v>3012</v>
      </c>
      <c r="G311" s="136"/>
      <c r="I311" s="137"/>
      <c r="J311" s="9" t="s">
        <v>2528</v>
      </c>
    </row>
    <row r="312" spans="1:10" s="10" customFormat="1" ht="18" customHeight="1">
      <c r="A312" s="9"/>
      <c r="C312" s="9" t="s">
        <v>2521</v>
      </c>
      <c r="D312" s="9"/>
      <c r="E312" s="9"/>
      <c r="F312" s="9" t="s">
        <v>3013</v>
      </c>
      <c r="G312" s="136"/>
      <c r="I312" s="137"/>
      <c r="J312" s="9" t="s">
        <v>2528</v>
      </c>
    </row>
    <row r="313" spans="1:10" s="10" customFormat="1" ht="18" customHeight="1">
      <c r="A313" s="9"/>
      <c r="C313" s="9" t="s">
        <v>2530</v>
      </c>
      <c r="D313" s="9"/>
      <c r="E313" s="9"/>
      <c r="F313" s="9" t="s">
        <v>1176</v>
      </c>
      <c r="G313" s="136"/>
      <c r="H313" s="10" t="s">
        <v>3014</v>
      </c>
      <c r="I313" s="21">
        <f>IF(charge_meisai08_SYOUKEI="",0,charge_meisai08_SYOUKEI)</f>
        <v>0</v>
      </c>
      <c r="J313" s="10" t="s">
        <v>2770</v>
      </c>
    </row>
    <row r="314" spans="1:10" s="10" customFormat="1" ht="18" customHeight="1">
      <c r="A314" s="9"/>
      <c r="B314" s="9" t="s">
        <v>4090</v>
      </c>
      <c r="C314" s="9"/>
      <c r="D314" s="9"/>
      <c r="E314" s="9"/>
      <c r="G314" s="9"/>
      <c r="H314" s="9"/>
      <c r="I314" s="9"/>
      <c r="J314" s="9"/>
    </row>
    <row r="315" spans="1:10" s="10" customFormat="1" ht="18" customHeight="1">
      <c r="A315" s="9"/>
      <c r="C315" s="9" t="s">
        <v>2755</v>
      </c>
      <c r="D315" s="9"/>
      <c r="E315" s="9"/>
      <c r="F315" s="9" t="s">
        <v>1177</v>
      </c>
      <c r="G315" s="13"/>
      <c r="I315" s="9"/>
      <c r="J315" s="10" t="s">
        <v>2770</v>
      </c>
    </row>
    <row r="316" spans="1:10" s="10" customFormat="1" ht="18" customHeight="1">
      <c r="A316" s="9"/>
      <c r="C316" s="9" t="s">
        <v>2519</v>
      </c>
      <c r="D316" s="9"/>
      <c r="E316" s="9"/>
      <c r="F316" s="9" t="s">
        <v>3015</v>
      </c>
      <c r="G316" s="136"/>
      <c r="I316" s="137"/>
      <c r="J316" s="9" t="s">
        <v>2528</v>
      </c>
    </row>
    <row r="317" spans="1:10" s="10" customFormat="1" ht="18" customHeight="1">
      <c r="A317" s="9"/>
      <c r="C317" s="9" t="s">
        <v>2521</v>
      </c>
      <c r="D317" s="9"/>
      <c r="E317" s="9"/>
      <c r="F317" s="9" t="s">
        <v>3016</v>
      </c>
      <c r="G317" s="136"/>
      <c r="I317" s="137"/>
      <c r="J317" s="9" t="s">
        <v>2528</v>
      </c>
    </row>
    <row r="318" spans="1:10" s="10" customFormat="1" ht="18" customHeight="1">
      <c r="A318" s="9"/>
      <c r="C318" s="9" t="s">
        <v>2530</v>
      </c>
      <c r="D318" s="9"/>
      <c r="E318" s="9"/>
      <c r="F318" s="9" t="s">
        <v>1178</v>
      </c>
      <c r="G318" s="136"/>
      <c r="H318" s="10" t="s">
        <v>3017</v>
      </c>
      <c r="I318" s="21">
        <f>IF(charge_meisai09_SYOUKEI="",0,charge_meisai09_SYOUKEI)</f>
        <v>0</v>
      </c>
      <c r="J318" s="10" t="s">
        <v>2770</v>
      </c>
    </row>
    <row r="319" spans="1:10" s="10" customFormat="1" ht="18" customHeight="1">
      <c r="A319" s="9"/>
      <c r="B319" s="9" t="s">
        <v>4097</v>
      </c>
      <c r="C319" s="9"/>
      <c r="D319" s="9"/>
      <c r="E319" s="9"/>
      <c r="G319" s="9"/>
      <c r="H319" s="9"/>
      <c r="I319" s="9"/>
      <c r="J319" s="9"/>
    </row>
    <row r="320" spans="1:10" s="10" customFormat="1" ht="18" customHeight="1">
      <c r="A320" s="9"/>
      <c r="C320" s="9" t="s">
        <v>2755</v>
      </c>
      <c r="D320" s="9"/>
      <c r="E320" s="9"/>
      <c r="F320" s="9" t="s">
        <v>1179</v>
      </c>
      <c r="G320" s="13"/>
      <c r="I320" s="9"/>
      <c r="J320" s="10" t="s">
        <v>2770</v>
      </c>
    </row>
    <row r="321" spans="1:10" s="10" customFormat="1" ht="18" customHeight="1">
      <c r="A321" s="9"/>
      <c r="C321" s="9" t="s">
        <v>2519</v>
      </c>
      <c r="D321" s="9"/>
      <c r="E321" s="9"/>
      <c r="F321" s="9" t="s">
        <v>1288</v>
      </c>
      <c r="G321" s="136"/>
      <c r="I321" s="137"/>
      <c r="J321" s="9" t="s">
        <v>2528</v>
      </c>
    </row>
    <row r="322" spans="1:10" s="10" customFormat="1" ht="18" customHeight="1">
      <c r="A322" s="9"/>
      <c r="C322" s="9" t="s">
        <v>2521</v>
      </c>
      <c r="D322" s="9"/>
      <c r="E322" s="9"/>
      <c r="F322" s="9" t="s">
        <v>3018</v>
      </c>
      <c r="G322" s="136"/>
      <c r="I322" s="137"/>
      <c r="J322" s="9" t="s">
        <v>2528</v>
      </c>
    </row>
    <row r="323" spans="1:10" s="10" customFormat="1" ht="18" customHeight="1">
      <c r="A323" s="9"/>
      <c r="C323" s="9" t="s">
        <v>2530</v>
      </c>
      <c r="D323" s="9"/>
      <c r="E323" s="9"/>
      <c r="F323" s="9" t="s">
        <v>1180</v>
      </c>
      <c r="G323" s="136"/>
      <c r="H323" s="10" t="s">
        <v>3019</v>
      </c>
      <c r="I323" s="21">
        <f>IF(charge_meisai10_SYOUKEI="",0,charge_meisai10_SYOUKEI)</f>
        <v>0</v>
      </c>
      <c r="J323" s="10" t="s">
        <v>2770</v>
      </c>
    </row>
    <row r="324" spans="1:10" s="10" customFormat="1" ht="18" customHeight="1">
      <c r="A324" s="9"/>
      <c r="B324" s="9" t="s">
        <v>4103</v>
      </c>
      <c r="C324" s="9"/>
      <c r="D324" s="9"/>
      <c r="E324" s="9"/>
      <c r="G324" s="9"/>
      <c r="H324" s="9"/>
      <c r="I324" s="9"/>
      <c r="J324" s="9"/>
    </row>
    <row r="325" spans="1:10" s="10" customFormat="1" ht="18" customHeight="1">
      <c r="A325" s="9"/>
      <c r="C325" s="9" t="s">
        <v>2755</v>
      </c>
      <c r="D325" s="9"/>
      <c r="E325" s="9"/>
      <c r="F325" s="9" t="s">
        <v>1181</v>
      </c>
      <c r="G325" s="13"/>
      <c r="I325" s="9"/>
      <c r="J325" s="10" t="s">
        <v>2770</v>
      </c>
    </row>
    <row r="326" spans="1:10" s="10" customFormat="1" ht="18" customHeight="1">
      <c r="A326" s="9"/>
      <c r="C326" s="9" t="s">
        <v>2519</v>
      </c>
      <c r="D326" s="9"/>
      <c r="E326" s="9"/>
      <c r="F326" s="9" t="s">
        <v>3020</v>
      </c>
      <c r="G326" s="136"/>
      <c r="I326" s="137"/>
      <c r="J326" s="9" t="s">
        <v>2528</v>
      </c>
    </row>
    <row r="327" spans="1:10" s="10" customFormat="1" ht="18" customHeight="1">
      <c r="A327" s="9"/>
      <c r="C327" s="9" t="s">
        <v>2521</v>
      </c>
      <c r="D327" s="9"/>
      <c r="E327" s="9"/>
      <c r="F327" s="9" t="s">
        <v>3021</v>
      </c>
      <c r="G327" s="136"/>
      <c r="I327" s="137"/>
      <c r="J327" s="9" t="s">
        <v>2528</v>
      </c>
    </row>
    <row r="328" spans="1:10" s="10" customFormat="1" ht="18" customHeight="1">
      <c r="A328" s="9"/>
      <c r="C328" s="9" t="s">
        <v>2530</v>
      </c>
      <c r="D328" s="9"/>
      <c r="E328" s="9"/>
      <c r="F328" s="9" t="s">
        <v>1182</v>
      </c>
      <c r="G328" s="136"/>
      <c r="H328" s="10" t="s">
        <v>3022</v>
      </c>
      <c r="I328" s="21">
        <f>IF(charge_meisai11_SYOUKEI="",0,charge_meisai11_SYOUKEI)</f>
        <v>0</v>
      </c>
      <c r="J328" s="10" t="s">
        <v>2770</v>
      </c>
    </row>
    <row r="329" spans="1:10" s="10" customFormat="1" ht="18" customHeight="1">
      <c r="A329" s="9"/>
      <c r="B329" s="9"/>
      <c r="C329" s="9"/>
      <c r="D329" s="9"/>
      <c r="E329" s="9"/>
      <c r="F329" s="9"/>
      <c r="G329" s="9"/>
      <c r="H329" s="9"/>
      <c r="I329" s="9"/>
      <c r="J329" s="9"/>
    </row>
    <row r="330" spans="1:10" ht="18" customHeight="1">
      <c r="H330" s="27"/>
      <c r="I330" s="27"/>
      <c r="J330" s="27"/>
    </row>
    <row r="331" spans="1:10" ht="18" customHeight="1">
      <c r="A331" s="7" t="s">
        <v>4354</v>
      </c>
      <c r="B331" s="7" t="s">
        <v>4108</v>
      </c>
      <c r="F331" s="7" t="s">
        <v>1183</v>
      </c>
      <c r="G331" s="40"/>
      <c r="H331" s="27" t="s">
        <v>3023</v>
      </c>
      <c r="I331" s="75" t="str">
        <f>IF(charge_income01_INCOME_DATE="","",charge_income01_INCOME_DATE)</f>
        <v/>
      </c>
      <c r="J331" s="27"/>
    </row>
    <row r="332" spans="1:10" ht="18" customHeight="1">
      <c r="A332" s="7" t="s">
        <v>4354</v>
      </c>
      <c r="B332" s="7" t="s">
        <v>4111</v>
      </c>
      <c r="F332" s="7" t="s">
        <v>1184</v>
      </c>
      <c r="G332" s="40"/>
      <c r="H332" s="27" t="s">
        <v>3024</v>
      </c>
      <c r="I332" s="75" t="str">
        <f>IF(charge_income02_INCOME_DATE="","",charge_income02_INCOME_DATE)</f>
        <v/>
      </c>
      <c r="J332" s="27"/>
    </row>
    <row r="333" spans="1:10" ht="18" customHeight="1">
      <c r="A333" s="7" t="s">
        <v>4354</v>
      </c>
      <c r="B333" s="7" t="s">
        <v>4114</v>
      </c>
      <c r="F333" s="7" t="s">
        <v>1185</v>
      </c>
      <c r="G333" s="40"/>
      <c r="H333" s="27" t="s">
        <v>3025</v>
      </c>
      <c r="I333" s="75" t="str">
        <f>IF(charge_income03_INCOME_DATE="","",charge_income03_INCOME_DATE)</f>
        <v/>
      </c>
      <c r="J333" s="27"/>
    </row>
    <row r="334" spans="1:10" ht="18" customHeight="1">
      <c r="A334" s="7" t="s">
        <v>4354</v>
      </c>
      <c r="B334" s="7" t="s">
        <v>4117</v>
      </c>
      <c r="F334" s="7" t="s">
        <v>1186</v>
      </c>
      <c r="G334" s="40"/>
      <c r="H334" s="27" t="s">
        <v>3026</v>
      </c>
      <c r="I334" s="144" t="str">
        <f>IF(charge_income01_INCOME_MONEY="","",charge_income01_INCOME_MONEY)</f>
        <v/>
      </c>
      <c r="J334" s="27"/>
    </row>
    <row r="335" spans="1:10" ht="18" customHeight="1">
      <c r="A335" s="7" t="s">
        <v>3027</v>
      </c>
      <c r="B335" s="7" t="s">
        <v>3028</v>
      </c>
      <c r="F335" s="7" t="s">
        <v>1187</v>
      </c>
      <c r="G335" s="40"/>
      <c r="H335" s="27" t="s">
        <v>3029</v>
      </c>
      <c r="I335" s="144" t="str">
        <f>IF(charge_income02_INCOME_MONEY="","",charge_income02_INCOME_MONEY)</f>
        <v/>
      </c>
      <c r="J335" s="27"/>
    </row>
    <row r="336" spans="1:10" ht="18" customHeight="1">
      <c r="A336" s="7" t="s">
        <v>3030</v>
      </c>
      <c r="B336" s="7" t="s">
        <v>3031</v>
      </c>
      <c r="F336" s="7" t="s">
        <v>1188</v>
      </c>
      <c r="G336" s="40"/>
      <c r="H336" s="27" t="s">
        <v>3032</v>
      </c>
      <c r="I336" s="144" t="str">
        <f>IF(charge_income03_INCOME_MONEY="","",charge_income03_INCOME_MONEY)</f>
        <v/>
      </c>
      <c r="J336" s="27"/>
    </row>
    <row r="337" spans="1:10" s="27" customFormat="1" ht="18" customHeight="1">
      <c r="G337" s="145"/>
      <c r="I337" s="145"/>
    </row>
    <row r="338" spans="1:10" s="27" customFormat="1" ht="18" customHeight="1">
      <c r="A338" s="27" t="s">
        <v>3034</v>
      </c>
      <c r="B338" s="27" t="s">
        <v>3035</v>
      </c>
      <c r="G338" s="145"/>
      <c r="H338" s="27" t="s">
        <v>3036</v>
      </c>
      <c r="I338" s="75" t="str">
        <f>IF(cst__button_no=1,IF(cst_charge_income01_INCOME_DATE&lt;&gt;"",cst_charge_income01_INCOME_DATE,cst_charge_RECEIPT_DATE),IF(cst__button_no=2,cst_charge_income02_INCOME_DATE,IF(cst__button_no=3,cst_charge_income03_INCOME_DATE,"")))</f>
        <v/>
      </c>
      <c r="J338" s="27" t="s">
        <v>3037</v>
      </c>
    </row>
    <row r="339" spans="1:10" s="27" customFormat="1" ht="18" customHeight="1">
      <c r="A339" s="27" t="s">
        <v>3033</v>
      </c>
      <c r="B339" s="27" t="s">
        <v>3038</v>
      </c>
      <c r="G339" s="145"/>
      <c r="H339" s="27" t="s">
        <v>1289</v>
      </c>
      <c r="I339" s="144" t="str">
        <f>IF(cst__button_no=1,IF(cst_charge_income01_INCOME_MONEY&lt;&gt;"",cst_charge_income01_INCOME_MONEY,cst_charge_RECEIPT_PRICE),IF(cst__button_no=2,cst_charge_income02_INCOME_MONEY,IF(cst__button_no=3,cst_charge_income03_INCOME_MONEY,"")))</f>
        <v/>
      </c>
      <c r="J339" s="27" t="s">
        <v>3037</v>
      </c>
    </row>
    <row r="340" spans="1:10" s="27" customFormat="1" ht="18" customHeight="1">
      <c r="G340" s="145"/>
      <c r="I340" s="145"/>
    </row>
    <row r="341" spans="1:10" s="27" customFormat="1" ht="18" customHeight="1">
      <c r="A341" s="12" t="s">
        <v>3039</v>
      </c>
      <c r="G341" s="145"/>
      <c r="I341" s="145"/>
    </row>
    <row r="342" spans="1:10" s="27" customFormat="1" ht="18" customHeight="1">
      <c r="B342" s="9" t="s">
        <v>2955</v>
      </c>
      <c r="C342" s="9"/>
      <c r="D342" s="9"/>
      <c r="E342" s="9"/>
      <c r="F342" s="146" t="s">
        <v>1189</v>
      </c>
      <c r="G342" s="147">
        <v>1000</v>
      </c>
      <c r="H342" s="146" t="s">
        <v>3040</v>
      </c>
      <c r="I342" s="148">
        <f>IF(charge_strtower01_CHARGE="",0,charge_strtower01_CHARGE)</f>
        <v>1000</v>
      </c>
    </row>
    <row r="343" spans="1:10" s="27" customFormat="1" ht="18" customHeight="1">
      <c r="B343" s="149" t="s">
        <v>3041</v>
      </c>
      <c r="C343" s="149"/>
      <c r="D343" s="149"/>
      <c r="E343" s="149"/>
      <c r="F343" s="146" t="s">
        <v>1190</v>
      </c>
      <c r="G343" s="147"/>
      <c r="H343" s="27" t="s">
        <v>3042</v>
      </c>
      <c r="I343" s="148">
        <f>IF(charge_strtower01_CHARGE_WARIMASHI="",0,charge_strtower01_CHARGE_WARIMASHI)</f>
        <v>0</v>
      </c>
    </row>
    <row r="344" spans="1:10" s="27" customFormat="1" ht="18" customHeight="1">
      <c r="B344" s="149" t="s">
        <v>3043</v>
      </c>
      <c r="C344" s="149"/>
      <c r="D344" s="149"/>
      <c r="E344" s="149"/>
      <c r="F344" s="146" t="s">
        <v>1191</v>
      </c>
      <c r="G344" s="147"/>
      <c r="H344" s="27" t="s">
        <v>3044</v>
      </c>
      <c r="I344" s="148">
        <f>IF(charge_strtower01_CHARGE_TOTAL="",0,charge_strtower01_CHARGE_TOTAL)</f>
        <v>0</v>
      </c>
    </row>
    <row r="345" spans="1:10" s="27" customFormat="1" ht="18" customHeight="1">
      <c r="B345" s="149" t="s">
        <v>3045</v>
      </c>
      <c r="C345" s="149"/>
      <c r="D345" s="149"/>
      <c r="E345" s="149"/>
      <c r="F345" s="146"/>
      <c r="G345" s="145"/>
      <c r="H345" s="27" t="s">
        <v>3046</v>
      </c>
      <c r="I345" s="150" t="str">
        <f>IF(charge_strtower01_CHARGE="","",TEXT(charge_strtower01_CHARGE,"#,##0_ "))</f>
        <v xml:space="preserve">1,000 </v>
      </c>
    </row>
    <row r="346" spans="1:10" s="27" customFormat="1" ht="18" customHeight="1">
      <c r="G346" s="145"/>
      <c r="I346" s="145"/>
    </row>
    <row r="347" spans="1:10" s="27" customFormat="1" ht="18" customHeight="1">
      <c r="A347" s="12" t="s">
        <v>3047</v>
      </c>
      <c r="G347" s="145"/>
      <c r="I347" s="145"/>
    </row>
    <row r="348" spans="1:10" s="27" customFormat="1" ht="18" customHeight="1">
      <c r="B348" s="9" t="s">
        <v>2955</v>
      </c>
      <c r="C348" s="9"/>
      <c r="D348" s="9"/>
      <c r="E348" s="9"/>
      <c r="F348" s="146" t="s">
        <v>1192</v>
      </c>
      <c r="G348" s="147">
        <v>1200</v>
      </c>
      <c r="H348" s="146" t="s">
        <v>3048</v>
      </c>
      <c r="I348" s="148">
        <f>IF(charge_strtower02_CHARGE="",0,charge_strtower02_CHARGE)</f>
        <v>1200</v>
      </c>
    </row>
    <row r="349" spans="1:10" s="27" customFormat="1" ht="18" customHeight="1">
      <c r="B349" s="149" t="s">
        <v>3041</v>
      </c>
      <c r="C349" s="149"/>
      <c r="D349" s="149"/>
      <c r="E349" s="149"/>
      <c r="F349" s="146" t="s">
        <v>1193</v>
      </c>
      <c r="G349" s="147"/>
      <c r="H349" s="27" t="s">
        <v>3049</v>
      </c>
      <c r="I349" s="148">
        <f>IF(charge_strtower02_CHARGE_WARIMASHI="",0,charge_strtower02_CHARGE_WARIMASHI)</f>
        <v>0</v>
      </c>
    </row>
    <row r="350" spans="1:10" s="27" customFormat="1" ht="18" customHeight="1">
      <c r="B350" s="149" t="s">
        <v>3043</v>
      </c>
      <c r="C350" s="149"/>
      <c r="D350" s="149"/>
      <c r="E350" s="149"/>
      <c r="F350" s="146" t="s">
        <v>1194</v>
      </c>
      <c r="G350" s="147"/>
      <c r="H350" s="27" t="s">
        <v>3050</v>
      </c>
      <c r="I350" s="148">
        <f>IF(charge_strtower02_CHARGE_TOTAL="",0,charge_strtower02_CHARGE_TOTAL)</f>
        <v>0</v>
      </c>
    </row>
    <row r="351" spans="1:10" s="27" customFormat="1" ht="18" customHeight="1">
      <c r="B351" s="149" t="s">
        <v>3045</v>
      </c>
      <c r="G351" s="145"/>
      <c r="H351" s="27" t="s">
        <v>3051</v>
      </c>
      <c r="I351" s="150" t="str">
        <f>IF(charge_strtower02_CHARGE="","","+"&amp;TEXT(charge_strtower02_CHARGE,"#,##0_ "))</f>
        <v xml:space="preserve">+1,200 </v>
      </c>
    </row>
    <row r="352" spans="1:10" s="27" customFormat="1" ht="18" customHeight="1">
      <c r="G352" s="145"/>
      <c r="I352" s="145"/>
    </row>
    <row r="353" spans="1:9" s="27" customFormat="1" ht="18" customHeight="1">
      <c r="A353" s="12" t="s">
        <v>3052</v>
      </c>
      <c r="G353" s="145"/>
      <c r="I353" s="145"/>
    </row>
    <row r="354" spans="1:9" s="27" customFormat="1" ht="18" customHeight="1">
      <c r="B354" s="9" t="s">
        <v>2955</v>
      </c>
      <c r="C354" s="9"/>
      <c r="D354" s="9"/>
      <c r="E354" s="9"/>
      <c r="F354" s="146" t="s">
        <v>1195</v>
      </c>
      <c r="G354" s="147">
        <v>1300</v>
      </c>
      <c r="H354" s="146" t="s">
        <v>3053</v>
      </c>
      <c r="I354" s="148">
        <f>IF(charge_strtower03_CHARGE="",0,charge_strtower03_CHARGE)</f>
        <v>1300</v>
      </c>
    </row>
    <row r="355" spans="1:9" s="27" customFormat="1" ht="18" customHeight="1">
      <c r="B355" s="149" t="s">
        <v>3041</v>
      </c>
      <c r="C355" s="149"/>
      <c r="D355" s="149"/>
      <c r="E355" s="149"/>
      <c r="F355" s="146" t="s">
        <v>1196</v>
      </c>
      <c r="G355" s="147"/>
      <c r="H355" s="27" t="s">
        <v>3054</v>
      </c>
      <c r="I355" s="148">
        <f>IF(charge_strtower03_CHARGE_WARIMASHI="",0,charge_strtower03_CHARGE_WARIMASHI)</f>
        <v>0</v>
      </c>
    </row>
    <row r="356" spans="1:9" s="27" customFormat="1" ht="18" customHeight="1">
      <c r="B356" s="149" t="s">
        <v>3043</v>
      </c>
      <c r="C356" s="149"/>
      <c r="D356" s="149"/>
      <c r="E356" s="149"/>
      <c r="F356" s="146" t="s">
        <v>1197</v>
      </c>
      <c r="G356" s="147"/>
      <c r="H356" s="27" t="s">
        <v>3055</v>
      </c>
      <c r="I356" s="148">
        <f>IF(charge_strtower03_CHARGE_TOTAL="",0,charge_strtower03_CHARGE_TOTAL)</f>
        <v>0</v>
      </c>
    </row>
    <row r="357" spans="1:9" s="27" customFormat="1" ht="18" customHeight="1">
      <c r="B357" s="149" t="s">
        <v>3045</v>
      </c>
      <c r="G357" s="145"/>
      <c r="H357" s="27" t="s">
        <v>3056</v>
      </c>
      <c r="I357" s="150" t="str">
        <f>IF(charge_strtower03_CHARGE="","","+"&amp;TEXT(charge_strtower03_CHARGE,"#,##0_ "))</f>
        <v xml:space="preserve">+1,300 </v>
      </c>
    </row>
    <row r="358" spans="1:9" s="27" customFormat="1" ht="18" customHeight="1">
      <c r="G358" s="145"/>
      <c r="I358" s="145"/>
    </row>
    <row r="359" spans="1:9" s="27" customFormat="1" ht="18" customHeight="1">
      <c r="A359" s="12" t="s">
        <v>3057</v>
      </c>
      <c r="G359" s="145"/>
      <c r="I359" s="145"/>
    </row>
    <row r="360" spans="1:9" s="27" customFormat="1" ht="18" customHeight="1">
      <c r="B360" s="9" t="s">
        <v>2955</v>
      </c>
      <c r="C360" s="9"/>
      <c r="D360" s="9"/>
      <c r="E360" s="9"/>
      <c r="F360" s="146" t="s">
        <v>1198</v>
      </c>
      <c r="G360" s="147">
        <v>14000</v>
      </c>
      <c r="H360" s="146" t="s">
        <v>3058</v>
      </c>
      <c r="I360" s="148">
        <f>IF(charge_strtower04_CHARGE="",0,charge_strtower04_CHARGE)</f>
        <v>14000</v>
      </c>
    </row>
    <row r="361" spans="1:9" s="27" customFormat="1" ht="18" customHeight="1">
      <c r="B361" s="149" t="s">
        <v>3041</v>
      </c>
      <c r="C361" s="149"/>
      <c r="D361" s="149"/>
      <c r="E361" s="149"/>
      <c r="F361" s="146" t="s">
        <v>1199</v>
      </c>
      <c r="G361" s="147"/>
      <c r="H361" s="27" t="s">
        <v>3059</v>
      </c>
      <c r="I361" s="148">
        <f>IF(charge_strtower04_CHARGE_WARIMASHI="",0,charge_strtower04_CHARGE_WARIMASHI)</f>
        <v>0</v>
      </c>
    </row>
    <row r="362" spans="1:9" s="27" customFormat="1" ht="18" customHeight="1">
      <c r="B362" s="149" t="s">
        <v>3043</v>
      </c>
      <c r="C362" s="149"/>
      <c r="D362" s="149"/>
      <c r="E362" s="149"/>
      <c r="F362" s="146" t="s">
        <v>1200</v>
      </c>
      <c r="G362" s="147"/>
      <c r="H362" s="27" t="s">
        <v>3060</v>
      </c>
      <c r="I362" s="148">
        <f>IF(charge_strtower04_CHARGE_TOTAL="",0,charge_strtower04_CHARGE_TOTAL)</f>
        <v>0</v>
      </c>
    </row>
    <row r="363" spans="1:9" s="27" customFormat="1" ht="18" customHeight="1">
      <c r="B363" s="149" t="s">
        <v>3045</v>
      </c>
      <c r="G363" s="145"/>
      <c r="H363" s="27" t="s">
        <v>3061</v>
      </c>
      <c r="I363" s="150" t="str">
        <f>IF(charge_strtower04_CHARGE="","","+"&amp;TEXT(charge_strtower04_CHARGE,"#,##0_ "))</f>
        <v xml:space="preserve">+14,000 </v>
      </c>
    </row>
    <row r="364" spans="1:9" s="27" customFormat="1" ht="18" customHeight="1">
      <c r="G364" s="145"/>
      <c r="I364" s="145"/>
    </row>
    <row r="365" spans="1:9" s="27" customFormat="1" ht="18" customHeight="1">
      <c r="A365" s="12" t="s">
        <v>3062</v>
      </c>
      <c r="G365" s="145"/>
      <c r="I365" s="145"/>
    </row>
    <row r="366" spans="1:9" s="27" customFormat="1" ht="18" customHeight="1">
      <c r="B366" s="9" t="s">
        <v>2955</v>
      </c>
      <c r="C366" s="9"/>
      <c r="D366" s="9"/>
      <c r="E366" s="9"/>
      <c r="F366" s="146" t="s">
        <v>1201</v>
      </c>
      <c r="G366" s="147">
        <v>15000</v>
      </c>
      <c r="H366" s="146" t="s">
        <v>3063</v>
      </c>
      <c r="I366" s="148">
        <f>IF(charge_strtower05_CHARGE="",0,charge_strtower05_CHARGE)</f>
        <v>15000</v>
      </c>
    </row>
    <row r="367" spans="1:9" s="27" customFormat="1" ht="18" customHeight="1">
      <c r="B367" s="149" t="s">
        <v>3041</v>
      </c>
      <c r="C367" s="149"/>
      <c r="D367" s="149"/>
      <c r="E367" s="149"/>
      <c r="F367" s="146" t="s">
        <v>1202</v>
      </c>
      <c r="G367" s="147"/>
      <c r="H367" s="27" t="s">
        <v>3064</v>
      </c>
      <c r="I367" s="148">
        <f>IF(charge_strtower05_CHARGE_WARIMASHI="",0,charge_strtower05_CHARGE_WARIMASHI)</f>
        <v>0</v>
      </c>
    </row>
    <row r="368" spans="1:9" s="27" customFormat="1" ht="18" customHeight="1">
      <c r="B368" s="149" t="s">
        <v>3043</v>
      </c>
      <c r="C368" s="149"/>
      <c r="D368" s="149"/>
      <c r="E368" s="149"/>
      <c r="F368" s="146" t="s">
        <v>1203</v>
      </c>
      <c r="G368" s="147"/>
      <c r="H368" s="27" t="s">
        <v>3065</v>
      </c>
      <c r="I368" s="148">
        <f>IF(charge_strtower05_CHARGE_TOTAL="",0,charge_strtower05_CHARGE_TOTAL)</f>
        <v>0</v>
      </c>
    </row>
    <row r="369" spans="1:9" s="27" customFormat="1" ht="18" customHeight="1">
      <c r="B369" s="149" t="s">
        <v>3045</v>
      </c>
      <c r="G369" s="145"/>
      <c r="H369" s="27" t="s">
        <v>3066</v>
      </c>
      <c r="I369" s="150" t="str">
        <f>IF(charge_strtower05_CHARGE="","",TEXT(charge_strtower05_CHARGE,"#,##0_ "))</f>
        <v xml:space="preserve">15,000 </v>
      </c>
    </row>
    <row r="370" spans="1:9" s="27" customFormat="1" ht="18" customHeight="1">
      <c r="G370" s="145"/>
      <c r="I370" s="145"/>
    </row>
    <row r="371" spans="1:9" s="27" customFormat="1" ht="18" customHeight="1">
      <c r="A371" s="12" t="s">
        <v>3067</v>
      </c>
      <c r="G371" s="145"/>
      <c r="I371" s="145"/>
    </row>
    <row r="372" spans="1:9" s="27" customFormat="1" ht="18" customHeight="1">
      <c r="B372" s="9" t="s">
        <v>2955</v>
      </c>
      <c r="C372" s="9"/>
      <c r="D372" s="9"/>
      <c r="E372" s="9"/>
      <c r="F372" s="146" t="s">
        <v>1204</v>
      </c>
      <c r="G372" s="147">
        <v>21000</v>
      </c>
      <c r="H372" s="146" t="s">
        <v>3068</v>
      </c>
      <c r="I372" s="148">
        <f>IF(charge_strtower06_CHARGE="",0,charge_strtower06_CHARGE)</f>
        <v>21000</v>
      </c>
    </row>
    <row r="373" spans="1:9" s="27" customFormat="1" ht="18" customHeight="1">
      <c r="B373" s="149" t="s">
        <v>3041</v>
      </c>
      <c r="C373" s="149"/>
      <c r="D373" s="149"/>
      <c r="E373" s="149"/>
      <c r="F373" s="146" t="s">
        <v>1205</v>
      </c>
      <c r="G373" s="147"/>
      <c r="H373" s="27" t="s">
        <v>3069</v>
      </c>
      <c r="I373" s="148">
        <f>IF(charge_strtower06_CHARGE_WARIMASHI="",0,charge_strtower06_CHARGE_WARIMASHI)</f>
        <v>0</v>
      </c>
    </row>
    <row r="374" spans="1:9" s="27" customFormat="1" ht="18" customHeight="1">
      <c r="B374" s="149" t="s">
        <v>3043</v>
      </c>
      <c r="C374" s="149"/>
      <c r="D374" s="149"/>
      <c r="E374" s="149"/>
      <c r="F374" s="146" t="s">
        <v>1206</v>
      </c>
      <c r="G374" s="147"/>
      <c r="H374" s="27" t="s">
        <v>3070</v>
      </c>
      <c r="I374" s="148">
        <f>IF(charge_strtower06_CHARGE_TOTAL="",0,charge_strtower06_CHARGE_TOTAL)</f>
        <v>0</v>
      </c>
    </row>
    <row r="375" spans="1:9" s="27" customFormat="1" ht="18" customHeight="1">
      <c r="B375" s="149" t="s">
        <v>3045</v>
      </c>
      <c r="G375" s="145"/>
      <c r="H375" s="27" t="s">
        <v>3071</v>
      </c>
      <c r="I375" s="150" t="str">
        <f>IF(charge_strtower06_CHARGE="","","+"&amp;TEXT(charge_strtower06_CHARGE,"#,##0_ "))</f>
        <v xml:space="preserve">+21,000 </v>
      </c>
    </row>
    <row r="376" spans="1:9" s="27" customFormat="1" ht="18" customHeight="1">
      <c r="G376" s="145"/>
      <c r="I376" s="145"/>
    </row>
    <row r="377" spans="1:9" s="27" customFormat="1" ht="18" customHeight="1">
      <c r="A377" s="12" t="s">
        <v>3072</v>
      </c>
      <c r="G377" s="145"/>
      <c r="I377" s="145"/>
    </row>
    <row r="378" spans="1:9" s="27" customFormat="1" ht="18" customHeight="1">
      <c r="B378" s="9" t="s">
        <v>2955</v>
      </c>
      <c r="C378" s="9"/>
      <c r="D378" s="9"/>
      <c r="E378" s="9"/>
      <c r="F378" s="146" t="s">
        <v>1207</v>
      </c>
      <c r="G378" s="147"/>
      <c r="H378" s="146" t="s">
        <v>3073</v>
      </c>
      <c r="I378" s="148">
        <f>IF(charge_strtower07_CHARGE="",0,charge_strtower07_CHARGE)</f>
        <v>0</v>
      </c>
    </row>
    <row r="379" spans="1:9" s="27" customFormat="1" ht="18" customHeight="1">
      <c r="B379" s="149" t="s">
        <v>3041</v>
      </c>
      <c r="C379" s="149"/>
      <c r="D379" s="149"/>
      <c r="E379" s="149"/>
      <c r="F379" s="146" t="s">
        <v>1208</v>
      </c>
      <c r="G379" s="147"/>
      <c r="H379" s="27" t="s">
        <v>3074</v>
      </c>
      <c r="I379" s="148">
        <f>IF(charge_strtower07_CHARGE_WARIMASHI="",0,charge_strtower07_CHARGE_WARIMASHI)</f>
        <v>0</v>
      </c>
    </row>
    <row r="380" spans="1:9" s="27" customFormat="1" ht="18" customHeight="1">
      <c r="B380" s="149" t="s">
        <v>3043</v>
      </c>
      <c r="C380" s="149"/>
      <c r="D380" s="149"/>
      <c r="E380" s="149"/>
      <c r="F380" s="146" t="s">
        <v>1209</v>
      </c>
      <c r="G380" s="147"/>
      <c r="H380" s="27" t="s">
        <v>3075</v>
      </c>
      <c r="I380" s="148">
        <f>IF(charge_strtower07_CHARGE_TOTAL="",0,charge_strtower07_CHARGE_TOTAL)</f>
        <v>0</v>
      </c>
    </row>
    <row r="381" spans="1:9" s="27" customFormat="1" ht="18" customHeight="1">
      <c r="B381" s="149" t="s">
        <v>3045</v>
      </c>
      <c r="G381" s="145"/>
      <c r="H381" s="27" t="s">
        <v>3076</v>
      </c>
      <c r="I381" s="150" t="str">
        <f>IF(charge_strtower07_CHARGE="","","+"&amp;TEXT(charge_strtower07_CHARGE,"#,##0_ "))</f>
        <v/>
      </c>
    </row>
    <row r="382" spans="1:9" s="27" customFormat="1" ht="18" customHeight="1">
      <c r="G382" s="145"/>
      <c r="I382" s="145"/>
    </row>
    <row r="383" spans="1:9" s="27" customFormat="1" ht="18" customHeight="1">
      <c r="A383" s="12" t="s">
        <v>3077</v>
      </c>
      <c r="G383" s="145"/>
      <c r="I383" s="145"/>
    </row>
    <row r="384" spans="1:9" s="27" customFormat="1" ht="18" customHeight="1">
      <c r="B384" s="9" t="s">
        <v>2955</v>
      </c>
      <c r="C384" s="9"/>
      <c r="D384" s="9"/>
      <c r="E384" s="9"/>
      <c r="F384" s="146" t="s">
        <v>1211</v>
      </c>
      <c r="G384" s="147"/>
      <c r="H384" s="146" t="s">
        <v>3078</v>
      </c>
      <c r="I384" s="148">
        <f>IF(charge_strtower08_CHARGE="",0,charge_strtower08_CHARGE)</f>
        <v>0</v>
      </c>
    </row>
    <row r="385" spans="1:9" s="27" customFormat="1" ht="18" customHeight="1">
      <c r="B385" s="149" t="s">
        <v>3041</v>
      </c>
      <c r="C385" s="149"/>
      <c r="D385" s="149"/>
      <c r="E385" s="149"/>
      <c r="F385" s="146" t="s">
        <v>1210</v>
      </c>
      <c r="G385" s="147"/>
      <c r="H385" s="27" t="s">
        <v>3079</v>
      </c>
      <c r="I385" s="148">
        <f>IF(charge_strtower08_CHARGE_WARIMASHI="",0,charge_strtower08_CHARGE_WARIMASHI)</f>
        <v>0</v>
      </c>
    </row>
    <row r="386" spans="1:9" s="27" customFormat="1" ht="18" customHeight="1">
      <c r="B386" s="149" t="s">
        <v>3043</v>
      </c>
      <c r="C386" s="149"/>
      <c r="D386" s="149"/>
      <c r="E386" s="149"/>
      <c r="F386" s="146" t="s">
        <v>1212</v>
      </c>
      <c r="G386" s="147"/>
      <c r="H386" s="27" t="s">
        <v>3080</v>
      </c>
      <c r="I386" s="148">
        <f>IF(charge_strtower08_CHARGE_TOTAL="",0,charge_strtower08_CHARGE_TOTAL)</f>
        <v>0</v>
      </c>
    </row>
    <row r="387" spans="1:9" s="27" customFormat="1" ht="18" customHeight="1">
      <c r="B387" s="149" t="s">
        <v>3045</v>
      </c>
      <c r="G387" s="145"/>
      <c r="H387" s="27" t="s">
        <v>3081</v>
      </c>
      <c r="I387" s="150" t="str">
        <f>IF(charge_strtower08_CHARGE="","","+"&amp;TEXT(charge_strtower08_CHARGE,"#,##0_ "))</f>
        <v/>
      </c>
    </row>
    <row r="388" spans="1:9" s="27" customFormat="1" ht="18" customHeight="1">
      <c r="G388" s="145"/>
      <c r="I388" s="145"/>
    </row>
    <row r="389" spans="1:9" s="27" customFormat="1" ht="18" customHeight="1">
      <c r="A389" s="12" t="s">
        <v>3082</v>
      </c>
      <c r="G389" s="145"/>
      <c r="I389" s="145"/>
    </row>
    <row r="390" spans="1:9" s="27" customFormat="1" ht="18" customHeight="1">
      <c r="B390" s="9" t="s">
        <v>2955</v>
      </c>
      <c r="C390" s="9"/>
      <c r="D390" s="9"/>
      <c r="E390" s="9"/>
      <c r="F390" s="146" t="s">
        <v>1213</v>
      </c>
      <c r="G390" s="147"/>
      <c r="H390" s="146" t="s">
        <v>3083</v>
      </c>
      <c r="I390" s="148">
        <f>IF(charge_strtower09_CHARGE="",0,charge_strtower09_CHARGE)</f>
        <v>0</v>
      </c>
    </row>
    <row r="391" spans="1:9" s="27" customFormat="1" ht="18" customHeight="1">
      <c r="B391" s="149" t="s">
        <v>3041</v>
      </c>
      <c r="C391" s="149"/>
      <c r="D391" s="149"/>
      <c r="E391" s="149"/>
      <c r="F391" s="146" t="s">
        <v>1214</v>
      </c>
      <c r="G391" s="147"/>
      <c r="H391" s="27" t="s">
        <v>3084</v>
      </c>
      <c r="I391" s="148">
        <f>IF(charge_strtower09_CHARGE_WARIMASHI="",0,charge_strtower09_CHARGE_WARIMASHI)</f>
        <v>0</v>
      </c>
    </row>
    <row r="392" spans="1:9" s="27" customFormat="1" ht="18" customHeight="1">
      <c r="B392" s="149" t="s">
        <v>3043</v>
      </c>
      <c r="C392" s="149"/>
      <c r="D392" s="149"/>
      <c r="E392" s="149"/>
      <c r="F392" s="146" t="s">
        <v>1215</v>
      </c>
      <c r="G392" s="147"/>
      <c r="H392" s="27" t="s">
        <v>3085</v>
      </c>
      <c r="I392" s="148">
        <f>IF(charge_strtower09_CHARGE_TOTAL="",0,charge_strtower09_CHARGE_TOTAL)</f>
        <v>0</v>
      </c>
    </row>
    <row r="393" spans="1:9" s="27" customFormat="1" ht="18" customHeight="1">
      <c r="B393" s="149" t="s">
        <v>3045</v>
      </c>
      <c r="G393" s="145"/>
      <c r="H393" s="27" t="s">
        <v>3086</v>
      </c>
      <c r="I393" s="150" t="str">
        <f>IF(charge_strtower09_CHARGE="","",TEXT(charge_strtower09_CHARGE,"#,##0_ "))</f>
        <v/>
      </c>
    </row>
    <row r="394" spans="1:9" s="27" customFormat="1" ht="18" customHeight="1">
      <c r="G394" s="145"/>
      <c r="I394" s="145"/>
    </row>
    <row r="395" spans="1:9" s="27" customFormat="1" ht="18" customHeight="1">
      <c r="A395" s="12" t="s">
        <v>3087</v>
      </c>
      <c r="G395" s="145"/>
      <c r="I395" s="145"/>
    </row>
    <row r="396" spans="1:9" s="27" customFormat="1" ht="18" customHeight="1">
      <c r="B396" s="9" t="s">
        <v>2955</v>
      </c>
      <c r="C396" s="9"/>
      <c r="D396" s="9"/>
      <c r="E396" s="9"/>
      <c r="F396" s="146" t="s">
        <v>1216</v>
      </c>
      <c r="G396" s="147"/>
      <c r="H396" s="146" t="s">
        <v>3088</v>
      </c>
      <c r="I396" s="148">
        <f>IF(charge_strtower10_CHARGE="",0,charge_strtower10_CHARGE)</f>
        <v>0</v>
      </c>
    </row>
    <row r="397" spans="1:9" s="27" customFormat="1" ht="18" customHeight="1">
      <c r="B397" s="149" t="s">
        <v>3041</v>
      </c>
      <c r="C397" s="149"/>
      <c r="D397" s="149"/>
      <c r="E397" s="149"/>
      <c r="F397" s="146" t="s">
        <v>1217</v>
      </c>
      <c r="G397" s="147"/>
      <c r="H397" s="27" t="s">
        <v>3089</v>
      </c>
      <c r="I397" s="148">
        <f>IF(charge_strtower10_CHARGE_WARIMASHI="",0,charge_strtower10_CHARGE_WARIMASHI)</f>
        <v>0</v>
      </c>
    </row>
    <row r="398" spans="1:9" s="27" customFormat="1" ht="18" customHeight="1">
      <c r="B398" s="149" t="s">
        <v>3043</v>
      </c>
      <c r="C398" s="149"/>
      <c r="D398" s="149"/>
      <c r="E398" s="149"/>
      <c r="F398" s="146" t="s">
        <v>1218</v>
      </c>
      <c r="G398" s="147"/>
      <c r="H398" s="27" t="s">
        <v>3090</v>
      </c>
      <c r="I398" s="148">
        <f>IF(charge_strtower10_CHARGE_TOTAL="",0,charge_strtower10_CHARGE_TOTAL)</f>
        <v>0</v>
      </c>
    </row>
    <row r="399" spans="1:9" s="27" customFormat="1" ht="18" customHeight="1">
      <c r="B399" s="149" t="s">
        <v>3045</v>
      </c>
      <c r="G399" s="145"/>
      <c r="H399" s="27" t="s">
        <v>3091</v>
      </c>
      <c r="I399" s="150" t="str">
        <f>IF(charge_strtower10_CHARGE="","","+"&amp;TEXT(charge_strtower10_CHARGE,"#,##0_ "))</f>
        <v/>
      </c>
    </row>
    <row r="400" spans="1:9" s="27" customFormat="1" ht="18" customHeight="1">
      <c r="G400" s="145"/>
      <c r="I400" s="145"/>
    </row>
    <row r="401" spans="1:9" s="27" customFormat="1" ht="18" customHeight="1">
      <c r="A401" s="12" t="s">
        <v>3092</v>
      </c>
      <c r="G401" s="145"/>
      <c r="I401" s="145"/>
    </row>
    <row r="402" spans="1:9" s="27" customFormat="1" ht="18" customHeight="1">
      <c r="B402" s="9" t="s">
        <v>2955</v>
      </c>
      <c r="C402" s="9"/>
      <c r="D402" s="9"/>
      <c r="E402" s="9"/>
      <c r="F402" s="146" t="s">
        <v>1219</v>
      </c>
      <c r="G402" s="147"/>
      <c r="H402" s="146" t="s">
        <v>3093</v>
      </c>
      <c r="I402" s="148">
        <f>IF(charge_strtower11_CHARGE="",0,charge_strtower11_CHARGE)</f>
        <v>0</v>
      </c>
    </row>
    <row r="403" spans="1:9" s="27" customFormat="1" ht="18" customHeight="1">
      <c r="B403" s="149" t="s">
        <v>3041</v>
      </c>
      <c r="C403" s="149"/>
      <c r="D403" s="149"/>
      <c r="E403" s="149"/>
      <c r="F403" s="146" t="s">
        <v>1220</v>
      </c>
      <c r="G403" s="147"/>
      <c r="H403" s="27" t="s">
        <v>3094</v>
      </c>
      <c r="I403" s="148">
        <f>IF(charge_strtower11_CHARGE_WARIMASHI="",0,charge_strtower11_CHARGE_WARIMASHI)</f>
        <v>0</v>
      </c>
    </row>
    <row r="404" spans="1:9" s="27" customFormat="1" ht="18" customHeight="1">
      <c r="B404" s="149" t="s">
        <v>3043</v>
      </c>
      <c r="C404" s="149"/>
      <c r="D404" s="149"/>
      <c r="E404" s="149"/>
      <c r="F404" s="146" t="s">
        <v>1221</v>
      </c>
      <c r="G404" s="147"/>
      <c r="H404" s="27" t="s">
        <v>3095</v>
      </c>
      <c r="I404" s="148">
        <f>IF(charge_strtower11_CHARGE_TOTAL="",0,charge_strtower11_CHARGE_TOTAL)</f>
        <v>0</v>
      </c>
    </row>
    <row r="405" spans="1:9" s="27" customFormat="1" ht="18" customHeight="1">
      <c r="B405" s="149" t="s">
        <v>3045</v>
      </c>
      <c r="G405" s="145"/>
      <c r="H405" s="27" t="s">
        <v>3096</v>
      </c>
      <c r="I405" s="150" t="str">
        <f>IF(charge_strtower11_CHARGE="","","+"&amp;TEXT(charge_strtower11_CHARGE,"#,##0_ "))</f>
        <v/>
      </c>
    </row>
    <row r="406" spans="1:9" s="27" customFormat="1" ht="18" customHeight="1">
      <c r="G406" s="145"/>
      <c r="I406" s="145"/>
    </row>
    <row r="407" spans="1:9" s="27" customFormat="1" ht="18" customHeight="1">
      <c r="A407" s="12" t="s">
        <v>3097</v>
      </c>
      <c r="G407" s="145"/>
      <c r="I407" s="145"/>
    </row>
    <row r="408" spans="1:9" s="27" customFormat="1" ht="18" customHeight="1">
      <c r="B408" s="9" t="s">
        <v>2955</v>
      </c>
      <c r="C408" s="9"/>
      <c r="D408" s="9"/>
      <c r="E408" s="9"/>
      <c r="F408" s="146" t="s">
        <v>1222</v>
      </c>
      <c r="G408" s="147"/>
      <c r="H408" s="146" t="s">
        <v>3098</v>
      </c>
      <c r="I408" s="148">
        <f>IF(charge_strtower12_CHARGE="",0,charge_strtower12_CHARGE)</f>
        <v>0</v>
      </c>
    </row>
    <row r="409" spans="1:9" s="27" customFormat="1" ht="18" customHeight="1">
      <c r="B409" s="149" t="s">
        <v>3041</v>
      </c>
      <c r="C409" s="149"/>
      <c r="D409" s="149"/>
      <c r="E409" s="149"/>
      <c r="F409" s="146" t="s">
        <v>1223</v>
      </c>
      <c r="G409" s="147"/>
      <c r="H409" s="27" t="s">
        <v>3099</v>
      </c>
      <c r="I409" s="148">
        <f>IF(charge_strtower12_CHARGE_WARIMASHI="",0,charge_strtower12_CHARGE_WARIMASHI)</f>
        <v>0</v>
      </c>
    </row>
    <row r="410" spans="1:9" s="27" customFormat="1" ht="18" customHeight="1">
      <c r="B410" s="149" t="s">
        <v>3043</v>
      </c>
      <c r="C410" s="149"/>
      <c r="D410" s="149"/>
      <c r="E410" s="149"/>
      <c r="F410" s="146" t="s">
        <v>1224</v>
      </c>
      <c r="G410" s="147"/>
      <c r="H410" s="27" t="s">
        <v>3100</v>
      </c>
      <c r="I410" s="148">
        <f>IF(charge_strtower12_CHARGE_TOTAL="",0,charge_strtower12_CHARGE_TOTAL)</f>
        <v>0</v>
      </c>
    </row>
    <row r="411" spans="1:9" s="27" customFormat="1" ht="18" customHeight="1">
      <c r="B411" s="149" t="s">
        <v>3045</v>
      </c>
      <c r="G411" s="145"/>
      <c r="H411" s="27" t="s">
        <v>3101</v>
      </c>
      <c r="I411" s="150" t="str">
        <f>IF(charge_strtower12_CHARGE="","","+"&amp;TEXT(charge_strtower12_CHARGE,"#,##0_ "))</f>
        <v/>
      </c>
    </row>
    <row r="412" spans="1:9" s="27" customFormat="1" ht="18" customHeight="1">
      <c r="G412" s="145"/>
      <c r="I412" s="145"/>
    </row>
    <row r="413" spans="1:9" s="27" customFormat="1" ht="18" customHeight="1">
      <c r="A413" s="12" t="s">
        <v>3102</v>
      </c>
      <c r="G413" s="145"/>
      <c r="I413" s="145"/>
    </row>
    <row r="414" spans="1:9" s="27" customFormat="1" ht="18" customHeight="1">
      <c r="B414" s="9" t="s">
        <v>2955</v>
      </c>
      <c r="C414" s="9"/>
      <c r="D414" s="9"/>
      <c r="E414" s="9"/>
      <c r="F414" s="146" t="s">
        <v>1225</v>
      </c>
      <c r="G414" s="147"/>
      <c r="H414" s="146" t="s">
        <v>3103</v>
      </c>
      <c r="I414" s="148">
        <f>IF(charge_strtower13_CHARGE="",0,charge_strtower13_CHARGE)</f>
        <v>0</v>
      </c>
    </row>
    <row r="415" spans="1:9" s="27" customFormat="1" ht="18" customHeight="1">
      <c r="B415" s="149" t="s">
        <v>3041</v>
      </c>
      <c r="C415" s="149"/>
      <c r="D415" s="149"/>
      <c r="E415" s="149"/>
      <c r="F415" s="146" t="s">
        <v>1226</v>
      </c>
      <c r="G415" s="147"/>
      <c r="H415" s="27" t="s">
        <v>3104</v>
      </c>
      <c r="I415" s="148">
        <f>IF(charge_strtower13_CHARGE_WARIMASHI="",0,charge_strtower13_CHARGE_WARIMASHI)</f>
        <v>0</v>
      </c>
    </row>
    <row r="416" spans="1:9" s="27" customFormat="1" ht="18" customHeight="1">
      <c r="B416" s="149" t="s">
        <v>3043</v>
      </c>
      <c r="C416" s="149"/>
      <c r="D416" s="149"/>
      <c r="E416" s="149"/>
      <c r="F416" s="146" t="s">
        <v>1227</v>
      </c>
      <c r="G416" s="147"/>
      <c r="H416" s="27" t="s">
        <v>3105</v>
      </c>
      <c r="I416" s="148">
        <f>IF(charge_strtower13_CHARGE_TOTAL="",0,charge_strtower13_CHARGE_TOTAL)</f>
        <v>0</v>
      </c>
    </row>
    <row r="417" spans="1:9" s="27" customFormat="1" ht="18" customHeight="1">
      <c r="B417" s="149" t="s">
        <v>3045</v>
      </c>
      <c r="G417" s="145"/>
      <c r="H417" s="27" t="s">
        <v>3106</v>
      </c>
      <c r="I417" s="150" t="str">
        <f>IF(charge_strtower13_CHARGE="","",TEXT(charge_strtower13_CHARGE,"#,##0_ "))</f>
        <v/>
      </c>
    </row>
    <row r="418" spans="1:9" s="27" customFormat="1" ht="18" customHeight="1">
      <c r="B418" s="149"/>
      <c r="C418" s="149"/>
      <c r="D418" s="149"/>
      <c r="E418" s="149"/>
      <c r="F418" s="151"/>
      <c r="G418" s="151"/>
      <c r="I418" s="145"/>
    </row>
    <row r="419" spans="1:9" s="27" customFormat="1" ht="18" customHeight="1">
      <c r="A419" s="12" t="s">
        <v>3107</v>
      </c>
      <c r="G419" s="145"/>
      <c r="I419" s="145"/>
    </row>
    <row r="420" spans="1:9" s="27" customFormat="1" ht="18" customHeight="1">
      <c r="B420" s="9" t="s">
        <v>2955</v>
      </c>
      <c r="C420" s="9"/>
      <c r="D420" s="9"/>
      <c r="E420" s="9"/>
      <c r="F420" s="146" t="s">
        <v>1228</v>
      </c>
      <c r="G420" s="147"/>
      <c r="H420" s="146" t="s">
        <v>3108</v>
      </c>
      <c r="I420" s="148">
        <f>IF(charge_strtower14_CHARGE="",0,charge_strtower14_CHARGE)</f>
        <v>0</v>
      </c>
    </row>
    <row r="421" spans="1:9" s="27" customFormat="1" ht="18" customHeight="1">
      <c r="B421" s="149" t="s">
        <v>3041</v>
      </c>
      <c r="C421" s="149"/>
      <c r="D421" s="149"/>
      <c r="E421" s="149"/>
      <c r="F421" s="146" t="s">
        <v>1229</v>
      </c>
      <c r="G421" s="147"/>
      <c r="H421" s="27" t="s">
        <v>3109</v>
      </c>
      <c r="I421" s="148">
        <f>IF(charge_strtower14_CHARGE_WARIMASHI="",0,charge_strtower14_CHARGE_WARIMASHI)</f>
        <v>0</v>
      </c>
    </row>
    <row r="422" spans="1:9" s="27" customFormat="1" ht="18" customHeight="1">
      <c r="B422" s="149" t="s">
        <v>3043</v>
      </c>
      <c r="C422" s="149"/>
      <c r="D422" s="149"/>
      <c r="E422" s="149"/>
      <c r="F422" s="146" t="s">
        <v>1230</v>
      </c>
      <c r="G422" s="147"/>
      <c r="H422" s="27" t="s">
        <v>3110</v>
      </c>
      <c r="I422" s="148">
        <f>IF(charge_strtower14_CHARGE_TOTAL="",0,charge_strtower14_CHARGE_TOTAL)</f>
        <v>0</v>
      </c>
    </row>
    <row r="423" spans="1:9" s="27" customFormat="1" ht="18" customHeight="1">
      <c r="B423" s="149" t="s">
        <v>3045</v>
      </c>
      <c r="G423" s="145"/>
      <c r="H423" s="27" t="s">
        <v>3111</v>
      </c>
      <c r="I423" s="150" t="str">
        <f>IF(charge_strtower14_CHARGE="","","+"&amp;TEXT(charge_strtower14_CHARGE,"#,##0_ "))</f>
        <v/>
      </c>
    </row>
    <row r="424" spans="1:9" s="27" customFormat="1" ht="18" customHeight="1">
      <c r="B424" s="149"/>
      <c r="C424" s="149"/>
      <c r="D424" s="149"/>
      <c r="E424" s="149"/>
      <c r="F424" s="151"/>
      <c r="G424" s="151"/>
      <c r="I424" s="145"/>
    </row>
    <row r="425" spans="1:9" s="27" customFormat="1" ht="18" customHeight="1">
      <c r="A425" s="12" t="s">
        <v>3112</v>
      </c>
      <c r="G425" s="145"/>
      <c r="I425" s="145"/>
    </row>
    <row r="426" spans="1:9" s="27" customFormat="1" ht="18" customHeight="1">
      <c r="B426" s="9" t="s">
        <v>2955</v>
      </c>
      <c r="C426" s="9"/>
      <c r="D426" s="9"/>
      <c r="E426" s="9"/>
      <c r="F426" s="146" t="s">
        <v>1231</v>
      </c>
      <c r="G426" s="147"/>
      <c r="H426" s="146" t="s">
        <v>3113</v>
      </c>
      <c r="I426" s="148">
        <f>IF(charge_strtower15_CHARGE="",0,charge_strtower15_CHARGE)</f>
        <v>0</v>
      </c>
    </row>
    <row r="427" spans="1:9" s="27" customFormat="1" ht="18" customHeight="1">
      <c r="B427" s="149" t="s">
        <v>3041</v>
      </c>
      <c r="C427" s="149"/>
      <c r="D427" s="149"/>
      <c r="E427" s="149"/>
      <c r="F427" s="146" t="s">
        <v>1232</v>
      </c>
      <c r="G427" s="147"/>
      <c r="H427" s="27" t="s">
        <v>3114</v>
      </c>
      <c r="I427" s="148">
        <f>IF(charge_strtower15_CHARGE_WARIMASHI="",0,charge_strtower15_CHARGE_WARIMASHI)</f>
        <v>0</v>
      </c>
    </row>
    <row r="428" spans="1:9" s="27" customFormat="1" ht="18" customHeight="1">
      <c r="B428" s="149" t="s">
        <v>3043</v>
      </c>
      <c r="C428" s="149"/>
      <c r="D428" s="149"/>
      <c r="E428" s="149"/>
      <c r="F428" s="146" t="s">
        <v>1233</v>
      </c>
      <c r="G428" s="147"/>
      <c r="H428" s="27" t="s">
        <v>3115</v>
      </c>
      <c r="I428" s="148">
        <f>IF(charge_strtower15_CHARGE_TOTAL="",0,charge_strtower15_CHARGE_TOTAL)</f>
        <v>0</v>
      </c>
    </row>
    <row r="429" spans="1:9" s="27" customFormat="1" ht="18" customHeight="1">
      <c r="B429" s="149" t="s">
        <v>3045</v>
      </c>
      <c r="G429" s="145"/>
      <c r="H429" s="27" t="s">
        <v>3116</v>
      </c>
      <c r="I429" s="150" t="str">
        <f>IF(charge_strtower15_CHARGE="","","+"&amp;TEXT(charge_strtower15_CHARGE,"#,##0_ "))</f>
        <v/>
      </c>
    </row>
    <row r="430" spans="1:9" s="27" customFormat="1" ht="18" customHeight="1">
      <c r="B430" s="149"/>
      <c r="C430" s="149"/>
      <c r="D430" s="149"/>
      <c r="E430" s="149"/>
      <c r="F430" s="151"/>
      <c r="G430" s="151"/>
      <c r="I430" s="145"/>
    </row>
    <row r="431" spans="1:9" s="27" customFormat="1" ht="18" customHeight="1">
      <c r="A431" s="12" t="s">
        <v>3117</v>
      </c>
      <c r="G431" s="145"/>
      <c r="I431" s="145"/>
    </row>
    <row r="432" spans="1:9" s="27" customFormat="1" ht="18" customHeight="1">
      <c r="B432" s="9" t="s">
        <v>2955</v>
      </c>
      <c r="C432" s="9"/>
      <c r="D432" s="9"/>
      <c r="E432" s="9"/>
      <c r="F432" s="146" t="s">
        <v>1234</v>
      </c>
      <c r="G432" s="147"/>
      <c r="H432" s="146" t="s">
        <v>3118</v>
      </c>
      <c r="I432" s="148">
        <f>IF(charge_strtower16_CHARGE="",0,charge_strtower16_CHARGE)</f>
        <v>0</v>
      </c>
    </row>
    <row r="433" spans="1:9" s="27" customFormat="1" ht="18" customHeight="1">
      <c r="B433" s="149" t="s">
        <v>3041</v>
      </c>
      <c r="C433" s="149"/>
      <c r="D433" s="149"/>
      <c r="E433" s="149"/>
      <c r="F433" s="146" t="s">
        <v>1235</v>
      </c>
      <c r="G433" s="147"/>
      <c r="H433" s="27" t="s">
        <v>3119</v>
      </c>
      <c r="I433" s="148">
        <f>IF(charge_strtower16_CHARGE_WARIMASHI="",0,charge_strtower16_CHARGE_WARIMASHI)</f>
        <v>0</v>
      </c>
    </row>
    <row r="434" spans="1:9" s="27" customFormat="1" ht="18" customHeight="1">
      <c r="B434" s="149" t="s">
        <v>3043</v>
      </c>
      <c r="C434" s="149"/>
      <c r="D434" s="149"/>
      <c r="E434" s="149"/>
      <c r="F434" s="146" t="s">
        <v>1236</v>
      </c>
      <c r="G434" s="147"/>
      <c r="H434" s="27" t="s">
        <v>3120</v>
      </c>
      <c r="I434" s="148">
        <f>IF(charge_strtower16_CHARGE_TOTAL="",0,charge_strtower16_CHARGE_TOTAL)</f>
        <v>0</v>
      </c>
    </row>
    <row r="435" spans="1:9" s="27" customFormat="1" ht="18" customHeight="1">
      <c r="B435" s="149" t="s">
        <v>3045</v>
      </c>
      <c r="G435" s="145"/>
      <c r="H435" s="27" t="s">
        <v>3121</v>
      </c>
      <c r="I435" s="150" t="str">
        <f>IF(charge_strtower16_CHARGE="","","+"&amp;TEXT(charge_strtower16_CHARGE,"#,##0_ "))</f>
        <v/>
      </c>
    </row>
    <row r="436" spans="1:9" s="27" customFormat="1" ht="18" customHeight="1">
      <c r="B436" s="149"/>
      <c r="C436" s="149"/>
      <c r="D436" s="149"/>
      <c r="E436" s="149"/>
      <c r="F436" s="151"/>
      <c r="G436" s="151"/>
      <c r="I436" s="145"/>
    </row>
    <row r="437" spans="1:9" s="27" customFormat="1" ht="18" customHeight="1">
      <c r="A437" s="12" t="s">
        <v>3122</v>
      </c>
      <c r="G437" s="145"/>
      <c r="I437" s="145"/>
    </row>
    <row r="438" spans="1:9" s="27" customFormat="1" ht="18" customHeight="1">
      <c r="B438" s="9" t="s">
        <v>2955</v>
      </c>
      <c r="C438" s="9"/>
      <c r="D438" s="9"/>
      <c r="E438" s="9"/>
      <c r="F438" s="146" t="s">
        <v>1237</v>
      </c>
      <c r="G438" s="147"/>
      <c r="H438" s="146" t="s">
        <v>3123</v>
      </c>
      <c r="I438" s="148">
        <f>IF(charge_strtower17_CHARGE="",0,charge_strtower17_CHARGE)</f>
        <v>0</v>
      </c>
    </row>
    <row r="439" spans="1:9" s="27" customFormat="1" ht="18" customHeight="1">
      <c r="B439" s="149" t="s">
        <v>3041</v>
      </c>
      <c r="C439" s="149"/>
      <c r="D439" s="149"/>
      <c r="E439" s="149"/>
      <c r="F439" s="146" t="s">
        <v>1238</v>
      </c>
      <c r="G439" s="147"/>
      <c r="H439" s="27" t="s">
        <v>3124</v>
      </c>
      <c r="I439" s="148">
        <f>IF(charge_strtower17_CHARGE_WARIMASHI="",0,charge_strtower17_CHARGE_WARIMASHI)</f>
        <v>0</v>
      </c>
    </row>
    <row r="440" spans="1:9" s="27" customFormat="1" ht="18" customHeight="1">
      <c r="B440" s="149" t="s">
        <v>3043</v>
      </c>
      <c r="C440" s="149"/>
      <c r="D440" s="149"/>
      <c r="E440" s="149"/>
      <c r="F440" s="146" t="s">
        <v>1239</v>
      </c>
      <c r="G440" s="147"/>
      <c r="H440" s="27" t="s">
        <v>3125</v>
      </c>
      <c r="I440" s="148">
        <f>IF(charge_strtower17_CHARGE_TOTAL="",0,charge_strtower17_CHARGE_TOTAL)</f>
        <v>0</v>
      </c>
    </row>
    <row r="441" spans="1:9" s="27" customFormat="1" ht="18" customHeight="1">
      <c r="B441" s="149" t="s">
        <v>3045</v>
      </c>
      <c r="G441" s="145"/>
      <c r="H441" s="27" t="s">
        <v>3126</v>
      </c>
      <c r="I441" s="150" t="str">
        <f>IF(charge_strtower17_CHARGE="","",TEXT(charge_strtower17_CHARGE,"#,##0_ "))</f>
        <v/>
      </c>
    </row>
    <row r="442" spans="1:9" s="27" customFormat="1" ht="18" customHeight="1">
      <c r="B442" s="149"/>
      <c r="C442" s="149"/>
      <c r="D442" s="149"/>
      <c r="E442" s="149"/>
      <c r="F442" s="151"/>
      <c r="G442" s="151"/>
      <c r="I442" s="145"/>
    </row>
    <row r="443" spans="1:9" s="27" customFormat="1" ht="18" customHeight="1">
      <c r="A443" s="12" t="s">
        <v>3127</v>
      </c>
      <c r="G443" s="145"/>
      <c r="I443" s="145"/>
    </row>
    <row r="444" spans="1:9" s="27" customFormat="1" ht="18" customHeight="1">
      <c r="B444" s="9" t="s">
        <v>2955</v>
      </c>
      <c r="C444" s="9"/>
      <c r="D444" s="9"/>
      <c r="E444" s="9"/>
      <c r="F444" s="146" t="s">
        <v>1240</v>
      </c>
      <c r="G444" s="147"/>
      <c r="H444" s="146" t="s">
        <v>3128</v>
      </c>
      <c r="I444" s="148">
        <f>IF(charge_strtower18_CHARGE="",0,charge_strtower18_CHARGE)</f>
        <v>0</v>
      </c>
    </row>
    <row r="445" spans="1:9" s="27" customFormat="1" ht="18" customHeight="1">
      <c r="B445" s="149" t="s">
        <v>3041</v>
      </c>
      <c r="C445" s="149"/>
      <c r="D445" s="149"/>
      <c r="E445" s="149"/>
      <c r="F445" s="146" t="s">
        <v>1241</v>
      </c>
      <c r="G445" s="147"/>
      <c r="H445" s="27" t="s">
        <v>3129</v>
      </c>
      <c r="I445" s="148">
        <f>IF(charge_strtower18_CHARGE_WARIMASHI="",0,charge_strtower18_CHARGE_WARIMASHI)</f>
        <v>0</v>
      </c>
    </row>
    <row r="446" spans="1:9" s="27" customFormat="1" ht="18" customHeight="1">
      <c r="B446" s="149" t="s">
        <v>3043</v>
      </c>
      <c r="C446" s="149"/>
      <c r="D446" s="149"/>
      <c r="E446" s="149"/>
      <c r="F446" s="146" t="s">
        <v>1242</v>
      </c>
      <c r="G446" s="147"/>
      <c r="H446" s="27" t="s">
        <v>3130</v>
      </c>
      <c r="I446" s="148">
        <f>IF(charge_strtower18_CHARGE_TOTAL="",0,charge_strtower18_CHARGE_TOTAL)</f>
        <v>0</v>
      </c>
    </row>
    <row r="447" spans="1:9" s="27" customFormat="1" ht="18" customHeight="1">
      <c r="B447" s="149" t="s">
        <v>3045</v>
      </c>
      <c r="G447" s="145"/>
      <c r="H447" s="27" t="s">
        <v>3131</v>
      </c>
      <c r="I447" s="150" t="str">
        <f>IF(charge_strtower18_CHARGE="","","+"&amp;TEXT(charge_strtower18_CHARGE,"#,##0_ "))</f>
        <v/>
      </c>
    </row>
    <row r="448" spans="1:9" s="27" customFormat="1" ht="18" customHeight="1">
      <c r="B448" s="149"/>
      <c r="C448" s="149"/>
      <c r="D448" s="149"/>
      <c r="E448" s="149"/>
      <c r="F448" s="151"/>
      <c r="G448" s="151"/>
      <c r="I448" s="145"/>
    </row>
    <row r="449" spans="1:9" s="27" customFormat="1" ht="18" customHeight="1">
      <c r="A449" s="12" t="s">
        <v>3132</v>
      </c>
      <c r="G449" s="145"/>
      <c r="I449" s="145"/>
    </row>
    <row r="450" spans="1:9" s="27" customFormat="1" ht="18" customHeight="1">
      <c r="B450" s="9" t="s">
        <v>2955</v>
      </c>
      <c r="C450" s="9"/>
      <c r="D450" s="9"/>
      <c r="E450" s="9"/>
      <c r="F450" s="146" t="s">
        <v>1243</v>
      </c>
      <c r="G450" s="147"/>
      <c r="H450" s="146" t="s">
        <v>3133</v>
      </c>
      <c r="I450" s="148">
        <f>IF(charge_strtower19_CHARGE="",0,charge_strtower19_CHARGE)</f>
        <v>0</v>
      </c>
    </row>
    <row r="451" spans="1:9" s="27" customFormat="1" ht="18" customHeight="1">
      <c r="B451" s="149" t="s">
        <v>3041</v>
      </c>
      <c r="C451" s="149"/>
      <c r="D451" s="149"/>
      <c r="E451" s="149"/>
      <c r="F451" s="146" t="s">
        <v>1244</v>
      </c>
      <c r="G451" s="147"/>
      <c r="H451" s="27" t="s">
        <v>3134</v>
      </c>
      <c r="I451" s="148">
        <f>IF(charge_strtower19_CHARGE_WARIMASHI="",0,charge_strtower19_CHARGE_WARIMASHI)</f>
        <v>0</v>
      </c>
    </row>
    <row r="452" spans="1:9" s="27" customFormat="1" ht="18" customHeight="1">
      <c r="B452" s="149" t="s">
        <v>3043</v>
      </c>
      <c r="C452" s="149"/>
      <c r="D452" s="149"/>
      <c r="E452" s="149"/>
      <c r="F452" s="146" t="s">
        <v>1245</v>
      </c>
      <c r="G452" s="147"/>
      <c r="H452" s="27" t="s">
        <v>3135</v>
      </c>
      <c r="I452" s="148">
        <f>IF(charge_strtower19_CHARGE_TOTAL="",0,charge_strtower19_CHARGE_TOTAL)</f>
        <v>0</v>
      </c>
    </row>
    <row r="453" spans="1:9" s="27" customFormat="1" ht="18" customHeight="1">
      <c r="B453" s="149" t="s">
        <v>3045</v>
      </c>
      <c r="G453" s="145"/>
      <c r="H453" s="27" t="s">
        <v>3136</v>
      </c>
      <c r="I453" s="150" t="str">
        <f>IF(charge_strtower19_CHARGE="","","+"&amp;TEXT(charge_strtower19_CHARGE,"#,##0_ "))</f>
        <v/>
      </c>
    </row>
    <row r="454" spans="1:9" s="27" customFormat="1" ht="18" customHeight="1">
      <c r="B454" s="149"/>
      <c r="C454" s="149"/>
      <c r="D454" s="149"/>
      <c r="E454" s="149"/>
      <c r="F454" s="151"/>
      <c r="G454" s="151"/>
      <c r="I454" s="145"/>
    </row>
    <row r="455" spans="1:9" s="27" customFormat="1" ht="18" customHeight="1">
      <c r="A455" s="12" t="s">
        <v>3137</v>
      </c>
      <c r="G455" s="145"/>
      <c r="I455" s="145"/>
    </row>
    <row r="456" spans="1:9" s="27" customFormat="1" ht="18" customHeight="1">
      <c r="B456" s="9" t="s">
        <v>2955</v>
      </c>
      <c r="C456" s="9"/>
      <c r="D456" s="9"/>
      <c r="E456" s="9"/>
      <c r="F456" s="146" t="s">
        <v>1246</v>
      </c>
      <c r="G456" s="147"/>
      <c r="H456" s="146" t="s">
        <v>3138</v>
      </c>
      <c r="I456" s="148">
        <f>IF(charge_strtower20_CHARGE="",0,charge_strtower20_CHARGE)</f>
        <v>0</v>
      </c>
    </row>
    <row r="457" spans="1:9" s="27" customFormat="1" ht="18" customHeight="1">
      <c r="B457" s="149" t="s">
        <v>3041</v>
      </c>
      <c r="C457" s="149"/>
      <c r="D457" s="149"/>
      <c r="E457" s="149"/>
      <c r="F457" s="146" t="s">
        <v>1247</v>
      </c>
      <c r="G457" s="147"/>
      <c r="H457" s="27" t="s">
        <v>3139</v>
      </c>
      <c r="I457" s="148">
        <f>IF(charge_strtower20_CHARGE_WARIMASHI="",0,charge_strtower20_CHARGE_WARIMASHI)</f>
        <v>0</v>
      </c>
    </row>
    <row r="458" spans="1:9" s="27" customFormat="1" ht="18" customHeight="1">
      <c r="B458" s="149" t="s">
        <v>3043</v>
      </c>
      <c r="C458" s="149"/>
      <c r="D458" s="149"/>
      <c r="E458" s="149"/>
      <c r="F458" s="146" t="s">
        <v>1248</v>
      </c>
      <c r="G458" s="147"/>
      <c r="H458" s="27" t="s">
        <v>3140</v>
      </c>
      <c r="I458" s="148">
        <f>IF(charge_strtower20_CHARGE_TOTAL="",0,charge_strtower20_CHARGE_TOTAL)</f>
        <v>0</v>
      </c>
    </row>
    <row r="459" spans="1:9" s="27" customFormat="1" ht="18" customHeight="1">
      <c r="B459" s="149" t="s">
        <v>3045</v>
      </c>
      <c r="G459" s="145"/>
      <c r="H459" s="27" t="s">
        <v>3141</v>
      </c>
      <c r="I459" s="150" t="str">
        <f>IF(charge_strtower20_CHARGE="","","+"&amp;TEXT(charge_strtower20_CHARGE,"#,##0_ "))</f>
        <v/>
      </c>
    </row>
    <row r="460" spans="1:9" s="27" customFormat="1" ht="18" customHeight="1">
      <c r="B460" s="149"/>
      <c r="C460" s="149"/>
      <c r="D460" s="149"/>
      <c r="E460" s="149"/>
      <c r="F460" s="151"/>
      <c r="G460" s="151"/>
      <c r="I460" s="145"/>
    </row>
    <row r="461" spans="1:9" s="27" customFormat="1" ht="18" customHeight="1">
      <c r="A461" s="12" t="s">
        <v>3142</v>
      </c>
      <c r="G461" s="145"/>
      <c r="I461" s="145"/>
    </row>
    <row r="462" spans="1:9" s="27" customFormat="1" ht="18" customHeight="1">
      <c r="B462" s="9" t="s">
        <v>2955</v>
      </c>
      <c r="C462" s="9"/>
      <c r="D462" s="9"/>
      <c r="E462" s="9"/>
      <c r="F462" s="146" t="s">
        <v>1249</v>
      </c>
      <c r="G462" s="147"/>
      <c r="H462" s="146" t="s">
        <v>3143</v>
      </c>
      <c r="I462" s="148">
        <f>IF(charge_strtower21_CHARGE="",0,charge_strtower21_CHARGE)</f>
        <v>0</v>
      </c>
    </row>
    <row r="463" spans="1:9" s="27" customFormat="1" ht="18" customHeight="1">
      <c r="B463" s="149" t="s">
        <v>3041</v>
      </c>
      <c r="C463" s="149"/>
      <c r="D463" s="149"/>
      <c r="E463" s="149"/>
      <c r="F463" s="146" t="s">
        <v>1250</v>
      </c>
      <c r="G463" s="147"/>
      <c r="H463" s="27" t="s">
        <v>3144</v>
      </c>
      <c r="I463" s="148">
        <f>IF(charge_strtower21_CHARGE_WARIMASHI="",0,charge_strtower21_CHARGE_WARIMASHI)</f>
        <v>0</v>
      </c>
    </row>
    <row r="464" spans="1:9" s="27" customFormat="1" ht="18" customHeight="1">
      <c r="B464" s="149" t="s">
        <v>3043</v>
      </c>
      <c r="C464" s="149"/>
      <c r="D464" s="149"/>
      <c r="E464" s="149"/>
      <c r="F464" s="146" t="s">
        <v>1251</v>
      </c>
      <c r="G464" s="147"/>
      <c r="H464" s="27" t="s">
        <v>3145</v>
      </c>
      <c r="I464" s="148">
        <f>IF(charge_strtower21_CHARGE_TOTAL="",0,charge_strtower21_CHARGE_TOTAL)</f>
        <v>0</v>
      </c>
    </row>
    <row r="465" spans="1:9" s="27" customFormat="1" ht="18" customHeight="1">
      <c r="B465" s="149" t="s">
        <v>3045</v>
      </c>
      <c r="G465" s="145"/>
      <c r="H465" s="27" t="s">
        <v>3146</v>
      </c>
      <c r="I465" s="150" t="str">
        <f>IF(charge_strtower21_CHARGE="","",TEXT(charge_strtower21_CHARGE,"#,##0_ "))</f>
        <v/>
      </c>
    </row>
    <row r="466" spans="1:9" s="27" customFormat="1" ht="18" customHeight="1">
      <c r="B466" s="149"/>
      <c r="C466" s="149"/>
      <c r="D466" s="149"/>
      <c r="E466" s="149"/>
      <c r="F466" s="151"/>
      <c r="G466" s="151"/>
      <c r="I466" s="145"/>
    </row>
    <row r="467" spans="1:9" s="27" customFormat="1" ht="18" customHeight="1">
      <c r="A467" s="12" t="s">
        <v>3147</v>
      </c>
      <c r="G467" s="145"/>
      <c r="I467" s="145"/>
    </row>
    <row r="468" spans="1:9" s="27" customFormat="1" ht="18" customHeight="1">
      <c r="B468" s="9" t="s">
        <v>2955</v>
      </c>
      <c r="C468" s="9"/>
      <c r="D468" s="9"/>
      <c r="E468" s="9"/>
      <c r="F468" s="146" t="s">
        <v>1252</v>
      </c>
      <c r="G468" s="147"/>
      <c r="H468" s="146" t="s">
        <v>3148</v>
      </c>
      <c r="I468" s="148">
        <f>IF(charge_strtower22_CHARGE="",0,charge_strtower22_CHARGE)</f>
        <v>0</v>
      </c>
    </row>
    <row r="469" spans="1:9" s="27" customFormat="1" ht="18" customHeight="1">
      <c r="B469" s="149" t="s">
        <v>3041</v>
      </c>
      <c r="C469" s="149"/>
      <c r="D469" s="149"/>
      <c r="E469" s="149"/>
      <c r="F469" s="146" t="s">
        <v>1253</v>
      </c>
      <c r="G469" s="147"/>
      <c r="H469" s="27" t="s">
        <v>3149</v>
      </c>
      <c r="I469" s="148">
        <f>IF(charge_strtower22_CHARGE_WARIMASHI="",0,charge_strtower22_CHARGE_WARIMASHI)</f>
        <v>0</v>
      </c>
    </row>
    <row r="470" spans="1:9" s="27" customFormat="1" ht="18" customHeight="1">
      <c r="B470" s="149" t="s">
        <v>3043</v>
      </c>
      <c r="C470" s="149"/>
      <c r="D470" s="149"/>
      <c r="E470" s="149"/>
      <c r="F470" s="146" t="s">
        <v>1254</v>
      </c>
      <c r="G470" s="147"/>
      <c r="H470" s="27" t="s">
        <v>3150</v>
      </c>
      <c r="I470" s="148">
        <f>IF(charge_strtower22_CHARGE_TOTAL="",0,charge_strtower22_CHARGE_TOTAL)</f>
        <v>0</v>
      </c>
    </row>
    <row r="471" spans="1:9" s="27" customFormat="1" ht="18" customHeight="1">
      <c r="B471" s="149" t="s">
        <v>3045</v>
      </c>
      <c r="G471" s="145"/>
      <c r="H471" s="27" t="s">
        <v>3151</v>
      </c>
      <c r="I471" s="150" t="str">
        <f>IF(charge_strtower22_CHARGE="","","+"&amp;TEXT(charge_strtower22_CHARGE,"#,##0_ "))</f>
        <v/>
      </c>
    </row>
    <row r="472" spans="1:9" s="27" customFormat="1" ht="18" customHeight="1">
      <c r="B472" s="149"/>
      <c r="C472" s="149"/>
      <c r="D472" s="149"/>
      <c r="E472" s="149"/>
      <c r="F472" s="151"/>
      <c r="G472" s="151"/>
      <c r="I472" s="145"/>
    </row>
    <row r="473" spans="1:9" s="27" customFormat="1" ht="18" customHeight="1">
      <c r="A473" s="12" t="s">
        <v>3152</v>
      </c>
      <c r="G473" s="145"/>
      <c r="I473" s="145"/>
    </row>
    <row r="474" spans="1:9" s="27" customFormat="1" ht="18" customHeight="1">
      <c r="B474" s="9" t="s">
        <v>2955</v>
      </c>
      <c r="C474" s="9"/>
      <c r="D474" s="9"/>
      <c r="E474" s="9"/>
      <c r="F474" s="146" t="s">
        <v>1255</v>
      </c>
      <c r="G474" s="147"/>
      <c r="H474" s="146" t="s">
        <v>3153</v>
      </c>
      <c r="I474" s="148">
        <f>IF(charge_strtower23_CHARGE="",0,charge_strtower23_CHARGE)</f>
        <v>0</v>
      </c>
    </row>
    <row r="475" spans="1:9" s="27" customFormat="1" ht="18" customHeight="1">
      <c r="B475" s="149" t="s">
        <v>3041</v>
      </c>
      <c r="C475" s="149"/>
      <c r="D475" s="149"/>
      <c r="E475" s="149"/>
      <c r="F475" s="146" t="s">
        <v>1256</v>
      </c>
      <c r="G475" s="147"/>
      <c r="H475" s="27" t="s">
        <v>3154</v>
      </c>
      <c r="I475" s="148">
        <f>IF(charge_strtower23_CHARGE_WARIMASHI="",0,charge_strtower23_CHARGE_WARIMASHI)</f>
        <v>0</v>
      </c>
    </row>
    <row r="476" spans="1:9" s="27" customFormat="1" ht="18" customHeight="1">
      <c r="B476" s="149" t="s">
        <v>3043</v>
      </c>
      <c r="C476" s="149"/>
      <c r="D476" s="149"/>
      <c r="E476" s="149"/>
      <c r="F476" s="146" t="s">
        <v>1257</v>
      </c>
      <c r="G476" s="147"/>
      <c r="H476" s="27" t="s">
        <v>3155</v>
      </c>
      <c r="I476" s="148">
        <f>IF(charge_strtower23_CHARGE_TOTAL="",0,charge_strtower23_CHARGE_TOTAL)</f>
        <v>0</v>
      </c>
    </row>
    <row r="477" spans="1:9" s="27" customFormat="1" ht="18" customHeight="1">
      <c r="B477" s="149" t="s">
        <v>3045</v>
      </c>
      <c r="G477" s="145"/>
      <c r="H477" s="27" t="s">
        <v>3156</v>
      </c>
      <c r="I477" s="150" t="str">
        <f>IF(charge_strtower23_CHARGE="","","+"&amp;TEXT(charge_strtower23_CHARGE,"#,##0_ "))</f>
        <v/>
      </c>
    </row>
    <row r="478" spans="1:9" s="27" customFormat="1" ht="18" customHeight="1">
      <c r="B478" s="149"/>
      <c r="C478" s="149"/>
      <c r="D478" s="149"/>
      <c r="E478" s="149"/>
      <c r="F478" s="151"/>
      <c r="G478" s="151"/>
      <c r="I478" s="145"/>
    </row>
    <row r="479" spans="1:9" s="27" customFormat="1" ht="18" customHeight="1">
      <c r="A479" s="12" t="s">
        <v>3157</v>
      </c>
      <c r="G479" s="145"/>
      <c r="I479" s="145"/>
    </row>
    <row r="480" spans="1:9" s="27" customFormat="1" ht="18" customHeight="1">
      <c r="B480" s="9" t="s">
        <v>2955</v>
      </c>
      <c r="C480" s="9"/>
      <c r="D480" s="9"/>
      <c r="E480" s="9"/>
      <c r="F480" s="146" t="s">
        <v>1258</v>
      </c>
      <c r="G480" s="147"/>
      <c r="H480" s="146" t="s">
        <v>3158</v>
      </c>
      <c r="I480" s="148">
        <f>IF(charge_strtower24_CHARGE="",0,charge_strtower24_CHARGE)</f>
        <v>0</v>
      </c>
    </row>
    <row r="481" spans="1:9" s="27" customFormat="1" ht="18" customHeight="1">
      <c r="B481" s="149" t="s">
        <v>3041</v>
      </c>
      <c r="C481" s="149"/>
      <c r="D481" s="149"/>
      <c r="E481" s="149"/>
      <c r="F481" s="146" t="s">
        <v>1259</v>
      </c>
      <c r="G481" s="147"/>
      <c r="H481" s="27" t="s">
        <v>3159</v>
      </c>
      <c r="I481" s="148">
        <f>IF(charge_strtower24_CHARGE_WARIMASHI="",0,charge_strtower24_CHARGE_WARIMASHI)</f>
        <v>0</v>
      </c>
    </row>
    <row r="482" spans="1:9" s="27" customFormat="1" ht="18" customHeight="1">
      <c r="B482" s="149" t="s">
        <v>3043</v>
      </c>
      <c r="C482" s="149"/>
      <c r="D482" s="149"/>
      <c r="E482" s="149"/>
      <c r="F482" s="146" t="s">
        <v>1260</v>
      </c>
      <c r="G482" s="147"/>
      <c r="H482" s="27" t="s">
        <v>3160</v>
      </c>
      <c r="I482" s="148">
        <f>IF(charge_strtower24_CHARGE_TOTAL="",0,charge_strtower24_CHARGE_TOTAL)</f>
        <v>0</v>
      </c>
    </row>
    <row r="483" spans="1:9" s="27" customFormat="1" ht="18" customHeight="1">
      <c r="B483" s="149" t="s">
        <v>3045</v>
      </c>
      <c r="G483" s="145"/>
      <c r="H483" s="27" t="s">
        <v>3161</v>
      </c>
      <c r="I483" s="150" t="str">
        <f>IF(charge_strtower24_CHARGE="","","+"&amp;TEXT(charge_strtower24_CHARGE,"#,##0_ "))</f>
        <v/>
      </c>
    </row>
    <row r="484" spans="1:9" s="27" customFormat="1" ht="18" customHeight="1">
      <c r="B484" s="149"/>
      <c r="G484" s="145"/>
      <c r="I484" s="145"/>
    </row>
    <row r="485" spans="1:9" s="27" customFormat="1" ht="18" customHeight="1">
      <c r="A485" s="12" t="s">
        <v>3162</v>
      </c>
      <c r="G485" s="145"/>
      <c r="I485" s="145"/>
    </row>
    <row r="486" spans="1:9" s="27" customFormat="1" ht="18" customHeight="1">
      <c r="B486" s="9" t="s">
        <v>2955</v>
      </c>
      <c r="C486" s="9"/>
      <c r="D486" s="9"/>
      <c r="E486" s="9"/>
      <c r="F486" s="146" t="s">
        <v>1262</v>
      </c>
      <c r="G486" s="147"/>
      <c r="H486" s="146" t="s">
        <v>3163</v>
      </c>
      <c r="I486" s="148">
        <f>IF(charge_strtower25_CHARGE="",0,charge_strtower25_CHARGE)</f>
        <v>0</v>
      </c>
    </row>
    <row r="487" spans="1:9" s="27" customFormat="1" ht="18" customHeight="1">
      <c r="B487" s="149" t="s">
        <v>3041</v>
      </c>
      <c r="C487" s="149"/>
      <c r="D487" s="149"/>
      <c r="E487" s="149"/>
      <c r="F487" s="146" t="s">
        <v>1261</v>
      </c>
      <c r="G487" s="147"/>
      <c r="H487" s="27" t="s">
        <v>3164</v>
      </c>
      <c r="I487" s="148">
        <f>IF(charge_strtower25_CHARGE_WARIMASHI="",0,charge_strtower25_CHARGE_WARIMASHI)</f>
        <v>0</v>
      </c>
    </row>
    <row r="488" spans="1:9" s="27" customFormat="1" ht="18" customHeight="1">
      <c r="B488" s="149" t="s">
        <v>3043</v>
      </c>
      <c r="C488" s="149"/>
      <c r="D488" s="149"/>
      <c r="E488" s="149"/>
      <c r="F488" s="146" t="s">
        <v>1263</v>
      </c>
      <c r="G488" s="147"/>
      <c r="H488" s="27" t="s">
        <v>3165</v>
      </c>
      <c r="I488" s="148">
        <f>IF(charge_strtower25_CHARGE_TOTAL="",0,charge_strtower25_CHARGE_TOTAL)</f>
        <v>0</v>
      </c>
    </row>
    <row r="489" spans="1:9" s="27" customFormat="1" ht="18" customHeight="1">
      <c r="B489" s="149" t="s">
        <v>3045</v>
      </c>
      <c r="G489" s="145"/>
      <c r="H489" s="27" t="s">
        <v>3166</v>
      </c>
      <c r="I489" s="150" t="str">
        <f>IF(charge_strtower25_CHARGE="","",TEXT(charge_strtower25_CHARGE,"#,##0_ "))</f>
        <v/>
      </c>
    </row>
    <row r="490" spans="1:9" s="27" customFormat="1" ht="18" customHeight="1">
      <c r="B490" s="149"/>
      <c r="C490" s="149"/>
      <c r="D490" s="149"/>
      <c r="E490" s="149"/>
      <c r="F490" s="151"/>
      <c r="G490" s="151"/>
      <c r="I490" s="145"/>
    </row>
    <row r="491" spans="1:9" s="27" customFormat="1" ht="18" customHeight="1">
      <c r="A491" s="12" t="s">
        <v>3167</v>
      </c>
      <c r="G491" s="145"/>
      <c r="I491" s="145"/>
    </row>
    <row r="492" spans="1:9" s="27" customFormat="1" ht="18" customHeight="1">
      <c r="B492" s="9" t="s">
        <v>2955</v>
      </c>
      <c r="C492" s="9"/>
      <c r="D492" s="9"/>
      <c r="E492" s="9"/>
      <c r="F492" s="146" t="s">
        <v>1264</v>
      </c>
      <c r="G492" s="147"/>
      <c r="H492" s="146" t="s">
        <v>3168</v>
      </c>
      <c r="I492" s="148">
        <f>IF(charge_strtower26_CHARGE="",0,charge_strtower26_CHARGE)</f>
        <v>0</v>
      </c>
    </row>
    <row r="493" spans="1:9" s="27" customFormat="1" ht="18" customHeight="1">
      <c r="B493" s="149" t="s">
        <v>3041</v>
      </c>
      <c r="C493" s="149"/>
      <c r="D493" s="149"/>
      <c r="E493" s="149"/>
      <c r="F493" s="146" t="s">
        <v>1265</v>
      </c>
      <c r="G493" s="147"/>
      <c r="H493" s="27" t="s">
        <v>3169</v>
      </c>
      <c r="I493" s="148">
        <f>IF(charge_strtower26_CHARGE_WARIMASHI="",0,charge_strtower26_CHARGE_WARIMASHI)</f>
        <v>0</v>
      </c>
    </row>
    <row r="494" spans="1:9" s="27" customFormat="1" ht="18" customHeight="1">
      <c r="B494" s="149" t="s">
        <v>3043</v>
      </c>
      <c r="C494" s="149"/>
      <c r="D494" s="149"/>
      <c r="E494" s="149"/>
      <c r="F494" s="146" t="s">
        <v>1266</v>
      </c>
      <c r="G494" s="147"/>
      <c r="H494" s="27" t="s">
        <v>3170</v>
      </c>
      <c r="I494" s="148">
        <f>IF(charge_strtower26_CHARGE_TOTAL="",0,charge_strtower26_CHARGE_TOTAL)</f>
        <v>0</v>
      </c>
    </row>
    <row r="495" spans="1:9" s="27" customFormat="1" ht="18" customHeight="1">
      <c r="B495" s="149" t="s">
        <v>3045</v>
      </c>
      <c r="G495" s="145"/>
      <c r="H495" s="27" t="s">
        <v>3171</v>
      </c>
      <c r="I495" s="150" t="str">
        <f>IF(charge_strtower26_CHARGE="","","+"&amp;TEXT(charge_strtower26_CHARGE,"#,##0_ "))</f>
        <v/>
      </c>
    </row>
    <row r="496" spans="1:9" s="27" customFormat="1" ht="18" customHeight="1">
      <c r="B496" s="149"/>
      <c r="C496" s="149"/>
      <c r="D496" s="149"/>
      <c r="E496" s="149"/>
      <c r="F496" s="151"/>
      <c r="G496" s="151"/>
      <c r="I496" s="145"/>
    </row>
    <row r="497" spans="1:9" s="27" customFormat="1" ht="18" customHeight="1">
      <c r="A497" s="12" t="s">
        <v>3172</v>
      </c>
      <c r="G497" s="145"/>
      <c r="I497" s="145"/>
    </row>
    <row r="498" spans="1:9" s="27" customFormat="1" ht="18" customHeight="1">
      <c r="B498" s="9" t="s">
        <v>2955</v>
      </c>
      <c r="C498" s="9"/>
      <c r="D498" s="9"/>
      <c r="E498" s="9"/>
      <c r="F498" s="146" t="s">
        <v>1267</v>
      </c>
      <c r="G498" s="147"/>
      <c r="H498" s="146" t="s">
        <v>3173</v>
      </c>
      <c r="I498" s="148">
        <f>IF(charge_strtower27_CHARGE="",0,charge_strtower27_CHARGE)</f>
        <v>0</v>
      </c>
    </row>
    <row r="499" spans="1:9" s="27" customFormat="1" ht="18" customHeight="1">
      <c r="B499" s="149" t="s">
        <v>3041</v>
      </c>
      <c r="C499" s="149"/>
      <c r="D499" s="149"/>
      <c r="E499" s="149"/>
      <c r="F499" s="146" t="s">
        <v>1268</v>
      </c>
      <c r="G499" s="147"/>
      <c r="H499" s="27" t="s">
        <v>3174</v>
      </c>
      <c r="I499" s="148">
        <f>IF(charge_strtower27_CHARGE_WARIMASHI="",0,charge_strtower27_CHARGE_WARIMASHI)</f>
        <v>0</v>
      </c>
    </row>
    <row r="500" spans="1:9" s="27" customFormat="1" ht="18" customHeight="1">
      <c r="B500" s="149" t="s">
        <v>3043</v>
      </c>
      <c r="C500" s="149"/>
      <c r="D500" s="149"/>
      <c r="E500" s="149"/>
      <c r="F500" s="146" t="s">
        <v>1269</v>
      </c>
      <c r="G500" s="147"/>
      <c r="H500" s="27" t="s">
        <v>3175</v>
      </c>
      <c r="I500" s="148">
        <f>IF(charge_strtower27_CHARGE_TOTAL="",0,charge_strtower27_CHARGE_TOTAL)</f>
        <v>0</v>
      </c>
    </row>
    <row r="501" spans="1:9" s="27" customFormat="1" ht="18" customHeight="1">
      <c r="B501" s="149" t="s">
        <v>3045</v>
      </c>
      <c r="G501" s="145"/>
      <c r="H501" s="27" t="s">
        <v>3176</v>
      </c>
      <c r="I501" s="150" t="str">
        <f>IF(charge_strtower27_CHARGE="","","+"&amp;TEXT(charge_strtower27_CHARGE,"#,##0_ "))</f>
        <v/>
      </c>
    </row>
    <row r="502" spans="1:9" s="27" customFormat="1" ht="18" customHeight="1">
      <c r="B502" s="149"/>
      <c r="C502" s="149"/>
      <c r="D502" s="149"/>
      <c r="E502" s="149"/>
      <c r="F502" s="151"/>
      <c r="G502" s="151"/>
      <c r="I502" s="145"/>
    </row>
    <row r="503" spans="1:9" s="27" customFormat="1" ht="18" customHeight="1">
      <c r="A503" s="12" t="s">
        <v>3177</v>
      </c>
      <c r="G503" s="145"/>
      <c r="I503" s="145"/>
    </row>
    <row r="504" spans="1:9" s="27" customFormat="1" ht="18" customHeight="1">
      <c r="B504" s="9" t="s">
        <v>2955</v>
      </c>
      <c r="C504" s="9"/>
      <c r="D504" s="9"/>
      <c r="E504" s="9"/>
      <c r="F504" s="146" t="s">
        <v>1270</v>
      </c>
      <c r="G504" s="147"/>
      <c r="H504" s="146" t="s">
        <v>3178</v>
      </c>
      <c r="I504" s="148">
        <f>IF(charge_strtower28_CHARGE="",0,charge_strtower28_CHARGE)</f>
        <v>0</v>
      </c>
    </row>
    <row r="505" spans="1:9" s="27" customFormat="1" ht="18" customHeight="1">
      <c r="B505" s="149" t="s">
        <v>3041</v>
      </c>
      <c r="C505" s="149"/>
      <c r="D505" s="149"/>
      <c r="E505" s="149"/>
      <c r="F505" s="146" t="s">
        <v>1271</v>
      </c>
      <c r="G505" s="147"/>
      <c r="H505" s="27" t="s">
        <v>3179</v>
      </c>
      <c r="I505" s="148">
        <f>IF(charge_strtower28_CHARGE_WARIMASHI="",0,charge_strtower28_CHARGE_WARIMASHI)</f>
        <v>0</v>
      </c>
    </row>
    <row r="506" spans="1:9" s="27" customFormat="1" ht="18" customHeight="1">
      <c r="B506" s="149" t="s">
        <v>3043</v>
      </c>
      <c r="C506" s="149"/>
      <c r="D506" s="149"/>
      <c r="E506" s="149"/>
      <c r="F506" s="146" t="s">
        <v>1272</v>
      </c>
      <c r="G506" s="147"/>
      <c r="H506" s="27" t="s">
        <v>3180</v>
      </c>
      <c r="I506" s="148">
        <f>IF(charge_strtower28_CHARGE_TOTAL="",0,charge_strtower28_CHARGE_TOTAL)</f>
        <v>0</v>
      </c>
    </row>
    <row r="507" spans="1:9" s="27" customFormat="1" ht="18" customHeight="1">
      <c r="B507" s="149" t="s">
        <v>3045</v>
      </c>
      <c r="G507" s="145"/>
      <c r="H507" s="27" t="s">
        <v>3181</v>
      </c>
      <c r="I507" s="150" t="str">
        <f>IF(charge_strtower28_CHARGE="","","+"&amp;TEXT(charge_strtower28_CHARGE,"#,##0_ "))</f>
        <v/>
      </c>
    </row>
    <row r="508" spans="1:9" s="27" customFormat="1" ht="18" customHeight="1">
      <c r="B508" s="149"/>
      <c r="C508" s="149"/>
      <c r="D508" s="149"/>
      <c r="E508" s="149"/>
      <c r="F508" s="151"/>
      <c r="G508" s="151"/>
      <c r="I508" s="145"/>
    </row>
    <row r="509" spans="1:9" s="27" customFormat="1" ht="18" customHeight="1">
      <c r="A509" s="12" t="s">
        <v>3182</v>
      </c>
      <c r="G509" s="145"/>
      <c r="I509" s="145"/>
    </row>
    <row r="510" spans="1:9" s="27" customFormat="1" ht="18" customHeight="1">
      <c r="B510" s="9" t="s">
        <v>2955</v>
      </c>
      <c r="C510" s="9"/>
      <c r="D510" s="9"/>
      <c r="E510" s="9"/>
      <c r="F510" s="146" t="s">
        <v>1273</v>
      </c>
      <c r="G510" s="147"/>
      <c r="H510" s="146" t="s">
        <v>3183</v>
      </c>
      <c r="I510" s="148">
        <f>IF(charge_strtower29_CHARGE="",0,charge_strtower29_CHARGE)</f>
        <v>0</v>
      </c>
    </row>
    <row r="511" spans="1:9" s="27" customFormat="1" ht="18" customHeight="1">
      <c r="B511" s="149" t="s">
        <v>3041</v>
      </c>
      <c r="C511" s="149"/>
      <c r="D511" s="149"/>
      <c r="E511" s="149"/>
      <c r="F511" s="146" t="s">
        <v>1274</v>
      </c>
      <c r="G511" s="147"/>
      <c r="H511" s="27" t="s">
        <v>3184</v>
      </c>
      <c r="I511" s="148">
        <f>IF(charge_strtower29_CHARGE_WARIMASHI="",0,charge_strtower29_CHARGE_WARIMASHI)</f>
        <v>0</v>
      </c>
    </row>
    <row r="512" spans="1:9" s="27" customFormat="1" ht="18" customHeight="1">
      <c r="B512" s="149" t="s">
        <v>3043</v>
      </c>
      <c r="C512" s="149"/>
      <c r="D512" s="149"/>
      <c r="E512" s="149"/>
      <c r="F512" s="146" t="s">
        <v>1275</v>
      </c>
      <c r="G512" s="147"/>
      <c r="H512" s="27" t="s">
        <v>3185</v>
      </c>
      <c r="I512" s="148">
        <f>IF(charge_strtower29_CHARGE_TOTAL="",0,charge_strtower29_CHARGE_TOTAL)</f>
        <v>0</v>
      </c>
    </row>
    <row r="513" spans="1:9" s="27" customFormat="1" ht="18" customHeight="1">
      <c r="B513" s="149" t="s">
        <v>3045</v>
      </c>
      <c r="G513" s="145"/>
      <c r="H513" s="27" t="s">
        <v>3186</v>
      </c>
      <c r="I513" s="150" t="str">
        <f>IF(charge_strtower29_CHARGE="","",TEXT(charge_strtower29_CHARGE,"#,##0_ "))</f>
        <v/>
      </c>
    </row>
    <row r="514" spans="1:9" s="27" customFormat="1" ht="18" customHeight="1">
      <c r="B514" s="149"/>
      <c r="C514" s="149"/>
      <c r="D514" s="149"/>
      <c r="E514" s="149"/>
      <c r="F514" s="151"/>
      <c r="G514" s="151"/>
      <c r="I514" s="145"/>
    </row>
    <row r="515" spans="1:9" s="27" customFormat="1" ht="18" customHeight="1">
      <c r="A515" s="12" t="s">
        <v>3187</v>
      </c>
      <c r="G515" s="145"/>
      <c r="I515" s="145"/>
    </row>
    <row r="516" spans="1:9" s="27" customFormat="1" ht="18" customHeight="1">
      <c r="B516" s="9" t="s">
        <v>2955</v>
      </c>
      <c r="C516" s="9"/>
      <c r="D516" s="9"/>
      <c r="E516" s="9"/>
      <c r="F516" s="146" t="s">
        <v>1276</v>
      </c>
      <c r="G516" s="147"/>
      <c r="H516" s="146" t="s">
        <v>3188</v>
      </c>
      <c r="I516" s="148">
        <f>IF(charge_strtower30_CHARGE="",0,charge_strtower30_CHARGE)</f>
        <v>0</v>
      </c>
    </row>
    <row r="517" spans="1:9" s="27" customFormat="1" ht="18" customHeight="1">
      <c r="B517" s="149" t="s">
        <v>3041</v>
      </c>
      <c r="C517" s="149"/>
      <c r="D517" s="149"/>
      <c r="E517" s="149"/>
      <c r="F517" s="146" t="s">
        <v>1277</v>
      </c>
      <c r="G517" s="147"/>
      <c r="H517" s="27" t="s">
        <v>3189</v>
      </c>
      <c r="I517" s="148">
        <f>IF(charge_strtower30_CHARGE_WARIMASHI="",0,charge_strtower30_CHARGE_WARIMASHI)</f>
        <v>0</v>
      </c>
    </row>
    <row r="518" spans="1:9" s="27" customFormat="1" ht="18" customHeight="1">
      <c r="B518" s="149" t="s">
        <v>3043</v>
      </c>
      <c r="C518" s="149"/>
      <c r="D518" s="149"/>
      <c r="E518" s="149"/>
      <c r="F518" s="146" t="s">
        <v>1278</v>
      </c>
      <c r="G518" s="147"/>
      <c r="H518" s="27" t="s">
        <v>3190</v>
      </c>
      <c r="I518" s="148">
        <f>IF(charge_strtower30_CHARGE_TOTAL="",0,charge_strtower30_CHARGE_TOTAL)</f>
        <v>0</v>
      </c>
    </row>
    <row r="519" spans="1:9" s="27" customFormat="1" ht="18" customHeight="1">
      <c r="B519" s="149" t="s">
        <v>3045</v>
      </c>
      <c r="G519" s="145"/>
      <c r="H519" s="27" t="s">
        <v>3191</v>
      </c>
      <c r="I519" s="150" t="str">
        <f>IF(charge_strtower30_CHARGE="","","+"&amp;TEXT(charge_strtower30_CHARGE,"#,##0_ "))</f>
        <v/>
      </c>
    </row>
    <row r="520" spans="1:9" s="27" customFormat="1" ht="18" customHeight="1">
      <c r="B520" s="149"/>
      <c r="C520" s="149"/>
      <c r="D520" s="149"/>
      <c r="E520" s="149"/>
      <c r="F520" s="151"/>
      <c r="G520" s="151"/>
      <c r="I520" s="145"/>
    </row>
    <row r="521" spans="1:9" ht="18" customHeight="1">
      <c r="A521" s="7" t="s">
        <v>3192</v>
      </c>
    </row>
  </sheetData>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4">
    <tabColor rgb="FFFF99CC"/>
  </sheetPr>
  <dimension ref="A3:J109"/>
  <sheetViews>
    <sheetView topLeftCell="A46" zoomScale="90" zoomScaleNormal="90" workbookViewId="0">
      <selection activeCell="G63" sqref="G63"/>
    </sheetView>
  </sheetViews>
  <sheetFormatPr defaultRowHeight="18" customHeight="1"/>
  <cols>
    <col min="1" max="4" width="3.625" customWidth="1"/>
    <col min="5" max="5" width="25.625" customWidth="1"/>
    <col min="6" max="6" width="39.875" customWidth="1"/>
    <col min="7" max="7" width="32.125" customWidth="1"/>
    <col min="8" max="9" width="25.625" customWidth="1"/>
    <col min="10" max="10" width="4.625" customWidth="1"/>
  </cols>
  <sheetData>
    <row r="3" spans="1:10" ht="18" customHeight="1">
      <c r="G3" s="434"/>
      <c r="H3" s="435" t="s">
        <v>2755</v>
      </c>
      <c r="I3" s="435" t="s">
        <v>2530</v>
      </c>
      <c r="J3" s="435" t="s">
        <v>11723</v>
      </c>
    </row>
    <row r="4" spans="1:10" s="10" customFormat="1" ht="18" customHeight="1">
      <c r="A4" s="9"/>
      <c r="C4" s="9"/>
      <c r="D4" s="9"/>
      <c r="E4" s="9"/>
      <c r="F4" s="9"/>
      <c r="G4" s="220" t="s">
        <v>9943</v>
      </c>
      <c r="H4" s="436" t="s">
        <v>9942</v>
      </c>
      <c r="I4" s="435"/>
      <c r="J4" s="197"/>
    </row>
    <row r="5" spans="1:10" s="10" customFormat="1" ht="18" customHeight="1">
      <c r="A5" s="9"/>
      <c r="D5" s="9"/>
      <c r="E5" s="9"/>
      <c r="F5" s="9"/>
      <c r="G5" s="220" t="s">
        <v>2524</v>
      </c>
      <c r="H5" s="437" t="str">
        <f>cst_shinsei_CHARGE_ID__meisai01_ITEM_NAME</f>
        <v/>
      </c>
      <c r="I5" s="644" t="str">
        <f>cst_shinsei_CHARGE_ID__meisai01_SYOUKEI</f>
        <v/>
      </c>
      <c r="J5" s="645">
        <v>1</v>
      </c>
    </row>
    <row r="6" spans="1:10" s="10" customFormat="1" ht="18" customHeight="1">
      <c r="A6" s="9"/>
      <c r="D6" s="9"/>
      <c r="E6" s="9"/>
      <c r="F6" s="9"/>
      <c r="G6" s="220" t="s">
        <v>2533</v>
      </c>
      <c r="H6" s="437" t="str">
        <f>cst_shinsei_CHARGE_ID__meisai02_ITEM_NAME</f>
        <v/>
      </c>
      <c r="I6" s="644" t="str">
        <f>cst_shinsei_CHARGE_ID__meisai02_SYOUKEI</f>
        <v/>
      </c>
      <c r="J6" s="645">
        <v>2</v>
      </c>
    </row>
    <row r="7" spans="1:10" s="10" customFormat="1" ht="18" customHeight="1">
      <c r="A7" s="9"/>
      <c r="C7" s="9"/>
      <c r="D7" s="9"/>
      <c r="E7" s="9"/>
      <c r="F7" s="9"/>
      <c r="G7" s="220" t="s">
        <v>2538</v>
      </c>
      <c r="H7" s="437" t="str">
        <f>cst_shinsei_CHARGE_ID__meisai03_ITEM_NAME</f>
        <v/>
      </c>
      <c r="I7" s="644" t="str">
        <f>cst_shinsei_CHARGE_ID__meisai03_SYOUKEI</f>
        <v/>
      </c>
      <c r="J7" s="645">
        <v>3</v>
      </c>
    </row>
    <row r="8" spans="1:10" s="10" customFormat="1" ht="18" customHeight="1">
      <c r="A8" s="9"/>
      <c r="C8" s="9"/>
      <c r="D8" s="9"/>
      <c r="E8" s="9"/>
      <c r="F8" s="9"/>
      <c r="G8" s="220" t="s">
        <v>2544</v>
      </c>
      <c r="H8" s="437" t="str">
        <f>cst_shinsei_CHARGE_ID__meisai04_ITEM_NAME</f>
        <v/>
      </c>
      <c r="I8" s="644" t="str">
        <f>cst_shinsei_CHARGE_ID__meisai04_SYOUKEI</f>
        <v/>
      </c>
      <c r="J8" s="645">
        <v>4</v>
      </c>
    </row>
    <row r="9" spans="1:10" s="10" customFormat="1" ht="18" customHeight="1">
      <c r="A9" s="9"/>
      <c r="C9" s="9"/>
      <c r="D9" s="9"/>
      <c r="E9" s="9"/>
      <c r="F9" s="9"/>
      <c r="G9" s="220" t="s">
        <v>2549</v>
      </c>
      <c r="H9" s="437" t="str">
        <f>cst_shinsei_CHARGE_ID__meisai05_ITEM_NAME</f>
        <v/>
      </c>
      <c r="I9" s="644" t="str">
        <f>cst_shinsei_CHARGE_ID__meisai05_SYOUKEI</f>
        <v/>
      </c>
      <c r="J9" s="645">
        <v>5</v>
      </c>
    </row>
    <row r="10" spans="1:10" s="10" customFormat="1" ht="18" customHeight="1">
      <c r="A10" s="9"/>
      <c r="C10" s="9"/>
      <c r="D10" s="9"/>
      <c r="E10" s="9"/>
      <c r="F10" s="9"/>
      <c r="G10" s="220" t="s">
        <v>2554</v>
      </c>
      <c r="H10" s="437" t="str">
        <f>cst_shinsei_CHARGE_ID__meisai06_ITEM_NAME</f>
        <v/>
      </c>
      <c r="I10" s="644" t="str">
        <f>cst_shinsei_CHARGE_ID__meisai06_SYOUKEI</f>
        <v/>
      </c>
      <c r="J10" s="645">
        <v>6</v>
      </c>
    </row>
    <row r="11" spans="1:10" s="10" customFormat="1" ht="18" customHeight="1">
      <c r="A11" s="9"/>
      <c r="C11" s="9"/>
      <c r="D11" s="9"/>
      <c r="E11" s="9"/>
      <c r="F11" s="9"/>
      <c r="G11" s="220" t="s">
        <v>2560</v>
      </c>
      <c r="H11" s="437" t="str">
        <f>cst_shinsei_CHARGE_ID__meisai07_ITEM_NAME</f>
        <v/>
      </c>
      <c r="I11" s="644" t="str">
        <f>cst_shinsei_CHARGE_ID__meisai07_SYOUKEI</f>
        <v/>
      </c>
      <c r="J11" s="645">
        <v>7</v>
      </c>
    </row>
    <row r="12" spans="1:10" s="10" customFormat="1" ht="18" customHeight="1">
      <c r="A12" s="9"/>
      <c r="C12" s="9"/>
      <c r="D12" s="9"/>
      <c r="E12" s="9"/>
      <c r="F12" s="9"/>
      <c r="G12" s="220" t="s">
        <v>2565</v>
      </c>
      <c r="H12" s="437" t="str">
        <f>cst_shinsei_CHARGE_ID__meisai08_ITEM_NAME</f>
        <v/>
      </c>
      <c r="I12" s="644" t="str">
        <f>cst_shinsei_CHARGE_ID__meisai08_SYOUKEI</f>
        <v/>
      </c>
      <c r="J12" s="645">
        <v>8</v>
      </c>
    </row>
    <row r="13" spans="1:10" s="10" customFormat="1" ht="18" customHeight="1">
      <c r="A13" s="9"/>
      <c r="C13" s="9"/>
      <c r="D13" s="9"/>
      <c r="E13" s="9"/>
      <c r="F13" s="9"/>
      <c r="G13" s="220" t="s">
        <v>4090</v>
      </c>
      <c r="H13" s="437" t="str">
        <f>cst_shinsei_CHARGE_ID__meisai09_ITEM_NAME</f>
        <v/>
      </c>
      <c r="I13" s="644" t="str">
        <f>cst_shinsei_CHARGE_ID__meisai09_SYOUKEI</f>
        <v/>
      </c>
      <c r="J13" s="645">
        <v>9</v>
      </c>
    </row>
    <row r="14" spans="1:10" s="10" customFormat="1" ht="18" customHeight="1">
      <c r="A14" s="9"/>
      <c r="C14" s="9"/>
      <c r="D14" s="9"/>
      <c r="E14" s="9"/>
      <c r="F14" s="9"/>
      <c r="G14" s="220" t="s">
        <v>4097</v>
      </c>
      <c r="H14" s="437" t="str">
        <f>cst_shinsei_CHARGE_ID__meisai10_ITEM_NAME</f>
        <v/>
      </c>
      <c r="I14" s="644" t="str">
        <f>cst_shinsei_CHARGE_ID__meisai10_SYOUKEI</f>
        <v/>
      </c>
      <c r="J14" s="645">
        <v>10</v>
      </c>
    </row>
    <row r="15" spans="1:10" s="10" customFormat="1" ht="18" customHeight="1">
      <c r="A15" s="9"/>
      <c r="C15" s="9"/>
      <c r="D15" s="9"/>
      <c r="E15" s="9"/>
      <c r="F15" s="9"/>
      <c r="G15" s="220" t="s">
        <v>4103</v>
      </c>
      <c r="H15" s="437" t="str">
        <f>cst_shinsei_CHARGE_ID__meisai11_ITEM_NAME</f>
        <v/>
      </c>
      <c r="I15" s="644" t="str">
        <f>cst_shinsei_CHARGE_ID__meisai11_SYOUKEI</f>
        <v/>
      </c>
      <c r="J15" s="645">
        <v>11</v>
      </c>
    </row>
    <row r="16" spans="1:10" s="10" customFormat="1" ht="18" customHeight="1">
      <c r="A16" s="9"/>
      <c r="C16" s="9"/>
      <c r="D16" s="9"/>
      <c r="E16" s="9"/>
      <c r="F16" s="9"/>
      <c r="G16" s="9"/>
      <c r="H16" s="9"/>
    </row>
    <row r="17" spans="1:9" s="10" customFormat="1" ht="18" customHeight="1">
      <c r="A17" s="9"/>
      <c r="B17" s="10" t="s">
        <v>9947</v>
      </c>
      <c r="C17" s="9"/>
      <c r="D17" s="9"/>
      <c r="E17" s="9"/>
      <c r="F17" s="9"/>
      <c r="G17" s="438">
        <f>cst_CHARGE__BASIC_MEISAI_GOUKEI</f>
        <v>76000</v>
      </c>
    </row>
    <row r="18" spans="1:9" s="10" customFormat="1" ht="18" customHeight="1">
      <c r="A18" s="9"/>
      <c r="C18" s="9"/>
      <c r="D18" s="9"/>
      <c r="E18" s="9"/>
      <c r="F18" s="9"/>
      <c r="G18" s="9"/>
    </row>
    <row r="19" spans="1:9" s="10" customFormat="1" ht="18" customHeight="1">
      <c r="A19" s="9"/>
      <c r="B19" s="10" t="s">
        <v>9944</v>
      </c>
      <c r="C19" s="9"/>
      <c r="D19" s="9"/>
      <c r="E19" s="9"/>
      <c r="F19" s="9" t="s">
        <v>11626</v>
      </c>
      <c r="G19" s="25" t="str">
        <f>IF(ISERROR(MATCH("出張費",erea_CHARGE_DETAIL,0)),"",MATCH("出張費",erea_CHARGE_DETAIL,0))</f>
        <v/>
      </c>
    </row>
    <row r="20" spans="1:9" s="10" customFormat="1" ht="18" customHeight="1">
      <c r="A20" s="9"/>
      <c r="B20" s="10" t="s">
        <v>9945</v>
      </c>
      <c r="C20" s="9"/>
      <c r="D20" s="9"/>
      <c r="E20" s="9"/>
      <c r="F20" s="9" t="s">
        <v>9946</v>
      </c>
      <c r="G20" s="136">
        <f ca="1">IF(ISERROR(OFFSET(base_point_CHARGE_DETAIL,search_CHARGE_DETAIL_shuchou,1)),0,OFFSET(base_point_CHARGE_DETAIL,search_CHARGE_DETAIL_shuchou,1))</f>
        <v>0</v>
      </c>
      <c r="H20" s="9"/>
    </row>
    <row r="21" spans="1:9" s="10" customFormat="1" ht="18" customHeight="1">
      <c r="A21" s="9"/>
      <c r="C21" s="9"/>
      <c r="D21" s="9"/>
      <c r="E21" s="9"/>
      <c r="F21" s="9" t="s">
        <v>9948</v>
      </c>
      <c r="G21" s="22" t="str">
        <f ca="1">IF(search_CHARGE_DETAIL_shuchou_fee&lt;&gt;0,"(出張費 \"&amp;TEXT(search_CHARGE_DETAIL_shuchou_fee,"#,##0_ ")&amp;"- 含む)","")</f>
        <v/>
      </c>
      <c r="I21" s="555" t="s">
        <v>11615</v>
      </c>
    </row>
    <row r="22" spans="1:9" s="10" customFormat="1" ht="18" customHeight="1">
      <c r="A22" s="9"/>
      <c r="C22" s="9"/>
      <c r="D22" s="9"/>
      <c r="E22" s="9"/>
      <c r="F22" s="9"/>
      <c r="G22" s="9"/>
    </row>
    <row r="23" spans="1:9" s="10" customFormat="1" ht="18" customHeight="1">
      <c r="A23" s="9"/>
      <c r="B23" s="10" t="s">
        <v>9944</v>
      </c>
      <c r="C23" s="9"/>
      <c r="D23" s="9"/>
      <c r="E23" s="9"/>
      <c r="F23" s="9" t="s">
        <v>11627</v>
      </c>
      <c r="G23" s="25" t="str">
        <f>IF(ISERROR(MATCH("出張費",erea_CHARGE_DETAIL,0)),"",MATCH("出張費",erea_CHARGE_DETAIL,0))</f>
        <v/>
      </c>
    </row>
    <row r="24" spans="1:9" s="10" customFormat="1" ht="18" customHeight="1">
      <c r="A24" s="9"/>
      <c r="B24" s="10" t="s">
        <v>9945</v>
      </c>
      <c r="C24" s="9"/>
      <c r="D24" s="9"/>
      <c r="E24" s="9"/>
      <c r="F24" s="9" t="s">
        <v>11624</v>
      </c>
      <c r="G24" s="136">
        <f ca="1">IF(ISERROR(OFFSET(base_point_CHARGE_DETAIL,search_CHARGE_DETAIL_shuchou,1)),0,OFFSET(base_point_CHARGE_DETAIL,search_CHARGE_DETAIL_shuchou,1))</f>
        <v>0</v>
      </c>
      <c r="H24" s="9"/>
      <c r="I24" s="555"/>
    </row>
    <row r="25" spans="1:9" s="10" customFormat="1" ht="18" customHeight="1">
      <c r="A25" s="9"/>
      <c r="C25" s="9"/>
      <c r="D25" s="9"/>
      <c r="E25" s="9"/>
      <c r="F25" s="9" t="s">
        <v>11625</v>
      </c>
      <c r="G25" s="22" t="str">
        <f ca="1">IF(search_CHARGE_DETAIL_shuchou_fee&lt;&gt;0,"出張費 \"&amp;TEXT(search_CHARGE_DETAIL_shuchou_fee,"#,##0_ ")&amp;"-","")</f>
        <v/>
      </c>
      <c r="I25" s="555" t="s">
        <v>11619</v>
      </c>
    </row>
    <row r="26" spans="1:9" s="10" customFormat="1" ht="18" customHeight="1">
      <c r="A26" s="9"/>
      <c r="C26" s="9"/>
      <c r="D26" s="9"/>
      <c r="E26" s="9"/>
      <c r="F26" s="9"/>
      <c r="I26" s="555"/>
    </row>
    <row r="27" spans="1:9" s="10" customFormat="1" ht="18" customHeight="1">
      <c r="A27" s="9"/>
      <c r="B27" s="10" t="s">
        <v>11438</v>
      </c>
      <c r="C27" s="9"/>
      <c r="D27" s="9"/>
      <c r="E27" s="9"/>
      <c r="F27" s="9" t="s">
        <v>11439</v>
      </c>
      <c r="G27" s="25" t="str">
        <f>IF(ISERROR(MATCH("省エネ適判あり",erea_CHARGE_DETAIL,0)),"",MATCH("省エネ適判あり",erea_CHARGE_DETAIL,0))</f>
        <v/>
      </c>
      <c r="H27" s="25" t="str">
        <f>IF(ISERROR(MATCH("省エネ適判あり",erea_CHARGE_DETAIL,0)),"",MATCH("省エネ適判あり",erea_CHARGE_DETAIL,0))</f>
        <v/>
      </c>
      <c r="I27" s="555"/>
    </row>
    <row r="28" spans="1:9" s="10" customFormat="1" ht="18" customHeight="1">
      <c r="A28" s="9"/>
      <c r="B28" s="10" t="s">
        <v>9945</v>
      </c>
      <c r="C28" s="9"/>
      <c r="D28" s="9"/>
      <c r="E28" s="9"/>
      <c r="F28" s="9" t="s">
        <v>11440</v>
      </c>
      <c r="G28" s="136">
        <f ca="1">IF(ISERROR(OFFSET(base_point_CHARGE_DETAIL,search_CHARGE_DETAIL_ecoteki,1)),0,OFFSET(base_point_CHARGE_DETAIL,search_CHARGE_DETAIL_ecoteki,1))</f>
        <v>0</v>
      </c>
      <c r="H28" s="136">
        <f ca="1">IF(ISERROR(OFFSET(base_point_CHARGE_DETAIL,search_CHARGE_DETAIL_ecoteki,1)),0,OFFSET(base_point_CHARGE_DETAIL,search_CHARGE_DETAIL_ecoteki,1))</f>
        <v>0</v>
      </c>
      <c r="I28" s="555"/>
    </row>
    <row r="29" spans="1:9" s="10" customFormat="1" ht="18" customHeight="1">
      <c r="A29" s="9"/>
      <c r="B29" s="10" t="s">
        <v>11445</v>
      </c>
      <c r="C29" s="9"/>
      <c r="D29" s="9"/>
      <c r="E29" s="9"/>
      <c r="F29" s="9" t="s">
        <v>11441</v>
      </c>
      <c r="G29" s="22" t="str">
        <f ca="1">IF(search_CHARGE_DETAIL_ecoteki_fee&lt;&gt;0,"（省エネ適判あり）","")</f>
        <v/>
      </c>
      <c r="H29" s="22" t="str">
        <f ca="1">IF(search_CHARGE_DETAIL_ecoteki_fee&lt;&gt;0,"省エネ適判あり","")</f>
        <v/>
      </c>
      <c r="I29" s="555"/>
    </row>
    <row r="30" spans="1:9" s="10" customFormat="1" ht="18" customHeight="1">
      <c r="A30" s="9"/>
      <c r="C30" s="9"/>
      <c r="D30" s="9"/>
      <c r="E30" s="9"/>
      <c r="F30" s="9"/>
      <c r="G30" s="9"/>
      <c r="H30" s="9"/>
      <c r="I30" s="555"/>
    </row>
    <row r="31" spans="1:9" s="10" customFormat="1" ht="18" customHeight="1">
      <c r="A31" s="9">
        <v>1</v>
      </c>
      <c r="B31" s="10" t="s">
        <v>11269</v>
      </c>
      <c r="C31" s="9"/>
      <c r="D31" s="9"/>
      <c r="E31" s="9"/>
      <c r="F31" s="9" t="s">
        <v>11270</v>
      </c>
      <c r="G31" s="25" t="str">
        <f>IF(ISERROR(MATCH("複数棟による加算",erea_CHARGE_DETAIL,0)),"",MATCH("複数棟による加算",erea_CHARGE_DETAIL,0))</f>
        <v/>
      </c>
      <c r="H31" s="9"/>
      <c r="I31" s="555"/>
    </row>
    <row r="32" spans="1:9" s="10" customFormat="1" ht="18" customHeight="1">
      <c r="A32" s="9"/>
      <c r="B32" s="10" t="s">
        <v>9945</v>
      </c>
      <c r="C32" s="9"/>
      <c r="D32" s="9"/>
      <c r="E32" s="9"/>
      <c r="F32" s="9" t="s">
        <v>11271</v>
      </c>
      <c r="G32" s="136">
        <f ca="1">IF(ISERROR(OFFSET(base_point_CHARGE_DETAIL,search_CHARGE_DETAIL_fukusuutou,1)),0,OFFSET(base_point_CHARGE_DETAIL,search_CHARGE_DETAIL_fukusuutou,1))</f>
        <v>0</v>
      </c>
      <c r="I32" s="555"/>
    </row>
    <row r="33" spans="1:9" s="10" customFormat="1" ht="18" customHeight="1">
      <c r="A33" s="9"/>
      <c r="C33" s="9"/>
      <c r="D33" s="9"/>
      <c r="E33" s="9"/>
      <c r="F33" s="9" t="s">
        <v>11272</v>
      </c>
      <c r="G33" s="22" t="str">
        <f ca="1">IF(search_CHARGE_DETAIL_fukusuutou_fee&lt;&gt;0,"複数棟による加算 \"&amp;TEXT(search_CHARGE_DETAIL_fukusuutou_fee,"#,##0_ ")&amp;"-","")</f>
        <v/>
      </c>
      <c r="H33" s="164" t="str">
        <f ca="1">IF(search_CHARGE_DETAIL_hinananzen_fee&lt;&gt;0,"(避難安全検証法 \"&amp;TEXT(search_CHARGE_DETAIL_hinananzen_fee,"#,##0_ ")&amp;"- 含む)","")</f>
        <v/>
      </c>
      <c r="I33" s="555"/>
    </row>
    <row r="34" spans="1:9" s="10" customFormat="1" ht="18" customHeight="1">
      <c r="A34" s="9"/>
      <c r="C34" s="9"/>
      <c r="D34" s="9"/>
      <c r="E34" s="9"/>
      <c r="F34" s="9"/>
      <c r="G34" s="9"/>
      <c r="H34" s="9"/>
      <c r="I34" s="555"/>
    </row>
    <row r="35" spans="1:9" s="10" customFormat="1" ht="18" customHeight="1">
      <c r="A35" s="9">
        <v>2</v>
      </c>
      <c r="B35" s="10" t="s">
        <v>11421</v>
      </c>
      <c r="C35" s="9"/>
      <c r="D35" s="9"/>
      <c r="E35" s="9"/>
      <c r="F35" s="9" t="s">
        <v>11418</v>
      </c>
      <c r="G35" s="25" t="str">
        <f>IF(ISERROR(MATCH("その他の加算",erea_CHARGE_DETAIL,0)),"",MATCH("その他の加算",erea_CHARGE_DETAIL,0))</f>
        <v/>
      </c>
      <c r="H35" s="9"/>
      <c r="I35" s="555"/>
    </row>
    <row r="36" spans="1:9" s="10" customFormat="1" ht="18" customHeight="1">
      <c r="A36" s="9"/>
      <c r="B36" s="10" t="s">
        <v>9945</v>
      </c>
      <c r="C36" s="9"/>
      <c r="D36" s="9"/>
      <c r="E36" s="9"/>
      <c r="F36" s="9" t="s">
        <v>11419</v>
      </c>
      <c r="G36" s="136">
        <f ca="1">IF(ISERROR(OFFSET(base_point_CHARGE_DETAIL,search_CHARGE_DETAIL_sonotakasan,1)),0,OFFSET(base_point_CHARGE_DETAIL,search_CHARGE_DETAIL_sonotakasan,1))</f>
        <v>0</v>
      </c>
      <c r="I36" s="555"/>
    </row>
    <row r="37" spans="1:9" s="10" customFormat="1" ht="18" customHeight="1">
      <c r="A37" s="9"/>
      <c r="C37" s="9"/>
      <c r="D37" s="9"/>
      <c r="E37" s="9"/>
      <c r="F37" s="9" t="s">
        <v>11420</v>
      </c>
      <c r="G37" s="22" t="str">
        <f ca="1">IF(search_CHARGE_DETAIL_sonotakasan_fee&lt;&gt;0,"その他の加算 \"&amp;TEXT(search_CHARGE_DETAIL_sonotakasan_fee,"#,##0_ ")&amp;"-","")</f>
        <v/>
      </c>
      <c r="H37" s="164" t="str">
        <f ca="1">IF(search_CHARGE_DETAIL_sonotakasan_fee&lt;&gt;0,"(その他の加算 \"&amp;TEXT(search_CHARGE_DETAIL_sonotakasan_fee,"#,##0_ ")&amp;"- 含む)","")</f>
        <v/>
      </c>
      <c r="I37" s="555"/>
    </row>
    <row r="38" spans="1:9" s="10" customFormat="1" ht="18" customHeight="1">
      <c r="A38" s="9"/>
      <c r="C38" s="9"/>
      <c r="D38" s="9"/>
      <c r="E38" s="9"/>
      <c r="F38" s="9"/>
      <c r="G38" s="9"/>
      <c r="H38" s="9"/>
      <c r="I38" s="555"/>
    </row>
    <row r="39" spans="1:9" s="10" customFormat="1" ht="18" customHeight="1">
      <c r="A39" s="9">
        <v>3</v>
      </c>
      <c r="B39" s="10" t="s">
        <v>10146</v>
      </c>
      <c r="C39" s="9"/>
      <c r="D39" s="9"/>
      <c r="E39" s="9"/>
      <c r="F39" s="9" t="s">
        <v>10147</v>
      </c>
      <c r="G39" s="25" t="str">
        <f>IF(ISERROR(MATCH("避難安全検証法",erea_CHARGE_DETAIL,0)),"",MATCH("避難安全検証法",erea_CHARGE_DETAIL,0))</f>
        <v/>
      </c>
      <c r="H39" s="9"/>
      <c r="I39" s="555"/>
    </row>
    <row r="40" spans="1:9" s="10" customFormat="1" ht="18" customHeight="1">
      <c r="A40" s="9"/>
      <c r="B40" s="10" t="s">
        <v>9945</v>
      </c>
      <c r="C40" s="9"/>
      <c r="D40" s="9"/>
      <c r="E40" s="9"/>
      <c r="F40" s="9" t="s">
        <v>10148</v>
      </c>
      <c r="G40" s="136">
        <f ca="1">IF(ISERROR(OFFSET(base_point_CHARGE_DETAIL,search_CHARGE_DETAIL_hinananzen,1)),0,OFFSET(base_point_CHARGE_DETAIL,search_CHARGE_DETAIL_hinananzen,1))</f>
        <v>0</v>
      </c>
      <c r="I40" s="555"/>
    </row>
    <row r="41" spans="1:9" s="10" customFormat="1" ht="18" customHeight="1">
      <c r="A41" s="9"/>
      <c r="C41" s="9"/>
      <c r="D41" s="9"/>
      <c r="E41" s="9"/>
      <c r="F41" s="9" t="s">
        <v>10673</v>
      </c>
      <c r="G41" s="22" t="str">
        <f ca="1">IF(search_CHARGE_DETAIL_hinananzen_fee&lt;&gt;0,"避難安全検証法 \"&amp;TEXT(search_CHARGE_DETAIL_hinananzen_fee,"#,##0_ ")&amp;"-","")</f>
        <v/>
      </c>
      <c r="H41" s="164" t="str">
        <f ca="1">IF(search_CHARGE_DETAIL_hinananzen_fee&lt;&gt;0,"(避難安全検証法 \"&amp;TEXT(search_CHARGE_DETAIL_hinananzen_fee,"#,##0_ ")&amp;"- 含む)","")</f>
        <v/>
      </c>
      <c r="I41" s="555"/>
    </row>
    <row r="42" spans="1:9" s="10" customFormat="1" ht="18" customHeight="1">
      <c r="A42" s="9"/>
      <c r="C42" s="9"/>
      <c r="D42" s="9"/>
      <c r="E42" s="9"/>
      <c r="F42" s="9"/>
      <c r="G42" s="9"/>
      <c r="H42" s="9"/>
      <c r="I42" s="555"/>
    </row>
    <row r="43" spans="1:9" s="10" customFormat="1" ht="18" customHeight="1">
      <c r="A43" s="9">
        <v>4</v>
      </c>
      <c r="B43" s="10" t="s">
        <v>10149</v>
      </c>
      <c r="C43" s="9"/>
      <c r="D43" s="9"/>
      <c r="E43" s="9"/>
      <c r="F43" s="9" t="s">
        <v>10151</v>
      </c>
      <c r="G43" s="25" t="str">
        <f>IF(ISERROR(MATCH("耐火・防火区画性能検証法",erea_CHARGE_DETAIL,0)),"",MATCH("耐火・防火区画性能検証法",erea_CHARGE_DETAIL,0))</f>
        <v/>
      </c>
      <c r="H43" s="9"/>
      <c r="I43" s="555"/>
    </row>
    <row r="44" spans="1:9" s="10" customFormat="1" ht="18" customHeight="1">
      <c r="A44" s="9"/>
      <c r="B44" s="10" t="s">
        <v>9945</v>
      </c>
      <c r="C44" s="9"/>
      <c r="D44" s="9"/>
      <c r="E44" s="9"/>
      <c r="F44" s="9" t="s">
        <v>10152</v>
      </c>
      <c r="G44" s="136">
        <f ca="1">IF(ISERROR(OFFSET(base_point_CHARGE_DETAIL,search_CHARGE_DETAIL_taikabouka,1)),0,OFFSET(base_point_CHARGE_DETAIL,search_CHARGE_DETAIL_taikabouka,1))</f>
        <v>0</v>
      </c>
      <c r="I44" s="555"/>
    </row>
    <row r="45" spans="1:9" s="10" customFormat="1" ht="18" customHeight="1">
      <c r="A45" s="9"/>
      <c r="C45" s="9"/>
      <c r="D45" s="9"/>
      <c r="E45" s="9"/>
      <c r="F45" s="9" t="s">
        <v>10674</v>
      </c>
      <c r="G45" s="22" t="str">
        <f ca="1">IF(search_CHARGE_DETAIL_taikabouka_fee&lt;&gt;0,"耐火・防火区画性能検証法 \"&amp;TEXT(search_CHARGE_DETAIL_taikabouka_fee,"#,##0_ ")&amp;"-","")</f>
        <v/>
      </c>
      <c r="I45" s="555"/>
    </row>
    <row r="46" spans="1:9" s="10" customFormat="1" ht="18" customHeight="1">
      <c r="A46" s="9"/>
      <c r="C46" s="9"/>
      <c r="D46" s="9"/>
      <c r="E46" s="9"/>
      <c r="F46" s="9"/>
      <c r="G46" s="9"/>
      <c r="H46" s="9"/>
      <c r="I46" s="555"/>
    </row>
    <row r="47" spans="1:9" s="10" customFormat="1" ht="18" customHeight="1">
      <c r="A47" s="9">
        <v>5</v>
      </c>
      <c r="B47" s="10" t="s">
        <v>10150</v>
      </c>
      <c r="C47" s="9"/>
      <c r="D47" s="9"/>
      <c r="E47" s="9"/>
      <c r="F47" s="9" t="s">
        <v>10153</v>
      </c>
      <c r="G47" s="25" t="str">
        <f>IF(ISERROR(MATCH("限界耐力計算法エネルギー法",erea_CHARGE_DETAIL,0)),"",MATCH("限界耐力計算法エネルギー法",erea_CHARGE_DETAIL,0))</f>
        <v/>
      </c>
      <c r="H47" s="9"/>
      <c r="I47" s="555"/>
    </row>
    <row r="48" spans="1:9" s="10" customFormat="1" ht="18" customHeight="1">
      <c r="A48" s="9"/>
      <c r="B48" s="10" t="s">
        <v>9945</v>
      </c>
      <c r="C48" s="9"/>
      <c r="D48" s="9"/>
      <c r="E48" s="9"/>
      <c r="F48" s="9" t="s">
        <v>10154</v>
      </c>
      <c r="G48" s="136">
        <f ca="1">IF(ISERROR(OFFSET(base_point_CHARGE_DETAIL,search_CHARGE_DETAIL_genkaitairyoku,1)),0,OFFSET(base_point_CHARGE_DETAIL,search_CHARGE_DETAIL_genkaitairyoku,1))</f>
        <v>0</v>
      </c>
      <c r="I48" s="555"/>
    </row>
    <row r="49" spans="1:9" s="10" customFormat="1" ht="18" customHeight="1">
      <c r="A49" s="9"/>
      <c r="C49" s="9"/>
      <c r="D49" s="9"/>
      <c r="E49" s="9"/>
      <c r="F49" s="9" t="s">
        <v>10675</v>
      </c>
      <c r="G49" s="22" t="str">
        <f ca="1">IF(search_CHARGE_DETAIL_genkaitairyoku_fee&lt;&gt;0,"限界耐力計算法エネルギー法 \"&amp;TEXT(search_CHARGE_DETAIL_genkaitairyoku_fee,"#,##0_ ")&amp;"-","")</f>
        <v/>
      </c>
      <c r="I49" s="555"/>
    </row>
    <row r="50" spans="1:9" s="10" customFormat="1" ht="18" customHeight="1">
      <c r="A50" s="9"/>
      <c r="C50" s="9"/>
      <c r="D50" s="9"/>
      <c r="E50" s="9"/>
      <c r="F50" s="9"/>
      <c r="G50" s="9"/>
      <c r="H50" s="9"/>
      <c r="I50" s="555"/>
    </row>
    <row r="51" spans="1:9" s="10" customFormat="1" ht="18" customHeight="1">
      <c r="A51" s="9">
        <v>6</v>
      </c>
      <c r="B51" s="10" t="s">
        <v>54</v>
      </c>
      <c r="C51" s="9"/>
      <c r="D51" s="9"/>
      <c r="E51" s="9"/>
      <c r="F51" s="9" t="s">
        <v>55</v>
      </c>
      <c r="G51" s="25" t="str">
        <f>IF(ISERROR(MATCH("昇降機併願手数料",erea_CHARGE_DETAIL,0)),"",MATCH("昇降機併願手数料",erea_CHARGE_DETAIL,0))</f>
        <v/>
      </c>
      <c r="I51" s="555"/>
    </row>
    <row r="52" spans="1:9" s="10" customFormat="1" ht="18" customHeight="1">
      <c r="A52" s="9"/>
      <c r="B52" s="10" t="s">
        <v>9945</v>
      </c>
      <c r="C52" s="9"/>
      <c r="D52" s="9"/>
      <c r="E52" s="9"/>
      <c r="F52" s="9" t="s">
        <v>56</v>
      </c>
      <c r="G52" s="136">
        <f ca="1">IF(ISERROR(OFFSET(base_point_CHARGE_DETAIL,search_CHARGE_DETAIL_shoukouki_heigan,1)),0,OFFSET(base_point_CHARGE_DETAIL,search_CHARGE_DETAIL_shoukouki_heigan,1))</f>
        <v>0</v>
      </c>
      <c r="H52" s="9"/>
      <c r="I52" s="555"/>
    </row>
    <row r="53" spans="1:9" s="10" customFormat="1" ht="18" customHeight="1">
      <c r="A53" s="9"/>
      <c r="C53" s="9"/>
      <c r="D53" s="9"/>
      <c r="E53" s="9"/>
      <c r="F53" s="9" t="s">
        <v>57</v>
      </c>
      <c r="G53" s="22" t="str">
        <f ca="1">IF(search_CHARGE_DETAIL_shoukouki_heigan_fee&lt;&gt;0,"昇降機 \"&amp;TEXT(search_CHARGE_DETAIL_shoukouki_heigan_fee,"#,##0_ ")&amp;"-","")</f>
        <v/>
      </c>
      <c r="I53" s="555"/>
    </row>
    <row r="54" spans="1:9" s="10" customFormat="1" ht="18" customHeight="1">
      <c r="A54" s="9"/>
      <c r="C54" s="9"/>
      <c r="D54" s="9"/>
      <c r="E54" s="9"/>
      <c r="F54" s="9"/>
      <c r="I54" s="555"/>
    </row>
    <row r="55" spans="1:9" s="10" customFormat="1" ht="18" customHeight="1">
      <c r="A55" s="9"/>
      <c r="C55" s="9"/>
      <c r="D55" s="9"/>
      <c r="E55" s="9"/>
      <c r="F55" s="9"/>
      <c r="G55" s="9"/>
      <c r="H55" s="9"/>
      <c r="I55" s="555"/>
    </row>
    <row r="56" spans="1:9" s="10" customFormat="1" ht="18" customHeight="1">
      <c r="A56" s="9">
        <v>7</v>
      </c>
      <c r="B56" s="10" t="s">
        <v>11587</v>
      </c>
      <c r="C56" s="9"/>
      <c r="D56" s="9"/>
      <c r="E56" s="9"/>
      <c r="F56" s="9" t="s">
        <v>11588</v>
      </c>
      <c r="G56" s="25" t="str">
        <f>IF(ISERROR(MATCH("昇降路構造検討による加算",erea_CHARGE_DETAIL,0)),"",MATCH("昇降路構造検討による加算",erea_CHARGE_DETAIL,0))</f>
        <v/>
      </c>
      <c r="I56" s="555"/>
    </row>
    <row r="57" spans="1:9" s="10" customFormat="1" ht="18" customHeight="1">
      <c r="A57" s="9"/>
      <c r="B57" s="10" t="s">
        <v>9945</v>
      </c>
      <c r="C57" s="9"/>
      <c r="D57" s="9"/>
      <c r="E57" s="9"/>
      <c r="F57" s="9" t="s">
        <v>11589</v>
      </c>
      <c r="G57" s="136">
        <f ca="1">IF(ISERROR(OFFSET(base_point_CHARGE_DETAIL,search_CHARGE_DETAIL_shoukouki_kouzou_kentou,1)),0,OFFSET(base_point_CHARGE_DETAIL,search_CHARGE_DETAIL_shoukouki_kouzou_kentou,1))</f>
        <v>0</v>
      </c>
      <c r="H57" s="9"/>
      <c r="I57" s="555"/>
    </row>
    <row r="58" spans="1:9" s="10" customFormat="1" ht="18" customHeight="1">
      <c r="A58" s="9"/>
      <c r="C58" s="9"/>
      <c r="D58" s="9"/>
      <c r="E58" s="9"/>
      <c r="F58" s="9" t="s">
        <v>11590</v>
      </c>
      <c r="G58" s="22" t="str">
        <f ca="1">IF(search_CHARGE_DETAIL_shoukouki_kouzou_kentou_fee&lt;&gt;0,"昇降路構造検討による加算 \"&amp;TEXT(search_CHARGE_DETAIL_shoukouki_kouzou_kentou_fee,"#,##0_ ")&amp;"-","")</f>
        <v/>
      </c>
      <c r="I58" s="555"/>
    </row>
    <row r="59" spans="1:9" s="10" customFormat="1" ht="18" customHeight="1">
      <c r="A59" s="9"/>
      <c r="C59" s="9"/>
      <c r="D59" s="9"/>
      <c r="E59" s="9"/>
      <c r="F59" s="9"/>
      <c r="I59" s="555"/>
    </row>
    <row r="60" spans="1:9" s="10" customFormat="1" ht="18" customHeight="1">
      <c r="A60" s="9"/>
      <c r="C60" s="9"/>
      <c r="D60" s="9"/>
      <c r="E60" s="9"/>
      <c r="F60" s="9"/>
      <c r="G60" s="9"/>
      <c r="H60" s="9"/>
      <c r="I60" s="555"/>
    </row>
    <row r="61" spans="1:9" s="10" customFormat="1" ht="18" customHeight="1">
      <c r="A61" s="9">
        <v>8</v>
      </c>
      <c r="B61" s="10" t="s">
        <v>11715</v>
      </c>
      <c r="C61" s="9"/>
      <c r="D61" s="9"/>
      <c r="E61" s="9"/>
      <c r="F61" s="9" t="s">
        <v>11716</v>
      </c>
      <c r="G61" s="25" t="str">
        <f>IF(ISERROR(VLOOKUP("*割引",erea_CHARGE_DETAIL_vlookup,3,0)),"",VLOOKUP("*割引",erea_CHARGE_DETAIL_vlookup,3,0))</f>
        <v/>
      </c>
      <c r="H61" s="9"/>
      <c r="I61" s="555"/>
    </row>
    <row r="62" spans="1:9" s="10" customFormat="1" ht="18" customHeight="1">
      <c r="A62" s="9"/>
      <c r="B62" s="10" t="s">
        <v>9945</v>
      </c>
      <c r="C62" s="9"/>
      <c r="D62" s="9"/>
      <c r="E62" s="9"/>
      <c r="F62" s="9" t="s">
        <v>11717</v>
      </c>
      <c r="G62" s="136">
        <f ca="1">IF(ISERROR(OFFSET(base_point_CHARGE_DETAIL,search_CHARGE_DETAIL_waribiki,1)),0,OFFSET(base_point_CHARGE_DETAIL,search_CHARGE_DETAIL_waribiki,1))</f>
        <v>0</v>
      </c>
      <c r="H62" s="9"/>
      <c r="I62" s="555"/>
    </row>
    <row r="63" spans="1:9" s="10" customFormat="1" ht="18" customHeight="1">
      <c r="A63" s="9"/>
      <c r="B63" s="10" t="s">
        <v>11726</v>
      </c>
      <c r="C63" s="9"/>
      <c r="D63" s="9"/>
      <c r="E63" s="9"/>
      <c r="F63" s="9" t="s">
        <v>11727</v>
      </c>
      <c r="G63" s="136">
        <f ca="1">IF(ISERROR(OFFSET(base_point_CHARGE_DETAIL,search_CHARGE_DETAIL_waribiki,1)),0,OFFSET(base_point_CHARGE_DETAIL,search_CHARGE_DETAIL_waribiki,1)*-1)</f>
        <v>0</v>
      </c>
      <c r="H63" s="9"/>
      <c r="I63" s="555"/>
    </row>
    <row r="64" spans="1:9" s="10" customFormat="1" ht="18" customHeight="1">
      <c r="A64" s="9"/>
      <c r="C64" s="9"/>
      <c r="D64" s="9"/>
      <c r="E64" s="9"/>
      <c r="F64" s="9" t="s">
        <v>11718</v>
      </c>
      <c r="G64" s="22" t="str">
        <f ca="1">IF(ISERROR(VLOOKUP("*割引",erea_CHARGE_DETAIL_vlookup,1,0)),"",VLOOKUP("*割引",erea_CHARGE_DETAIL_vlookup,1,0))&amp;IF(search_CHARGE_DETAIL_waribiki_fee&lt;&gt;0," \"&amp;TEXT(search_CHARGE_DETAIL_waribiki_fee,"#,##0_ ")&amp;"-","")</f>
        <v/>
      </c>
      <c r="I64" s="555"/>
    </row>
    <row r="65" spans="1:9" s="10" customFormat="1" ht="18" customHeight="1">
      <c r="A65" s="9"/>
      <c r="C65" s="9"/>
      <c r="D65" s="9"/>
      <c r="E65" s="9"/>
      <c r="F65" s="9"/>
      <c r="I65" s="555"/>
    </row>
    <row r="66" spans="1:9" s="10" customFormat="1" ht="18" customHeight="1">
      <c r="A66" s="9"/>
      <c r="C66" s="9"/>
      <c r="D66" s="9"/>
      <c r="E66" s="9"/>
      <c r="F66" s="9"/>
      <c r="G66" s="9"/>
      <c r="H66" s="9"/>
      <c r="I66" s="555"/>
    </row>
    <row r="67" spans="1:9" s="10" customFormat="1" ht="18" customHeight="1">
      <c r="A67" s="9"/>
      <c r="B67" s="10" t="s">
        <v>10811</v>
      </c>
      <c r="C67" s="9"/>
      <c r="D67" s="9"/>
      <c r="E67" s="9"/>
      <c r="F67" s="9" t="s">
        <v>10812</v>
      </c>
      <c r="G67" s="25" t="str">
        <f>IF(ISERROR(MATCH("FD申請割引",erea_CHARGE_DETAIL,0)),"",MATCH("FD申請割引",erea_CHARGE_DETAIL,0))</f>
        <v/>
      </c>
      <c r="H67" s="9"/>
      <c r="I67" s="555"/>
    </row>
    <row r="68" spans="1:9" s="10" customFormat="1" ht="18" customHeight="1">
      <c r="A68" s="9"/>
      <c r="B68" s="10" t="s">
        <v>9945</v>
      </c>
      <c r="C68" s="9"/>
      <c r="D68" s="9"/>
      <c r="E68" s="9"/>
      <c r="F68" s="9" t="s">
        <v>10813</v>
      </c>
      <c r="G68" s="136">
        <f ca="1">IF(ISERROR(OFFSET(base_point_CHARGE_DETAIL,search_CHARGE_DETAIL_fd,1)),0,OFFSET(base_point_CHARGE_DETAIL,search_CHARGE_DETAIL_fd,1))</f>
        <v>0</v>
      </c>
      <c r="I68" s="555"/>
    </row>
    <row r="69" spans="1:9" s="10" customFormat="1" ht="18" customHeight="1">
      <c r="A69" s="9"/>
      <c r="C69" s="9"/>
      <c r="D69" s="9"/>
      <c r="E69" s="9"/>
      <c r="F69" s="9" t="s">
        <v>10814</v>
      </c>
      <c r="G69" s="22" t="str">
        <f ca="1">IF(search_CHARGE_DETAIL_fd_fee&lt;&gt;0,"（ＦＤ）","")</f>
        <v/>
      </c>
      <c r="I69" s="555"/>
    </row>
    <row r="70" spans="1:9" s="10" customFormat="1" ht="18" customHeight="1">
      <c r="A70" s="9"/>
      <c r="C70" s="9"/>
      <c r="D70" s="9"/>
      <c r="E70" s="9"/>
      <c r="F70" s="9"/>
      <c r="G70" s="9"/>
      <c r="H70" s="9"/>
      <c r="I70" s="555"/>
    </row>
    <row r="71" spans="1:9" s="10" customFormat="1" ht="18" customHeight="1">
      <c r="A71" s="9"/>
      <c r="B71" s="10" t="s">
        <v>11288</v>
      </c>
      <c r="C71" s="9"/>
      <c r="D71" s="9"/>
      <c r="E71" s="9"/>
      <c r="F71" s="9"/>
      <c r="G71" s="9"/>
      <c r="H71" s="9"/>
      <c r="I71" s="555"/>
    </row>
    <row r="72" spans="1:9" s="10" customFormat="1" ht="18" customHeight="1">
      <c r="A72" s="9"/>
      <c r="C72" s="9"/>
      <c r="D72" s="9"/>
      <c r="E72" s="9"/>
      <c r="F72" s="9" t="s">
        <v>11273</v>
      </c>
      <c r="G72" s="517" t="s">
        <v>11278</v>
      </c>
      <c r="H72" s="538" t="s">
        <v>11443</v>
      </c>
      <c r="I72" s="555"/>
    </row>
    <row r="73" spans="1:9" s="10" customFormat="1" ht="18" customHeight="1">
      <c r="A73" s="9"/>
      <c r="C73" s="9"/>
      <c r="D73" s="9"/>
      <c r="E73" s="9"/>
      <c r="F73" s="9" t="s">
        <v>11274</v>
      </c>
      <c r="G73" s="517" t="s">
        <v>11423</v>
      </c>
      <c r="H73" s="538" t="s">
        <v>11278</v>
      </c>
      <c r="I73" s="555"/>
    </row>
    <row r="74" spans="1:9" s="10" customFormat="1" ht="18" customHeight="1">
      <c r="A74" s="9"/>
      <c r="C74" s="9"/>
      <c r="D74" s="9"/>
      <c r="E74" s="9"/>
      <c r="F74" s="9" t="s">
        <v>11275</v>
      </c>
      <c r="G74" s="517" t="s">
        <v>11279</v>
      </c>
      <c r="H74" s="538" t="s">
        <v>11423</v>
      </c>
      <c r="I74" s="555"/>
    </row>
    <row r="75" spans="1:9" s="10" customFormat="1" ht="18" customHeight="1">
      <c r="A75" s="9"/>
      <c r="C75" s="9"/>
      <c r="D75" s="9"/>
      <c r="E75" s="9"/>
      <c r="F75" s="9" t="s">
        <v>11276</v>
      </c>
      <c r="G75" s="517" t="s">
        <v>11280</v>
      </c>
      <c r="H75" s="538" t="s">
        <v>11279</v>
      </c>
      <c r="I75" s="555"/>
    </row>
    <row r="76" spans="1:9" s="10" customFormat="1" ht="18" customHeight="1">
      <c r="A76" s="9"/>
      <c r="C76" s="9"/>
      <c r="D76" s="9"/>
      <c r="E76" s="9"/>
      <c r="F76" s="9" t="s">
        <v>11277</v>
      </c>
      <c r="G76" s="517" t="s">
        <v>11281</v>
      </c>
      <c r="H76" s="538" t="s">
        <v>11280</v>
      </c>
      <c r="I76" s="555"/>
    </row>
    <row r="77" spans="1:9" s="10" customFormat="1" ht="18" customHeight="1">
      <c r="A77" s="9"/>
      <c r="C77" s="9"/>
      <c r="D77" s="9"/>
      <c r="E77" s="9"/>
      <c r="F77" s="9" t="s">
        <v>11422</v>
      </c>
      <c r="G77" s="517" t="s">
        <v>11282</v>
      </c>
      <c r="H77" s="538" t="s">
        <v>11281</v>
      </c>
      <c r="I77" s="555"/>
    </row>
    <row r="78" spans="1:9" s="10" customFormat="1" ht="18" customHeight="1">
      <c r="A78" s="9"/>
      <c r="C78" s="9"/>
      <c r="D78" s="9"/>
      <c r="E78" s="9"/>
      <c r="F78" s="9" t="s">
        <v>11442</v>
      </c>
      <c r="G78" s="517" t="s">
        <v>11591</v>
      </c>
      <c r="H78" s="538" t="s">
        <v>11282</v>
      </c>
      <c r="I78" s="555"/>
    </row>
    <row r="79" spans="1:9" s="10" customFormat="1" ht="18" customHeight="1">
      <c r="A79" s="9"/>
      <c r="C79" s="9"/>
      <c r="D79" s="9"/>
      <c r="E79" s="9"/>
      <c r="F79" s="9" t="s">
        <v>11621</v>
      </c>
      <c r="G79" s="517" t="s">
        <v>11623</v>
      </c>
      <c r="H79" s="9"/>
      <c r="I79" s="555"/>
    </row>
    <row r="80" spans="1:9" s="10" customFormat="1" ht="18" customHeight="1">
      <c r="A80" s="9"/>
      <c r="C80" s="9"/>
      <c r="D80" s="9"/>
      <c r="E80" s="9"/>
      <c r="F80" s="9"/>
      <c r="G80" s="9"/>
      <c r="H80" s="9"/>
      <c r="I80" s="555"/>
    </row>
    <row r="81" spans="1:9" s="10" customFormat="1" ht="18" customHeight="1">
      <c r="A81" s="9"/>
      <c r="C81" s="9"/>
      <c r="D81" s="9"/>
      <c r="E81" s="9"/>
      <c r="F81" s="9" t="s">
        <v>11283</v>
      </c>
      <c r="G81" s="517" t="str">
        <f ca="1">IF(INDIRECT("search_CHARGE_DETAIL_"&amp;cellname01)&lt;&gt;"",IF(OR(INDIRECT("search_CHARGE_DETAIL_"&amp;cellname02)&lt;&gt;"",INDIRECT("search_CHARGE_DETAIL_"&amp;cellname03)&lt;&gt;"",INDIRECT("search_CHARGE_DETAIL_"&amp;cellname04)&lt;&gt;"",INDIRECT("search_CHARGE_DETAIL_"&amp;cellname05)&lt;&gt;"",INDIRECT("search_CHARGE_DETAIL_"&amp;cellname06)&lt;&gt;"",INDIRECT("search_CHARGE_DETAIL_"&amp;cellname07)&lt;&gt;""),"  ",""),"")</f>
        <v/>
      </c>
      <c r="H81" s="538" t="str">
        <f ca="1">IF(INDIRECT("search_CHARGE_DETAIL_"&amp;cellname01)&lt;&gt;"",IF(OR(INDIRECT("search_CHARGE_DETAIL_"&amp;cellname02)&lt;&gt;"",INDIRECT("search_CHARGE_DETAIL_"&amp;cellname03)&lt;&gt;"",INDIRECT("search_CHARGE_DETAIL_"&amp;cellname04)&lt;&gt;"",INDIRECT("search_CHARGE_DETAIL_"&amp;cellname05)&lt;&gt;"",INDIRECT("search_CHARGE_DETAIL_"&amp;cellname06)&lt;&gt;""),"  ",""),"")</f>
        <v/>
      </c>
      <c r="I81" s="555"/>
    </row>
    <row r="82" spans="1:9" s="10" customFormat="1" ht="18" customHeight="1">
      <c r="A82" s="9"/>
      <c r="C82" s="9"/>
      <c r="D82" s="9"/>
      <c r="E82" s="9"/>
      <c r="F82" s="9" t="s">
        <v>11284</v>
      </c>
      <c r="G82" s="517" t="str">
        <f ca="1">IF(INDIRECT("search_CHARGE_DETAIL_"&amp;cellname02)&lt;&gt;"",IF(OR(INDIRECT("search_CHARGE_DETAIL_"&amp;cellname03)&lt;&gt;"",INDIRECT("search_CHARGE_DETAIL_"&amp;cellname04)&lt;&gt;"",INDIRECT("search_CHARGE_DETAIL_"&amp;cellname05)&lt;&gt;"",INDIRECT("search_CHARGE_DETAIL_"&amp;cellname06)&lt;&gt;"",INDIRECT("search_CHARGE_DETAIL_"&amp;cellname07)&lt;&gt;""),"  ",""),"")</f>
        <v/>
      </c>
      <c r="H82" s="538" t="str">
        <f ca="1">IF(INDIRECT("search_CHARGE_DETAIL_"&amp;cellname02)&lt;&gt;"",IF(OR(INDIRECT("search_CHARGE_DETAIL_"&amp;cellname03)&lt;&gt;"",INDIRECT("search_CHARGE_DETAIL_"&amp;cellname04)&lt;&gt;"",INDIRECT("search_CHARGE_DETAIL_"&amp;cellname05)&lt;&gt;"",INDIRECT("search_CHARGE_DETAIL_"&amp;cellname06)&lt;&gt;""),"  ",""),"")</f>
        <v/>
      </c>
      <c r="I82" s="555"/>
    </row>
    <row r="83" spans="1:9" s="10" customFormat="1" ht="18" customHeight="1">
      <c r="A83" s="9"/>
      <c r="C83" s="9"/>
      <c r="D83" s="9"/>
      <c r="E83" s="9"/>
      <c r="F83" s="9" t="s">
        <v>11285</v>
      </c>
      <c r="G83" s="517" t="str">
        <f ca="1">IF(INDIRECT("search_CHARGE_DETAIL_"&amp;cellname03)&lt;&gt;"",IF(OR(INDIRECT("search_CHARGE_DETAIL_"&amp;cellname04)&lt;&gt;"",INDIRECT("search_CHARGE_DETAIL_"&amp;cellname05)&lt;&gt;"",INDIRECT("search_CHARGE_DETAIL_"&amp;cellname06)&lt;&gt;"",INDIRECT("search_CHARGE_DETAIL_"&amp;cellname07)&lt;&gt;""),"  ",""),"")</f>
        <v/>
      </c>
      <c r="H83" s="538" t="str">
        <f ca="1">IF(INDIRECT("search_CHARGE_DETAIL_"&amp;cellname03)&lt;&gt;"",IF(OR(INDIRECT("search_CHARGE_DETAIL_"&amp;cellname04)&lt;&gt;"",INDIRECT("search_CHARGE_DETAIL_"&amp;cellname05)&lt;&gt;"",INDIRECT("search_CHARGE_DETAIL_"&amp;cellname06)&lt;&gt;""),"  ",""),"")</f>
        <v/>
      </c>
      <c r="I83" s="555"/>
    </row>
    <row r="84" spans="1:9" s="10" customFormat="1" ht="18" customHeight="1">
      <c r="A84" s="9"/>
      <c r="C84" s="9"/>
      <c r="D84" s="9"/>
      <c r="E84" s="9"/>
      <c r="F84" s="9" t="s">
        <v>11286</v>
      </c>
      <c r="G84" s="517" t="str">
        <f ca="1">IF(INDIRECT("search_CHARGE_DETAIL_"&amp;cellname04)&lt;&gt;"",IF(OR(INDIRECT("search_CHARGE_DETAIL_"&amp;cellname05)&lt;&gt;"",INDIRECT("search_CHARGE_DETAIL_"&amp;cellname06)&lt;&gt;"",INDIRECT("search_CHARGE_DETAIL_"&amp;cellname07)&lt;&gt;""),"  ",""),"")</f>
        <v/>
      </c>
      <c r="H84" s="538" t="str">
        <f ca="1">IF(INDIRECT("search_CHARGE_DETAIL_"&amp;cellname04)&lt;&gt;"",IF(OR(INDIRECT("search_CHARGE_DETAIL_"&amp;cellname05)&lt;&gt;"",INDIRECT("search_CHARGE_DETAIL_"&amp;cellname06)&lt;&gt;""),"  ",""),"")</f>
        <v/>
      </c>
      <c r="I84" s="555"/>
    </row>
    <row r="85" spans="1:9" s="10" customFormat="1" ht="18" customHeight="1">
      <c r="A85" s="9"/>
      <c r="C85" s="9"/>
      <c r="D85" s="9"/>
      <c r="E85" s="9"/>
      <c r="F85" s="9" t="s">
        <v>11424</v>
      </c>
      <c r="G85" s="517" t="str">
        <f ca="1">IF(INDIRECT("search_CHARGE_DETAIL_"&amp;cellname05)&lt;&gt;"",IF(OR(INDIRECT("search_CHARGE_DETAIL_"&amp;cellname06)&lt;&gt;"",INDIRECT("search_CHARGE_DETAIL_"&amp;cellname07)&lt;&gt;""),"  ",""),"")</f>
        <v/>
      </c>
      <c r="H85" s="538" t="str">
        <f ca="1">IF(INDIRECT("search_CHARGE_DETAIL_"&amp;cellname05)&lt;&gt;"",IF(OR(INDIRECT("search_CHARGE_DETAIL_"&amp;cellname06)&lt;&gt;""),"  ",""),"")</f>
        <v/>
      </c>
      <c r="I85" s="555"/>
    </row>
    <row r="86" spans="1:9" s="10" customFormat="1" ht="18" customHeight="1">
      <c r="A86" s="9"/>
      <c r="C86" s="9"/>
      <c r="D86" s="9"/>
      <c r="E86" s="9"/>
      <c r="F86" s="9" t="s">
        <v>11444</v>
      </c>
      <c r="G86" s="517" t="str">
        <f ca="1">IF(INDIRECT("search_CHARGE_DETAIL_"&amp;cellname06)&lt;&gt;"",IF(OR(INDIRECT("search_CHARGE_DETAIL_"&amp;cellname07)&lt;&gt;""),"  ",""),"")</f>
        <v/>
      </c>
      <c r="H86" s="538" t="str">
        <f ca="1">IF(INDIRECT("search_CHARGE_DETAIL_"&amp;cellname06)&lt;&gt;"",IF(OR(INDIRECT("search_CHARGE_DETAIL_"&amp;cellname07)&lt;&gt;""),"  ",""),"")</f>
        <v/>
      </c>
      <c r="I86" s="555"/>
    </row>
    <row r="87" spans="1:9" s="10" customFormat="1" ht="18" customHeight="1">
      <c r="A87" s="9"/>
      <c r="C87" s="9"/>
      <c r="D87" s="9"/>
      <c r="E87" s="9"/>
      <c r="F87" s="9" t="s">
        <v>11622</v>
      </c>
      <c r="G87" s="517" t="str">
        <f ca="1">IF(INDIRECT("search_CHARGE_DETAIL_"&amp;cellname06)&lt;&gt;"",IF(OR(INDIRECT("search_CHARGE_DETAIL_"&amp;cellname28)&lt;&gt;"")," ・ ",""),"")</f>
        <v/>
      </c>
      <c r="H87" s="9"/>
      <c r="I87" s="555"/>
    </row>
    <row r="88" spans="1:9" s="10" customFormat="1" ht="18" customHeight="1">
      <c r="A88" s="9"/>
      <c r="C88" s="9"/>
      <c r="D88" s="9"/>
      <c r="E88" s="9"/>
      <c r="F88" s="9"/>
      <c r="G88" s="9"/>
      <c r="H88" s="9"/>
      <c r="I88" s="555"/>
    </row>
    <row r="89" spans="1:9" s="10" customFormat="1" ht="18" customHeight="1">
      <c r="A89" s="9"/>
      <c r="C89" s="9"/>
      <c r="D89" s="9"/>
      <c r="E89" s="9"/>
      <c r="F89" s="9" t="s">
        <v>11287</v>
      </c>
      <c r="G89" s="517" t="str">
        <f ca="1">INDIRECT("disp_CHARGE_DETAIL_"&amp;cellname01&amp;"_fee")&amp;separate01&amp;INDIRECT("disp_CHARGE_DETAIL_"&amp;cellname02&amp;"_fee")&amp;separate02&amp;INDIRECT("disp_CHARGE_DETAIL_"&amp;cellname03&amp;"_fee")&amp;separate03&amp;INDIRECT("disp_CHARGE_DETAIL_"&amp;cellname04&amp;"_fee")&amp;separate04&amp;INDIRECT("disp_CHARGE_DETAIL_"&amp;cellname05&amp;"_fee")&amp;separate05&amp;INDIRECT("disp_CHARGE_DETAIL_"&amp;cellname06&amp;"_fee")&amp;separate06&amp;INDIRECT("disp_CHARGE_DETAIL_"&amp;cellname07&amp;"_fee")</f>
        <v/>
      </c>
      <c r="H89" s="538" t="str">
        <f ca="1">INDIRECT("disp_CHARGE_DETAIL_"&amp;cellname01&amp;"_fee")&amp;separate01&amp;INDIRECT("disp_CHARGE_DETAIL_"&amp;cellname02&amp;"_fee")&amp;separate02&amp;INDIRECT("disp_CHARGE_DETAIL_"&amp;cellname03&amp;"_fee")&amp;separate03&amp;INDIRECT("disp_CHARGE_DETAIL_"&amp;cellname04&amp;"_fee")&amp;separate04&amp;INDIRECT("disp_CHARGE_DETAIL_"&amp;cellname05&amp;"_fee")&amp;separate05&amp;INDIRECT("disp_CHARGE_DETAIL_"&amp;cellname06&amp;"_fee")</f>
        <v/>
      </c>
      <c r="I89" s="555"/>
    </row>
    <row r="90" spans="1:9" s="10" customFormat="1" ht="18" customHeight="1">
      <c r="A90" s="9"/>
      <c r="C90" s="9"/>
      <c r="D90" s="9"/>
      <c r="E90" s="9"/>
      <c r="F90" s="9" t="s">
        <v>10155</v>
      </c>
      <c r="G90" s="22" t="str">
        <f ca="1">disp_CHARGE_DETAIL_ecoteki_fee&amp;IF(search_CHARGE_DETAIL_kakunin_fee="",disp_CHARGE_DETAIL_fd_fee,IF(disp_CHARGE_DETAIL_fd_fee&lt;&gt;"",disp_CHARGE_DETAIL_fd_fee&amp;"("&amp;search_CHARGE_DETAIL_kakunin_fee,"("&amp;search_CHARGE_DETAIL_kakunin_fee)&amp;" 含む)")</f>
        <v/>
      </c>
      <c r="H90" s="22" t="str">
        <f ca="1">IF(search_CHARGE_DETAIL_kakunin_fee="",disp_CHARGE_DETAIL_fd_fee,IF(disp_CHARGE_DETAIL_fd_fee&lt;&gt;"",disp_CHARGE_DETAIL_fd_fee&amp;"("&amp;search_CHARGE_DETAIL_kakunin_fee,"("&amp;search_CHARGE_DETAIL_kakunin_fee)&amp;" 含む)")</f>
        <v/>
      </c>
      <c r="I90" s="555" t="s">
        <v>11616</v>
      </c>
    </row>
    <row r="91" spans="1:9" s="10" customFormat="1" ht="18" customHeight="1">
      <c r="A91" s="9"/>
      <c r="C91" s="9"/>
      <c r="D91" s="9"/>
      <c r="E91" s="9"/>
      <c r="F91" s="9" t="s">
        <v>11620</v>
      </c>
      <c r="G91" s="517" t="str">
        <f ca="1">INDIRECT("disp_CHARGE_DETAIL_"&amp;cellname06&amp;"_fee")&amp;separate27&amp;INDIRECT("disp_CHARGE_DETAIL_"&amp;cellname28&amp;"_fee")</f>
        <v/>
      </c>
      <c r="H91" s="538" t="str">
        <f ca="1">INDIRECT("disp_CHARGE_DETAIL_"&amp;cellname01&amp;"_fee")&amp;separate01&amp;INDIRECT("disp_CHARGE_DETAIL_"&amp;cellname02&amp;"_fee")&amp;separate02&amp;INDIRECT("disp_CHARGE_DETAIL_"&amp;cellname03&amp;"_fee")&amp;separate03&amp;INDIRECT("disp_CHARGE_DETAIL_"&amp;cellname04&amp;"_fee")&amp;separate04&amp;INDIRECT("disp_CHARGE_DETAIL_"&amp;cellname05&amp;"_fee")&amp;separate05&amp;INDIRECT("disp_CHARGE_DETAIL_"&amp;cellname06&amp;"_fee")</f>
        <v/>
      </c>
      <c r="I91" s="555"/>
    </row>
    <row r="92" spans="1:9" s="10" customFormat="1" ht="18" customHeight="1">
      <c r="A92" s="9"/>
      <c r="C92" s="9"/>
      <c r="D92" s="9"/>
      <c r="E92" s="9"/>
      <c r="F92" s="9" t="s">
        <v>11628</v>
      </c>
      <c r="G92" s="22" t="str">
        <f ca="1">IF(search_CHARGE_DETAIL_kanryou_fee="","","("&amp;search_CHARGE_DETAIL_kanryou_fee&amp;" 含む)")</f>
        <v/>
      </c>
      <c r="I92" s="555" t="s">
        <v>11617</v>
      </c>
    </row>
    <row r="93" spans="1:9" s="146" customFormat="1" ht="18" customHeight="1">
      <c r="I93" s="555" t="s">
        <v>11618</v>
      </c>
    </row>
    <row r="94" spans="1:9" s="146" customFormat="1" ht="18" customHeight="1">
      <c r="I94" s="555"/>
    </row>
    <row r="95" spans="1:9" s="146" customFormat="1" ht="18" customHeight="1">
      <c r="I95" s="555"/>
    </row>
    <row r="96" spans="1:9" s="146" customFormat="1" ht="18" customHeight="1">
      <c r="I96" s="555"/>
    </row>
    <row r="97" spans="9:9" s="146" customFormat="1" ht="18" customHeight="1">
      <c r="I97" s="555"/>
    </row>
    <row r="98" spans="9:9" s="146" customFormat="1" ht="18" customHeight="1">
      <c r="I98" s="555"/>
    </row>
    <row r="99" spans="9:9" s="146" customFormat="1" ht="18" customHeight="1">
      <c r="I99" s="555"/>
    </row>
    <row r="100" spans="9:9" s="146" customFormat="1" ht="18" customHeight="1">
      <c r="I100" s="555"/>
    </row>
    <row r="101" spans="9:9" s="146" customFormat="1" ht="18" customHeight="1">
      <c r="I101" s="555"/>
    </row>
    <row r="102" spans="9:9" s="146" customFormat="1" ht="18" customHeight="1"/>
    <row r="103" spans="9:9" s="146" customFormat="1" ht="18" customHeight="1"/>
    <row r="104" spans="9:9" s="146" customFormat="1" ht="18" customHeight="1"/>
    <row r="105" spans="9:9" s="146" customFormat="1" ht="18" customHeight="1"/>
    <row r="106" spans="9:9" s="146" customFormat="1" ht="18" customHeight="1"/>
    <row r="107" spans="9:9" s="146" customFormat="1" ht="18" customHeight="1"/>
    <row r="108" spans="9:9" s="146" customFormat="1" ht="18" customHeight="1"/>
    <row r="109" spans="9:9" s="146" customFormat="1" ht="18" customHeight="1"/>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4341</vt:i4>
      </vt:variant>
    </vt:vector>
  </HeadingPairs>
  <TitlesOfParts>
    <vt:vector size="4361" baseType="lpstr">
      <vt:lpstr>dSTART</vt:lpstr>
      <vt:lpstr>dDATA_item_list</vt:lpstr>
      <vt:lpstr>dCalculate</vt:lpstr>
      <vt:lpstr>dTEST</vt:lpstr>
      <vt:lpstr>DATA</vt:lpstr>
      <vt:lpstr>dDATA_select</vt:lpstr>
      <vt:lpstr>dDATA_cst</vt:lpstr>
      <vt:lpstr>DATA_fee_detail</vt:lpstr>
      <vt:lpstr>dFEE</vt:lpstr>
      <vt:lpstr>dCHECK_SHEET_calc</vt:lpstr>
      <vt:lpstr>dCHECK_SHEET</vt:lpstr>
      <vt:lpstr>DATA_StructuralCalc</vt:lpstr>
      <vt:lpstr>dIMPOSSIBLE</vt:lpstr>
      <vt:lpstr>dFIRESTATION_info</vt:lpstr>
      <vt:lpstr>dSTR_OFFICE_info</vt:lpstr>
      <vt:lpstr>dOFFICE_name</vt:lpstr>
      <vt:lpstr>SHEET_NAME_LIST</vt:lpstr>
      <vt:lpstr>dINFOMATION</vt:lpstr>
      <vt:lpstr>建_請求書_大阪</vt:lpstr>
      <vt:lpstr>NoObject</vt:lpstr>
      <vt:lpstr>_button_kind</vt:lpstr>
      <vt:lpstr>_button_no</vt:lpstr>
      <vt:lpstr>_button2</vt:lpstr>
      <vt:lpstr>_output_finished</vt:lpstr>
      <vt:lpstr>_output_finished__NEXT</vt:lpstr>
      <vt:lpstr>_print_time</vt:lpstr>
      <vt:lpstr>base_point_CHARGE_DETAIL</vt:lpstr>
      <vt:lpstr>base_point_ERROR_VALUE</vt:lpstr>
      <vt:lpstr>base_point_INPUT_VALUE</vt:lpstr>
      <vt:lpstr>base_point_KIND</vt:lpstr>
      <vt:lpstr>buildobject__shinsei_build_kouji</vt:lpstr>
      <vt:lpstr>cellname01</vt:lpstr>
      <vt:lpstr>cellname02</vt:lpstr>
      <vt:lpstr>cellname03</vt:lpstr>
      <vt:lpstr>cellname04</vt:lpstr>
      <vt:lpstr>cellname05</vt:lpstr>
      <vt:lpstr>cellname06</vt:lpstr>
      <vt:lpstr>cellname07</vt:lpstr>
      <vt:lpstr>cellname28</vt:lpstr>
      <vt:lpstr>charge_BASE_DATE</vt:lpstr>
      <vt:lpstr>charge_BASIC_CHARGE</vt:lpstr>
      <vt:lpstr>charge_bill__date</vt:lpstr>
      <vt:lpstr>charge_bill__no</vt:lpstr>
      <vt:lpstr>charge_BILL_TYPE</vt:lpstr>
      <vt:lpstr>charge_CASH_FLAG</vt:lpstr>
      <vt:lpstr>charge_cust__address</vt:lpstr>
      <vt:lpstr>charge_cust__caption</vt:lpstr>
      <vt:lpstr>charge_cust__tel</vt:lpstr>
      <vt:lpstr>charge_cust__zip</vt:lpstr>
      <vt:lpstr>charge_DENPYOU_NO</vt:lpstr>
      <vt:lpstr>charge_DENPYOU_PRICE</vt:lpstr>
      <vt:lpstr>charge_DETAIL_BIKO</vt:lpstr>
      <vt:lpstr>charge_ENABLED</vt:lpstr>
      <vt:lpstr>charge_income01_INCOME_DATE</vt:lpstr>
      <vt:lpstr>charge_income01_INCOME_MONEY</vt:lpstr>
      <vt:lpstr>charge_income02_INCOME_DATE</vt:lpstr>
      <vt:lpstr>charge_income02_INCOME_MONEY</vt:lpstr>
      <vt:lpstr>charge_income03_INCOME_DATE</vt:lpstr>
      <vt:lpstr>charge_income03_INCOME_MONEY</vt:lpstr>
      <vt:lpstr>charge_meisai01_ITEM_NAME</vt:lpstr>
      <vt:lpstr>charge_meisai01_SURYOU</vt:lpstr>
      <vt:lpstr>charge_meisai01_SYOUKEI</vt:lpstr>
      <vt:lpstr>charge_meisai01_TANKA</vt:lpstr>
      <vt:lpstr>charge_meisai02_ITEM_NAME</vt:lpstr>
      <vt:lpstr>charge_meisai02_SURYOU</vt:lpstr>
      <vt:lpstr>charge_meisai02_SYOUKEI</vt:lpstr>
      <vt:lpstr>charge_meisai02_TANKA</vt:lpstr>
      <vt:lpstr>charge_meisai03_ITEM_NAME</vt:lpstr>
      <vt:lpstr>charge_meisai03_SURYOU</vt:lpstr>
      <vt:lpstr>charge_meisai03_SYOUKEI</vt:lpstr>
      <vt:lpstr>charge_meisai03_TANKA</vt:lpstr>
      <vt:lpstr>charge_meisai04_ITEM_NAME</vt:lpstr>
      <vt:lpstr>charge_meisai04_SURYOU</vt:lpstr>
      <vt:lpstr>charge_meisai04_SYOUKEI</vt:lpstr>
      <vt:lpstr>charge_meisai04_TANKA</vt:lpstr>
      <vt:lpstr>charge_meisai05_ITEM_NAME</vt:lpstr>
      <vt:lpstr>charge_meisai05_SURYOU</vt:lpstr>
      <vt:lpstr>charge_meisai05_SYOUKEI</vt:lpstr>
      <vt:lpstr>charge_meisai05_TANKA</vt:lpstr>
      <vt:lpstr>charge_meisai06_ITEM_NAME</vt:lpstr>
      <vt:lpstr>charge_meisai06_SURYOU</vt:lpstr>
      <vt:lpstr>charge_meisai06_SYOUKEI</vt:lpstr>
      <vt:lpstr>charge_meisai06_TANKA</vt:lpstr>
      <vt:lpstr>charge_meisai07_ITEM_NAME</vt:lpstr>
      <vt:lpstr>charge_meisai07_SURYOU</vt:lpstr>
      <vt:lpstr>charge_meisai07_SYOUKEI</vt:lpstr>
      <vt:lpstr>charge_meisai07_TANKA</vt:lpstr>
      <vt:lpstr>charge_meisai08_ITEM_NAME</vt:lpstr>
      <vt:lpstr>charge_meisai08_SURYOU</vt:lpstr>
      <vt:lpstr>charge_meisai08_SYOUKEI</vt:lpstr>
      <vt:lpstr>charge_meisai08_TANKA</vt:lpstr>
      <vt:lpstr>charge_meisai09_ITEM_NAME</vt:lpstr>
      <vt:lpstr>charge_meisai09_SURYOU</vt:lpstr>
      <vt:lpstr>charge_meisai09_SYOUKEI</vt:lpstr>
      <vt:lpstr>charge_meisai09_TANKA</vt:lpstr>
      <vt:lpstr>charge_meisai10_ITEM_NAME</vt:lpstr>
      <vt:lpstr>charge_meisai10_SURYOU</vt:lpstr>
      <vt:lpstr>charge_meisai10_SYOUKEI</vt:lpstr>
      <vt:lpstr>charge_meisai10_TANKA</vt:lpstr>
      <vt:lpstr>charge_meisai11_ITEM_NAME</vt:lpstr>
      <vt:lpstr>charge_meisai11_SURYOU</vt:lpstr>
      <vt:lpstr>charge_meisai11_SYOUKEI</vt:lpstr>
      <vt:lpstr>charge_meisai11_TANKA</vt:lpstr>
      <vt:lpstr>charge_NOTE</vt:lpstr>
      <vt:lpstr>charge_RECEIPT_AREA</vt:lpstr>
      <vt:lpstr>charge_RECEIPT_DATE</vt:lpstr>
      <vt:lpstr>charge_RECEIPT_PRICE</vt:lpstr>
      <vt:lpstr>charge_RECEIPT_TO</vt:lpstr>
      <vt:lpstr>charge_STR_CHARGE</vt:lpstr>
      <vt:lpstr>charge_STR_CHARGE_WARIMASHI</vt:lpstr>
      <vt:lpstr>charge_STR_SIHARAI_DATE</vt:lpstr>
      <vt:lpstr>charge_strtower01_CHARGE</vt:lpstr>
      <vt:lpstr>charge_strtower01_CHARGE_TOTAL</vt:lpstr>
      <vt:lpstr>charge_strtower01_CHARGE_WARIMASHI</vt:lpstr>
      <vt:lpstr>charge_strtower02_CHARGE</vt:lpstr>
      <vt:lpstr>charge_strtower02_CHARGE_TOTAL</vt:lpstr>
      <vt:lpstr>charge_strtower02_CHARGE_WARIMASHI</vt:lpstr>
      <vt:lpstr>charge_strtower03_CHARGE</vt:lpstr>
      <vt:lpstr>charge_strtower03_CHARGE_TOTAL</vt:lpstr>
      <vt:lpstr>charge_strtower03_CHARGE_WARIMASHI</vt:lpstr>
      <vt:lpstr>charge_strtower04_CHARGE</vt:lpstr>
      <vt:lpstr>charge_strtower04_CHARGE_TOTAL</vt:lpstr>
      <vt:lpstr>charge_strtower04_CHARGE_WARIMASHI</vt:lpstr>
      <vt:lpstr>charge_strtower05_CHARGE</vt:lpstr>
      <vt:lpstr>charge_strtower05_CHARGE_TOTAL</vt:lpstr>
      <vt:lpstr>charge_strtower05_CHARGE_WARIMASHI</vt:lpstr>
      <vt:lpstr>charge_strtower06_CHARGE</vt:lpstr>
      <vt:lpstr>charge_strtower06_CHARGE_TOTAL</vt:lpstr>
      <vt:lpstr>charge_strtower06_CHARGE_WARIMASHI</vt:lpstr>
      <vt:lpstr>charge_strtower07_CHARGE</vt:lpstr>
      <vt:lpstr>charge_strtower07_CHARGE_TOTAL</vt:lpstr>
      <vt:lpstr>charge_strtower07_CHARGE_WARIMASHI</vt:lpstr>
      <vt:lpstr>charge_strtower08_CHARGE</vt:lpstr>
      <vt:lpstr>charge_strtower08_CHARGE_TOTAL</vt:lpstr>
      <vt:lpstr>charge_strtower08_CHARGE_WARIMASHI</vt:lpstr>
      <vt:lpstr>charge_strtower09_CHARGE</vt:lpstr>
      <vt:lpstr>charge_strtower09_CHARGE_TOTAL</vt:lpstr>
      <vt:lpstr>charge_strtower09_CHARGE_WARIMASHI</vt:lpstr>
      <vt:lpstr>charge_strtower10_CHARGE</vt:lpstr>
      <vt:lpstr>charge_strtower10_CHARGE_TOTAL</vt:lpstr>
      <vt:lpstr>charge_strtower10_CHARGE_WARIMASHI</vt:lpstr>
      <vt:lpstr>charge_strtower11_CHARGE</vt:lpstr>
      <vt:lpstr>charge_strtower11_CHARGE_TOTAL</vt:lpstr>
      <vt:lpstr>charge_strtower11_CHARGE_WARIMASHI</vt:lpstr>
      <vt:lpstr>charge_strtower12_CHARGE</vt:lpstr>
      <vt:lpstr>charge_strtower12_CHARGE_TOTAL</vt:lpstr>
      <vt:lpstr>charge_strtower12_CHARGE_WARIMASHI</vt:lpstr>
      <vt:lpstr>charge_strtower13_CHARGE</vt:lpstr>
      <vt:lpstr>charge_strtower13_CHARGE_TOTAL</vt:lpstr>
      <vt:lpstr>charge_strtower13_CHARGE_WARIMASHI</vt:lpstr>
      <vt:lpstr>charge_strtower14_CHARGE</vt:lpstr>
      <vt:lpstr>charge_strtower14_CHARGE_TOTAL</vt:lpstr>
      <vt:lpstr>charge_strtower14_CHARGE_WARIMASHI</vt:lpstr>
      <vt:lpstr>charge_strtower15_CHARGE</vt:lpstr>
      <vt:lpstr>charge_strtower15_CHARGE_TOTAL</vt:lpstr>
      <vt:lpstr>charge_strtower15_CHARGE_WARIMASHI</vt:lpstr>
      <vt:lpstr>charge_strtower16_CHARGE</vt:lpstr>
      <vt:lpstr>charge_strtower16_CHARGE_TOTAL</vt:lpstr>
      <vt:lpstr>charge_strtower16_CHARGE_WARIMASHI</vt:lpstr>
      <vt:lpstr>charge_strtower17_CHARGE</vt:lpstr>
      <vt:lpstr>charge_strtower17_CHARGE_TOTAL</vt:lpstr>
      <vt:lpstr>charge_strtower17_CHARGE_WARIMASHI</vt:lpstr>
      <vt:lpstr>charge_strtower18_CHARGE</vt:lpstr>
      <vt:lpstr>charge_strtower18_CHARGE_TOTAL</vt:lpstr>
      <vt:lpstr>charge_strtower18_CHARGE_WARIMASHI</vt:lpstr>
      <vt:lpstr>charge_strtower19_CHARGE</vt:lpstr>
      <vt:lpstr>charge_strtower19_CHARGE_TOTAL</vt:lpstr>
      <vt:lpstr>charge_strtower19_CHARGE_WARIMASHI</vt:lpstr>
      <vt:lpstr>charge_strtower20_CHARGE</vt:lpstr>
      <vt:lpstr>charge_strtower20_CHARGE_TOTAL</vt:lpstr>
      <vt:lpstr>charge_strtower20_CHARGE_WARIMASHI</vt:lpstr>
      <vt:lpstr>charge_strtower21_CHARGE</vt:lpstr>
      <vt:lpstr>charge_strtower21_CHARGE_TOTAL</vt:lpstr>
      <vt:lpstr>charge_strtower21_CHARGE_WARIMASHI</vt:lpstr>
      <vt:lpstr>charge_strtower22_CHARGE</vt:lpstr>
      <vt:lpstr>charge_strtower22_CHARGE_TOTAL</vt:lpstr>
      <vt:lpstr>charge_strtower22_CHARGE_WARIMASHI</vt:lpstr>
      <vt:lpstr>charge_strtower23_CHARGE</vt:lpstr>
      <vt:lpstr>charge_strtower23_CHARGE_TOTAL</vt:lpstr>
      <vt:lpstr>charge_strtower23_CHARGE_WARIMASHI</vt:lpstr>
      <vt:lpstr>charge_strtower24_CHARGE</vt:lpstr>
      <vt:lpstr>charge_strtower24_CHARGE_TOTAL</vt:lpstr>
      <vt:lpstr>charge_strtower24_CHARGE_WARIMASHI</vt:lpstr>
      <vt:lpstr>charge_strtower25_CHARGE</vt:lpstr>
      <vt:lpstr>charge_strtower25_CHARGE_TOTAL</vt:lpstr>
      <vt:lpstr>charge_strtower25_CHARGE_WARIMASHI</vt:lpstr>
      <vt:lpstr>charge_strtower26_CHARGE</vt:lpstr>
      <vt:lpstr>charge_strtower26_CHARGE_TOTAL</vt:lpstr>
      <vt:lpstr>charge_strtower26_CHARGE_WARIMASHI</vt:lpstr>
      <vt:lpstr>charge_strtower27_CHARGE</vt:lpstr>
      <vt:lpstr>charge_strtower27_CHARGE_TOTAL</vt:lpstr>
      <vt:lpstr>charge_strtower27_CHARGE_WARIMASHI</vt:lpstr>
      <vt:lpstr>charge_strtower28_CHARGE</vt:lpstr>
      <vt:lpstr>charge_strtower28_CHARGE_TOTAL</vt:lpstr>
      <vt:lpstr>charge_strtower28_CHARGE_WARIMASHI</vt:lpstr>
      <vt:lpstr>charge_strtower29_CHARGE</vt:lpstr>
      <vt:lpstr>charge_strtower29_CHARGE_TOTAL</vt:lpstr>
      <vt:lpstr>charge_strtower29_CHARGE_WARIMASHI</vt:lpstr>
      <vt:lpstr>charge_strtower30_CHARGE</vt:lpstr>
      <vt:lpstr>charge_strtower30_CHARGE_TOTAL</vt:lpstr>
      <vt:lpstr>charge_strtower30_CHARGE_WARIMASHI</vt:lpstr>
      <vt:lpstr>charge_TIIKIWARIMASHI_CHARGE</vt:lpstr>
      <vt:lpstr>charge_ZERO_FLAG</vt:lpstr>
      <vt:lpstr>check_KIND__movement</vt:lpstr>
      <vt:lpstr>chek_KOUJI_youto_iten_moyou</vt:lpstr>
      <vt:lpstr>chek_shinsei_INSPECTION_TYPE_alter</vt:lpstr>
      <vt:lpstr>chng_DAY_MonthDay_disp</vt:lpstr>
      <vt:lpstr>chng_DAY_MonthDay_disp_tokyo</vt:lpstr>
      <vt:lpstr>chng_HIKIUKE_SOUFU_TANTOU_title</vt:lpstr>
      <vt:lpstr>chng_OWNER_COUNT_VALUE__issue</vt:lpstr>
      <vt:lpstr>chng_OWNER_COUNT_VALUE__report</vt:lpstr>
      <vt:lpstr>chng_OWNER_renmei_one__issue</vt:lpstr>
      <vt:lpstr>chng_OWNER_renmei_one__report</vt:lpstr>
      <vt:lpstr>chng_OWNER_renmei_one_space__issue</vt:lpstr>
      <vt:lpstr>city_city</vt:lpstr>
      <vt:lpstr>city_CITY_KIND</vt:lpstr>
      <vt:lpstr>city_CITY_PUBLIC_OFFICE_ID__DEPART_NAME</vt:lpstr>
      <vt:lpstr>city_CITY_PUBLIC_OFFICE_ID__FAX</vt:lpstr>
      <vt:lpstr>city_CITY_PUBLIC_OFFICE_ID__GYOUSEI_NAME</vt:lpstr>
      <vt:lpstr>city_CITY_PUBLIC_OFFICE_ID__NAME</vt:lpstr>
      <vt:lpstr>city_CITY_PUBLIC_OFFICE_ID__SYUJI_NAME</vt:lpstr>
      <vt:lpstr>city_FIRE_STATION_ID__DEPART_NAME</vt:lpstr>
      <vt:lpstr>city_FIRE_STATION_ID__DEST_NAME</vt:lpstr>
      <vt:lpstr>city_FIRE_STATION_ID__NAME</vt:lpstr>
      <vt:lpstr>city_HEALTH_CENTER_ID__DEST_NAME</vt:lpstr>
      <vt:lpstr>city_HEALTH_CENTER_ID__NAME</vt:lpstr>
      <vt:lpstr>city_HEALTH_CENTER_ID__PURIFIER_TANK_DEST_NAME</vt:lpstr>
      <vt:lpstr>city_ken</vt:lpstr>
      <vt:lpstr>city_KEN_PUBLIC_OFFICE_ID__DEPART_NAME</vt:lpstr>
      <vt:lpstr>city_KEN_PUBLIC_OFFICE_ID__FAX</vt:lpstr>
      <vt:lpstr>city_KEN_PUBLIC_OFFICE_ID__GYOUSEI_NAME</vt:lpstr>
      <vt:lpstr>city_KEN_PUBLIC_OFFICE_ID__NAME</vt:lpstr>
      <vt:lpstr>city_KEN_PUBLIC_OFFICE_ID__SYUJI_NAME</vt:lpstr>
      <vt:lpstr>city_KEN1_PUBLIC_OFFICE_ID__DEPART_NAME</vt:lpstr>
      <vt:lpstr>city_KEN1_PUBLIC_OFFICE_ID__FAX</vt:lpstr>
      <vt:lpstr>city_KEN1_PUBLIC_OFFICE_ID__GYOUSEI_NAME</vt:lpstr>
      <vt:lpstr>city_KEN1_PUBLIC_OFFICE_ID__NAME</vt:lpstr>
      <vt:lpstr>city_KEN1_PUBLIC_OFFICE_ID__SYUJI_NAME</vt:lpstr>
      <vt:lpstr>city_KEN2_PUBLIC_OFFICE_ID__DEPART_NAME</vt:lpstr>
      <vt:lpstr>city_KEN2_PUBLIC_OFFICE_ID__FAX</vt:lpstr>
      <vt:lpstr>city_KEN2_PUBLIC_OFFICE_ID__GYOUSEI_NAME</vt:lpstr>
      <vt:lpstr>city_KEN2_PUBLIC_OFFICE_ID__NAME</vt:lpstr>
      <vt:lpstr>city_KEN2_PUBLIC_OFFICE_ID__SYUJI_NAME</vt:lpstr>
      <vt:lpstr>city_street</vt:lpstr>
      <vt:lpstr>city_town</vt:lpstr>
      <vt:lpstr>cng_NOTIFY_DATE_Keteidekinai_jouban</vt:lpstr>
      <vt:lpstr>cng_NOTIFY_DATE_Keteidekinai_mongon</vt:lpstr>
      <vt:lpstr>cng_NOTIFY_DATE_Tekigousinai_jouban</vt:lpstr>
      <vt:lpstr>cng_NOTIFY_DATE_Tekigousinai_mongon</vt:lpstr>
      <vt:lpstr>config_ACCOUNT_NO</vt:lpstr>
      <vt:lpstr>config_ACCOUNT_TYPE</vt:lpstr>
      <vt:lpstr>config_BANK_BRANCH_NAME</vt:lpstr>
      <vt:lpstr>config_BANK_NAME</vt:lpstr>
      <vt:lpstr>config_CUSTOM_CODE</vt:lpstr>
      <vt:lpstr>config_CUSTOM_TYPE</vt:lpstr>
      <vt:lpstr>config_PRESENTER_ADDRESS</vt:lpstr>
      <vt:lpstr>config_PRESENTER_ADDRESS2</vt:lpstr>
      <vt:lpstr>config_PRESENTER_CORP</vt:lpstr>
      <vt:lpstr>config_PRESENTER_CORPTYPE</vt:lpstr>
      <vt:lpstr>config_PRESENTER_DAIHYOSYA</vt:lpstr>
      <vt:lpstr>config_PRESENTER_TEL</vt:lpstr>
      <vt:lpstr>cst__button_kind</vt:lpstr>
      <vt:lpstr>cst__button_kind__select</vt:lpstr>
      <vt:lpstr>cst__button_no</vt:lpstr>
      <vt:lpstr>cst_applicant_address_all</vt:lpstr>
      <vt:lpstr>cst_applicant_all__char</vt:lpstr>
      <vt:lpstr>cst_applicant_all__char_row_sama</vt:lpstr>
      <vt:lpstr>cst_applicant_all__char_sama</vt:lpstr>
      <vt:lpstr>cst_applicant_all__space</vt:lpstr>
      <vt:lpstr>cst_applicant_all__space_sama</vt:lpstr>
      <vt:lpstr>cst_applicant1__char</vt:lpstr>
      <vt:lpstr>cst_applicant1__char_sama</vt:lpstr>
      <vt:lpstr>cst_applicant1__check</vt:lpstr>
      <vt:lpstr>cst_applicant1__space</vt:lpstr>
      <vt:lpstr>cst_applicant1__space_sama</vt:lpstr>
      <vt:lpstr>cst_applicant1_address</vt:lpstr>
      <vt:lpstr>cst_applicant2__char</vt:lpstr>
      <vt:lpstr>cst_applicant2__char__add_char</vt:lpstr>
      <vt:lpstr>cst_applicant2__char_sama</vt:lpstr>
      <vt:lpstr>cst_applicant2__char_sama__add_char</vt:lpstr>
      <vt:lpstr>cst_applicant2__char_sama__add_char_row</vt:lpstr>
      <vt:lpstr>cst_applicant2__check</vt:lpstr>
      <vt:lpstr>cst_applicant2__space</vt:lpstr>
      <vt:lpstr>cst_applicant2__space__add_char</vt:lpstr>
      <vt:lpstr>cst_applicant2__space_sama</vt:lpstr>
      <vt:lpstr>cst_applicant2__space_sama__add_char</vt:lpstr>
      <vt:lpstr>cst_applicant2_address__add_char</vt:lpstr>
      <vt:lpstr>cst_applicant3__char</vt:lpstr>
      <vt:lpstr>cst_applicant3__char__add_char</vt:lpstr>
      <vt:lpstr>cst_applicant3__char_sama</vt:lpstr>
      <vt:lpstr>cst_applicant3__char_sama__add_char</vt:lpstr>
      <vt:lpstr>cst_applicant3__char_sama__add_char_row</vt:lpstr>
      <vt:lpstr>cst_applicant3__check</vt:lpstr>
      <vt:lpstr>cst_applicant3__space</vt:lpstr>
      <vt:lpstr>cst_applicant3__space__add_char</vt:lpstr>
      <vt:lpstr>cst_applicant3__space_sama</vt:lpstr>
      <vt:lpstr>cst_applicant3__space_sama__add_char</vt:lpstr>
      <vt:lpstr>cst_applicant3_address__add_char</vt:lpstr>
      <vt:lpstr>cst_applicant4__char</vt:lpstr>
      <vt:lpstr>cst_applicant4__char__add_char</vt:lpstr>
      <vt:lpstr>cst_applicant4__char_sama</vt:lpstr>
      <vt:lpstr>cst_applicant4__char_sama__add_char</vt:lpstr>
      <vt:lpstr>cst_applicant4__char_sama__add_char_row</vt:lpstr>
      <vt:lpstr>cst_applicant4__check</vt:lpstr>
      <vt:lpstr>cst_applicant4__space</vt:lpstr>
      <vt:lpstr>cst_applicant4__space__add_char</vt:lpstr>
      <vt:lpstr>cst_applicant4__space_sama</vt:lpstr>
      <vt:lpstr>cst_applicant4__space_sama__add_char</vt:lpstr>
      <vt:lpstr>cst_applicant4_address__add_char</vt:lpstr>
      <vt:lpstr>cst_applicant5__char</vt:lpstr>
      <vt:lpstr>cst_applicant5__char__add_char</vt:lpstr>
      <vt:lpstr>cst_applicant5__char_sama</vt:lpstr>
      <vt:lpstr>cst_applicant5__char_sama__add_char</vt:lpstr>
      <vt:lpstr>cst_applicant5__char_sama__add_char_row</vt:lpstr>
      <vt:lpstr>cst_applicant5__check</vt:lpstr>
      <vt:lpstr>cst_applicant5__space</vt:lpstr>
      <vt:lpstr>cst_applicant5__space__add_char</vt:lpstr>
      <vt:lpstr>cst_applicant5__space_sama</vt:lpstr>
      <vt:lpstr>cst_applicant5__space_sama__add_char</vt:lpstr>
      <vt:lpstr>cst_applicant5_address__add_char</vt:lpstr>
      <vt:lpstr>cst_applicant6__char</vt:lpstr>
      <vt:lpstr>cst_applicant6__char__add_char</vt:lpstr>
      <vt:lpstr>cst_applicant6__char_sama</vt:lpstr>
      <vt:lpstr>cst_applicant6__char_sama__add_char</vt:lpstr>
      <vt:lpstr>cst_applicant6__char_sama__add_char_row</vt:lpstr>
      <vt:lpstr>cst_applicant6__check</vt:lpstr>
      <vt:lpstr>cst_applicant6__space</vt:lpstr>
      <vt:lpstr>cst_applicant6__space__add_char</vt:lpstr>
      <vt:lpstr>cst_applicant6__space_sama</vt:lpstr>
      <vt:lpstr>cst_applicant6__space_sama__add_char</vt:lpstr>
      <vt:lpstr>cst_applicant6_address__add_char</vt:lpstr>
      <vt:lpstr>cst_applicant7__char</vt:lpstr>
      <vt:lpstr>cst_applicant7__char__add_char</vt:lpstr>
      <vt:lpstr>cst_applicant7__char_sama</vt:lpstr>
      <vt:lpstr>cst_applicant7__char_sama__add_char</vt:lpstr>
      <vt:lpstr>cst_applicant7__char_sama__add_char_row</vt:lpstr>
      <vt:lpstr>cst_applicant7__space</vt:lpstr>
      <vt:lpstr>cst_applicant7__space__add_char</vt:lpstr>
      <vt:lpstr>cst_applicant7__space_sama</vt:lpstr>
      <vt:lpstr>cst_applicant7__space_sama__add_char</vt:lpstr>
      <vt:lpstr>cst_applicant7_address__add_char</vt:lpstr>
      <vt:lpstr>cst_BASIC_CHARGE__alter</vt:lpstr>
      <vt:lpstr>cst_BASIC_CHARGE__kakunin</vt:lpstr>
      <vt:lpstr>cst_BASIC_CHARGE__youto_iten_moyou</vt:lpstr>
      <vt:lpstr>cst_buildobject__shinsei_build_kouji</vt:lpstr>
      <vt:lpstr>cst_CHARGE__BASIC_MEISAI_GOUKEI</vt:lpstr>
      <vt:lpstr>cst_CHARGE__BASIC_MEISAI_GOUKEI__text</vt:lpstr>
      <vt:lpstr>cst_CHARGE_DETAIL_hinananzen_fee</vt:lpstr>
      <vt:lpstr>cst_CHARGE_DETAIL_waribiki_fee</vt:lpstr>
      <vt:lpstr>cst_CHARGE_DETAIL_waribiki_fee_plus</vt:lpstr>
      <vt:lpstr>cst_CHARGE_ID2_STR_CHARGE</vt:lpstr>
      <vt:lpstr>cst_charge_income_INCOME_DATE</vt:lpstr>
      <vt:lpstr>cst_charge_income_INCOME_MONEY</vt:lpstr>
      <vt:lpstr>cst_charge_income01_INCOME_DATE</vt:lpstr>
      <vt:lpstr>cst_charge_income01_INCOME_MONEY</vt:lpstr>
      <vt:lpstr>cst_charge_income02_INCOME_DATE</vt:lpstr>
      <vt:lpstr>cst_charge_income02_INCOME_MONEY</vt:lpstr>
      <vt:lpstr>cst_charge_income03_INCOME_DATE</vt:lpstr>
      <vt:lpstr>cst_charge_income03_INCOME_MONEY</vt:lpstr>
      <vt:lpstr>cst_CHARGE_MEISAI_GOUKEI</vt:lpstr>
      <vt:lpstr>cst_charge_meisai01_SYOUKEI</vt:lpstr>
      <vt:lpstr>cst_charge_meisai02_SYOUKEI</vt:lpstr>
      <vt:lpstr>cst_charge_meisai03_SYOUKEI</vt:lpstr>
      <vt:lpstr>cst_charge_meisai04_SYOUKEI</vt:lpstr>
      <vt:lpstr>cst_charge_meisai05_SYOUKEI</vt:lpstr>
      <vt:lpstr>cst_charge_meisai06_SYOUKEI</vt:lpstr>
      <vt:lpstr>cst_charge_meisai07_SYOUKEI</vt:lpstr>
      <vt:lpstr>cst_charge_meisai08_SYOUKEI</vt:lpstr>
      <vt:lpstr>cst_charge_meisai09_SYOUKEI</vt:lpstr>
      <vt:lpstr>cst_charge_meisai10_SYOUKEI</vt:lpstr>
      <vt:lpstr>cst_charge_meisai11_SYOUKEI</vt:lpstr>
      <vt:lpstr>cst_charge_RECEIPT_DATE</vt:lpstr>
      <vt:lpstr>cst_charge_RECEIPT_PRICE</vt:lpstr>
      <vt:lpstr>cst_charge_STR_CHARGE</vt:lpstr>
      <vt:lpstr>cst_charge_STR_CHARGE_WARIMASHI</vt:lpstr>
      <vt:lpstr>cst_charge_strtower01_CHARGE</vt:lpstr>
      <vt:lpstr>cst_charge_strtower01_CHARGE__ctrl</vt:lpstr>
      <vt:lpstr>cst_charge_strtower01_CHARGE_TOTAL</vt:lpstr>
      <vt:lpstr>cst_charge_strtower01_CHARGE_WARIMASHI</vt:lpstr>
      <vt:lpstr>cst_charge_strtower02_CHARGE</vt:lpstr>
      <vt:lpstr>cst_charge_strtower02_CHARGE__ctrl</vt:lpstr>
      <vt:lpstr>cst_charge_strtower02_CHARGE_TOTAL</vt:lpstr>
      <vt:lpstr>cst_charge_strtower02_CHARGE_WARIMASHI</vt:lpstr>
      <vt:lpstr>cst_charge_strtower03_CHARGE</vt:lpstr>
      <vt:lpstr>cst_charge_strtower03_CHARGE__ctrl</vt:lpstr>
      <vt:lpstr>cst_charge_strtower03_CHARGE_TOTAL</vt:lpstr>
      <vt:lpstr>cst_charge_strtower03_CHARGE_WARIMASHI</vt:lpstr>
      <vt:lpstr>cst_charge_strtower04_CHARGE</vt:lpstr>
      <vt:lpstr>cst_charge_strtower04_CHARGE__ctrl</vt:lpstr>
      <vt:lpstr>cst_charge_strtower04_CHARGE_TOTAL</vt:lpstr>
      <vt:lpstr>cst_charge_strtower04_CHARGE_WARIMASHI</vt:lpstr>
      <vt:lpstr>cst_charge_strtower05_CHARGE</vt:lpstr>
      <vt:lpstr>cst_charge_strtower05_CHARGE__ctrl</vt:lpstr>
      <vt:lpstr>cst_charge_strtower05_CHARGE_TOTAL</vt:lpstr>
      <vt:lpstr>cst_charge_strtower05_CHARGE_WARIMASHI</vt:lpstr>
      <vt:lpstr>cst_charge_strtower06_CHARGE</vt:lpstr>
      <vt:lpstr>cst_charge_strtower06_CHARGE__ctrl</vt:lpstr>
      <vt:lpstr>cst_charge_strtower06_CHARGE_TOTAL</vt:lpstr>
      <vt:lpstr>cst_charge_strtower06_CHARGE_WARIMASHI</vt:lpstr>
      <vt:lpstr>cst_charge_strtower07_CHARGE</vt:lpstr>
      <vt:lpstr>cst_charge_strtower07_CHARGE__ctrl</vt:lpstr>
      <vt:lpstr>cst_charge_strtower07_CHARGE_TOTAL</vt:lpstr>
      <vt:lpstr>cst_charge_strtower07_CHARGE_WARIMASHI</vt:lpstr>
      <vt:lpstr>cst_charge_strtower08_CHARGE</vt:lpstr>
      <vt:lpstr>cst_charge_strtower08_CHARGE__ctrl</vt:lpstr>
      <vt:lpstr>cst_charge_strtower08_CHARGE_TOTAL</vt:lpstr>
      <vt:lpstr>cst_charge_strtower08_CHARGE_WARIMASHI</vt:lpstr>
      <vt:lpstr>cst_charge_strtower09_CHARGE</vt:lpstr>
      <vt:lpstr>cst_charge_strtower09_CHARGE__ctrl</vt:lpstr>
      <vt:lpstr>cst_charge_strtower09_CHARGE_TOTAL</vt:lpstr>
      <vt:lpstr>cst_charge_strtower09_CHARGE_WARIMASHI</vt:lpstr>
      <vt:lpstr>cst_charge_strtower10_CHARGE</vt:lpstr>
      <vt:lpstr>cst_charge_strtower10_CHARGE__ctrl</vt:lpstr>
      <vt:lpstr>cst_charge_strtower10_CHARGE_TOTAL</vt:lpstr>
      <vt:lpstr>cst_charge_strtower10_CHARGE_WARIMASHI</vt:lpstr>
      <vt:lpstr>cst_charge_strtower11_CHARGE</vt:lpstr>
      <vt:lpstr>cst_charge_strtower11_CHARGE__ctrl</vt:lpstr>
      <vt:lpstr>cst_charge_strtower11_CHARGE_TOTAL</vt:lpstr>
      <vt:lpstr>cst_charge_strtower11_CHARGE_WARIMASHI</vt:lpstr>
      <vt:lpstr>cst_charge_strtower12_CHARGE</vt:lpstr>
      <vt:lpstr>cst_charge_strtower12_CHARGE__ctrl</vt:lpstr>
      <vt:lpstr>cst_charge_strtower12_CHARGE_TOTAL</vt:lpstr>
      <vt:lpstr>cst_charge_strtower12_CHARGE_WARIMASHI</vt:lpstr>
      <vt:lpstr>cst_charge_strtower13_CHARGE</vt:lpstr>
      <vt:lpstr>cst_charge_strtower13_CHARGE__ctrl</vt:lpstr>
      <vt:lpstr>cst_charge_strtower13_CHARGE_TOTAL</vt:lpstr>
      <vt:lpstr>cst_charge_strtower13_CHARGE_WARIMASHI</vt:lpstr>
      <vt:lpstr>cst_charge_strtower14_CHARGE</vt:lpstr>
      <vt:lpstr>cst_charge_strtower14_CHARGE__ctrl</vt:lpstr>
      <vt:lpstr>cst_charge_strtower14_CHARGE_TOTAL</vt:lpstr>
      <vt:lpstr>cst_charge_strtower14_CHARGE_WARIMASHI</vt:lpstr>
      <vt:lpstr>cst_charge_strtower15_CHARGE</vt:lpstr>
      <vt:lpstr>cst_charge_strtower15_CHARGE__ctrl</vt:lpstr>
      <vt:lpstr>cst_charge_strtower15_CHARGE_TOTAL</vt:lpstr>
      <vt:lpstr>cst_charge_strtower15_CHARGE_WARIMASHI</vt:lpstr>
      <vt:lpstr>cst_charge_strtower16_CHARGE</vt:lpstr>
      <vt:lpstr>cst_charge_strtower16_CHARGE__ctrl</vt:lpstr>
      <vt:lpstr>cst_charge_strtower16_CHARGE_TOTAL</vt:lpstr>
      <vt:lpstr>cst_charge_strtower16_CHARGE_WARIMASHI</vt:lpstr>
      <vt:lpstr>cst_charge_strtower17_CHARGE</vt:lpstr>
      <vt:lpstr>cst_charge_strtower17_CHARGE__ctrl</vt:lpstr>
      <vt:lpstr>cst_charge_strtower17_CHARGE_TOTAL</vt:lpstr>
      <vt:lpstr>cst_charge_strtower17_CHARGE_WARIMASHI</vt:lpstr>
      <vt:lpstr>cst_charge_strtower18_CHARGE</vt:lpstr>
      <vt:lpstr>cst_charge_strtower18_CHARGE__ctrl</vt:lpstr>
      <vt:lpstr>cst_charge_strtower18_CHARGE_TOTAL</vt:lpstr>
      <vt:lpstr>cst_charge_strtower18_CHARGE_WARIMASHI</vt:lpstr>
      <vt:lpstr>cst_charge_strtower19_CHARGE</vt:lpstr>
      <vt:lpstr>cst_charge_strtower19_CHARGE__ctrl</vt:lpstr>
      <vt:lpstr>cst_charge_strtower19_CHARGE_TOTAL</vt:lpstr>
      <vt:lpstr>cst_charge_strtower19_CHARGE_WARIMASHI</vt:lpstr>
      <vt:lpstr>cst_charge_strtower20_CHARGE</vt:lpstr>
      <vt:lpstr>cst_charge_strtower20_CHARGE__ctrl</vt:lpstr>
      <vt:lpstr>cst_charge_strtower20_CHARGE_TOTAL</vt:lpstr>
      <vt:lpstr>cst_charge_strtower20_CHARGE_WARIMASHI</vt:lpstr>
      <vt:lpstr>cst_charge_strtower21_CHARGE</vt:lpstr>
      <vt:lpstr>cst_charge_strtower21_CHARGE__ctrl</vt:lpstr>
      <vt:lpstr>cst_charge_strtower21_CHARGE_TOTAL</vt:lpstr>
      <vt:lpstr>cst_charge_strtower21_CHARGE_WARIMASHI</vt:lpstr>
      <vt:lpstr>cst_charge_strtower22_CHARGE</vt:lpstr>
      <vt:lpstr>cst_charge_strtower22_CHARGE__ctrl</vt:lpstr>
      <vt:lpstr>cst_charge_strtower22_CHARGE_TOTAL</vt:lpstr>
      <vt:lpstr>cst_charge_strtower22_CHARGE_WARIMASHI</vt:lpstr>
      <vt:lpstr>cst_charge_strtower23_CHARGE</vt:lpstr>
      <vt:lpstr>cst_charge_strtower23_CHARGE__ctrl</vt:lpstr>
      <vt:lpstr>cst_charge_strtower23_CHARGE_TOTAL</vt:lpstr>
      <vt:lpstr>cst_charge_strtower23_CHARGE_WARIMASHI</vt:lpstr>
      <vt:lpstr>cst_charge_strtower24_CHARGE</vt:lpstr>
      <vt:lpstr>cst_charge_strtower24_CHARGE__ctrl</vt:lpstr>
      <vt:lpstr>cst_charge_strtower24_CHARGE_TOTAL</vt:lpstr>
      <vt:lpstr>cst_charge_strtower24_CHARGE_WARIMASHI</vt:lpstr>
      <vt:lpstr>cst_charge_strtower25_CHARGE</vt:lpstr>
      <vt:lpstr>cst_charge_strtower25_CHARGE__ctrl</vt:lpstr>
      <vt:lpstr>cst_charge_strtower25_CHARGE_TOTAL</vt:lpstr>
      <vt:lpstr>cst_charge_strtower25_CHARGE_WARIMASHI</vt:lpstr>
      <vt:lpstr>cst_charge_strtower26_CHARGE</vt:lpstr>
      <vt:lpstr>cst_charge_strtower26_CHARGE__ctrl</vt:lpstr>
      <vt:lpstr>cst_charge_strtower26_CHARGE_TOTAL</vt:lpstr>
      <vt:lpstr>cst_charge_strtower26_CHARGE_WARIMASHI</vt:lpstr>
      <vt:lpstr>cst_charge_strtower27_CHARGE</vt:lpstr>
      <vt:lpstr>cst_charge_strtower27_CHARGE__ctrl</vt:lpstr>
      <vt:lpstr>cst_charge_strtower27_CHARGE_TOTAL</vt:lpstr>
      <vt:lpstr>cst_charge_strtower27_CHARGE_WARIMASHI</vt:lpstr>
      <vt:lpstr>cst_charge_strtower28_CHARGE</vt:lpstr>
      <vt:lpstr>cst_charge_strtower28_CHARGE__ctrl</vt:lpstr>
      <vt:lpstr>cst_charge_strtower28_CHARGE_TOTAL</vt:lpstr>
      <vt:lpstr>cst_charge_strtower28_CHARGE_WARIMASHI</vt:lpstr>
      <vt:lpstr>cst_charge_strtower29_CHARGE</vt:lpstr>
      <vt:lpstr>cst_charge_strtower29_CHARGE__ctrl</vt:lpstr>
      <vt:lpstr>cst_charge_strtower29_CHARGE_TOTAL</vt:lpstr>
      <vt:lpstr>cst_charge_strtower29_CHARGE_WARIMASHI</vt:lpstr>
      <vt:lpstr>cst_charge_strtower30_CHARGE</vt:lpstr>
      <vt:lpstr>cst_charge_strtower30_CHARGE__ctrl</vt:lpstr>
      <vt:lpstr>cst_charge_strtower30_CHARGE_TOTAL</vt:lpstr>
      <vt:lpstr>cst_charge_strtower30_CHARGE_WARIMASHI</vt:lpstr>
      <vt:lpstr>cst_charge_TIIKIWARIMASHI_CHARGE</vt:lpstr>
      <vt:lpstr>cst_charge_ZOUGEN_nomi_CHARGE__total</vt:lpstr>
      <vt:lpstr>cst_CHECK_SHEET_ERROR_VALUE</vt:lpstr>
      <vt:lpstr>cst_CHECK_SHEET_INPUT_VALUE</vt:lpstr>
      <vt:lpstr>cst_city_city</vt:lpstr>
      <vt:lpstr>cst_city_CITY_KIND</vt:lpstr>
      <vt:lpstr>cst_city_CITY_PUBLIC_OFFICE_ID__DEPART_NAME</vt:lpstr>
      <vt:lpstr>cst_city_CITY_PUBLIC_OFFICE_ID__FAX</vt:lpstr>
      <vt:lpstr>cst_city_CITY_PUBLIC_OFFICE_ID__GYOUSEI_NAME</vt:lpstr>
      <vt:lpstr>cst_city_CITY_PUBLIC_OFFICE_ID__NAME</vt:lpstr>
      <vt:lpstr>cst_city_CITY_PUBLIC_OFFICE_ID__SYUJI_NAME</vt:lpstr>
      <vt:lpstr>cst_city_city2</vt:lpstr>
      <vt:lpstr>cst_city_city3</vt:lpstr>
      <vt:lpstr>cst_city_FIRE_STATION_ID__DEPART_NAME</vt:lpstr>
      <vt:lpstr>cst_city_FIRE_STATION_ID__DEST_NAME</vt:lpstr>
      <vt:lpstr>cst_city_FIRE_STATION_ID__DEST_NAME__disp</vt:lpstr>
      <vt:lpstr>cst_city_FIRE_STATION_ID__DEST_NAME_Decision</vt:lpstr>
      <vt:lpstr>cst_city_FIRE_STATION_ID__DEST_NAME_Decision__add_code</vt:lpstr>
      <vt:lpstr>cst_city_FIRE_STATION_ID__DEST_NAME_ev__disp</vt:lpstr>
      <vt:lpstr>cst_city_FIRE_STATION_ID__NAME</vt:lpstr>
      <vt:lpstr>cst_city_FIRE_STATION_ID__NAME_Decision</vt:lpstr>
      <vt:lpstr>cst_city_HEALTH_CENTER_ID__DEST_NAME</vt:lpstr>
      <vt:lpstr>cst_city_ken</vt:lpstr>
      <vt:lpstr>cst_city_KEN_PUBLIC_OFFICE_ID__DEPART_NAME</vt:lpstr>
      <vt:lpstr>cst_city_KEN_PUBLIC_OFFICE_ID__FAX</vt:lpstr>
      <vt:lpstr>cst_city_KEN_PUBLIC_OFFICE_ID__GYOUSEI_NAME</vt:lpstr>
      <vt:lpstr>cst_city_KEN_PUBLIC_OFFICE_ID__NAME</vt:lpstr>
      <vt:lpstr>cst_city_KEN_PUBLIC_OFFICE_ID__SYUJI_NAME</vt:lpstr>
      <vt:lpstr>cst_city_KEN1_PUBLIC_OFFICE_ID__DEPART_NAME</vt:lpstr>
      <vt:lpstr>cst_city_KEN1_PUBLIC_OFFICE_ID__FAX</vt:lpstr>
      <vt:lpstr>cst_city_KEN1_PUBLIC_OFFICE_ID__GYOUSEI_NAME</vt:lpstr>
      <vt:lpstr>cst_city_KEN1_PUBLIC_OFFICE_ID__NAME</vt:lpstr>
      <vt:lpstr>cst_city_KEN1_PUBLIC_OFFICE_ID__SYUJI_NAME</vt:lpstr>
      <vt:lpstr>cst_city_KEN2_PUBLIC_OFFICE_ID__DEPART_NAME</vt:lpstr>
      <vt:lpstr>cst_city_KEN2_PUBLIC_OFFICE_ID__FAX</vt:lpstr>
      <vt:lpstr>cst_city_KEN2_PUBLIC_OFFICE_ID__GYOUSEI_NAME</vt:lpstr>
      <vt:lpstr>cst_city_KEN2_PUBLIC_OFFICE_ID__NAME</vt:lpstr>
      <vt:lpstr>cst_city_KEN2_PUBLIC_OFFICE_ID__SYUJI_NAME</vt:lpstr>
      <vt:lpstr>cst_city_street</vt:lpstr>
      <vt:lpstr>cst_city_town</vt:lpstr>
      <vt:lpstr>cst_CityInfo</vt:lpstr>
      <vt:lpstr>cst_config_CUSTOM_CODE</vt:lpstr>
      <vt:lpstr>cst_config_PRESENTER_ADDRESS</vt:lpstr>
      <vt:lpstr>cst_cyokuzen_shinsei_FIRE_SUBMIT_DATE__d</vt:lpstr>
      <vt:lpstr>cst_cyokuzen_shinsei_FIRE_SUBMIT_DATE__ge</vt:lpstr>
      <vt:lpstr>cst_cyokuzen_shinsei_FIRE_SUBMIT_DATE__m</vt:lpstr>
      <vt:lpstr>cst_DATA_COUNT</vt:lpstr>
      <vt:lpstr>cst_DATE__dsp</vt:lpstr>
      <vt:lpstr>cst_DATE_base_point</vt:lpstr>
      <vt:lpstr>cst_DISP__date</vt:lpstr>
      <vt:lpstr>cst_DISP__date_190430</vt:lpstr>
      <vt:lpstr>cst_DISP__date_ee</vt:lpstr>
      <vt:lpstr>cst_DISP__sign</vt:lpstr>
      <vt:lpstr>cst_FIRE__base_point</vt:lpstr>
      <vt:lpstr>cst_FIRE__city_erea</vt:lpstr>
      <vt:lpstr>cst_FIRE_CityInfo_Num</vt:lpstr>
      <vt:lpstr>cst_FIRE_CombList_Point</vt:lpstr>
      <vt:lpstr>cst_FIRE_CombList_value</vt:lpstr>
      <vt:lpstr>cst_FIRE_ConditionJudge</vt:lpstr>
      <vt:lpstr>cst_FIRE_IrregularJudge</vt:lpstr>
      <vt:lpstr>cst_FIRE_JoukenMovement</vt:lpstr>
      <vt:lpstr>cst_FIRE_ListKanMovement</vt:lpstr>
      <vt:lpstr>cst_FIRE_SystemCheck</vt:lpstr>
      <vt:lpstr>cst_firstconf_shinsei_strtower01_JUDGE</vt:lpstr>
      <vt:lpstr>cst_flat35_ACCEPT_NO</vt:lpstr>
      <vt:lpstr>cst_flat35_DI_ACCEPT_DATE</vt:lpstr>
      <vt:lpstr>cst_flat35_DI_ACCEPT_DATE_dsp</vt:lpstr>
      <vt:lpstr>cst_flat35_DI_ISSUE_DATE</vt:lpstr>
      <vt:lpstr>cst_flat35_DI_ISSUE_DATE_dsp</vt:lpstr>
      <vt:lpstr>cst_HEALTH_CENTER_NAME_disp</vt:lpstr>
      <vt:lpstr>cst_HIKIUKE_SOUFU__yakan</vt:lpstr>
      <vt:lpstr>cst_HIKIUKE_TUUCHISAKI__disp</vt:lpstr>
      <vt:lpstr>cst_HOUKOKUSAKI__disp</vt:lpstr>
      <vt:lpstr>cst_Imposs_Notify_Sentence</vt:lpstr>
      <vt:lpstr>cst_JUDGE_OFFICE__erea__SEARCH_VALUE</vt:lpstr>
      <vt:lpstr>cst_JUDGE_OFFICE__erea__SIGN</vt:lpstr>
      <vt:lpstr>cst_JUDGE_OFFICE_A</vt:lpstr>
      <vt:lpstr>cst_JUDGE_OFFICE_AA</vt:lpstr>
      <vt:lpstr>cst_JUDGE_OFFICE_AB</vt:lpstr>
      <vt:lpstr>cst_JUDGE_OFFICE_AC</vt:lpstr>
      <vt:lpstr>cst_JUDGE_OFFICE_AD</vt:lpstr>
      <vt:lpstr>cst_JUDGE_OFFICE_AE</vt:lpstr>
      <vt:lpstr>cst_JUDGE_OFFICE_AF</vt:lpstr>
      <vt:lpstr>cst_JUDGE_OFFICE_AG</vt:lpstr>
      <vt:lpstr>cst_JUDGE_OFFICE_AH</vt:lpstr>
      <vt:lpstr>cst_JUDGE_OFFICE_AI</vt:lpstr>
      <vt:lpstr>cst_JUDGE_OFFICE_AJ</vt:lpstr>
      <vt:lpstr>cst_JUDGE_OFFICE_AK</vt:lpstr>
      <vt:lpstr>cst_JUDGE_OFFICE_AL</vt:lpstr>
      <vt:lpstr>cst_JUDGE_OFFICE_AM</vt:lpstr>
      <vt:lpstr>cst_JUDGE_OFFICE_AN</vt:lpstr>
      <vt:lpstr>cst_JUDGE_OFFICE_AO</vt:lpstr>
      <vt:lpstr>cst_JUDGE_OFFICE_B</vt:lpstr>
      <vt:lpstr>cst_JUDGE_OFFICE_C</vt:lpstr>
      <vt:lpstr>cst_JUDGE_OFFICE_CORP</vt:lpstr>
      <vt:lpstr>cst_JUDGE_OFFICE_CORP_DAIHYOUSHA__enchou</vt:lpstr>
      <vt:lpstr>cst_JUDGE_OFFICE_CORP_DAIHYOUSHA__enchou_add_code</vt:lpstr>
      <vt:lpstr>cst_JUDGE_OFFICE_CORP_DAIHYOUSHA__HOUKOKU</vt:lpstr>
      <vt:lpstr>cst_JUDGE_OFFICE_CORP_DAIHYOUSHA__HOUKOKU__disp</vt:lpstr>
      <vt:lpstr>cst_JUDGE_OFFICE_CORP_DAIHYOUSHA__HOUKOKU__disp_code</vt:lpstr>
      <vt:lpstr>cst_JUDGE_OFFICE_CORP_DAIHYOUSHA__HOUKOKU_code</vt:lpstr>
      <vt:lpstr>cst_JUDGE_OFFICE_CORP_DAIHYOUSHA__irai</vt:lpstr>
      <vt:lpstr>cst_JUDGE_OFFICE_CORP_DAIHYOUSHA__irai_add_code</vt:lpstr>
      <vt:lpstr>cst_JUDGE_OFFICE_CORP_DAIHYOUSHA__jizentuuti</vt:lpstr>
      <vt:lpstr>cst_JUDGE_OFFICE_CORP_DAIHYOUSHA__jizentuuti_add_code</vt:lpstr>
      <vt:lpstr>cst_JUDGE_OFFICE_CORP_DAIHYOUSHA__torisage</vt:lpstr>
      <vt:lpstr>cst_JUDGE_OFFICE_CORP_DAIHYOUSHA__torisage_add_code</vt:lpstr>
      <vt:lpstr>cst_JUDGE_OFFICE_CORP_DAIHYOUSHA__tuikatosho</vt:lpstr>
      <vt:lpstr>cst_JUDGE_OFFICE_CORP_DAIHYOUSHA__tuikatosho_add_code</vt:lpstr>
      <vt:lpstr>cst_JUDGE_OFFICE_CORP_DAIHYOUSHA__tuikatosho_henkou</vt:lpstr>
      <vt:lpstr>cst_JUDGE_OFFICE_CORP_DAIHYOUSHA__tuikatosho_henkou_add_code</vt:lpstr>
      <vt:lpstr>cst_JUDGE_OFFICE_CORP_KOUZOUSEKININSHA__enchou</vt:lpstr>
      <vt:lpstr>cst_JUDGE_OFFICE_CORP_KOUZOUSEKININSHA__enchou_add_code</vt:lpstr>
      <vt:lpstr>cst_JUDGE_OFFICE_CORP_KOUZOUSEKININSHA__irai</vt:lpstr>
      <vt:lpstr>cst_JUDGE_OFFICE_CORP_KOUZOUSEKININSHA__irai_add_code</vt:lpstr>
      <vt:lpstr>cst_JUDGE_OFFICE_CORP_KOUZOUSEKININSHA__jizentuuti</vt:lpstr>
      <vt:lpstr>cst_JUDGE_OFFICE_CORP_KOUZOUSEKININSHA__jizentuuti_add_code</vt:lpstr>
      <vt:lpstr>cst_JUDGE_OFFICE_CORP_KOUZOUSEKININSHA__torisage</vt:lpstr>
      <vt:lpstr>cst_JUDGE_OFFICE_CORP_KOUZOUSEKININSHA__torisage_add_code</vt:lpstr>
      <vt:lpstr>cst_JUDGE_OFFICE_CORP_KOUZOUSEKININSHA__tuikatosho</vt:lpstr>
      <vt:lpstr>cst_JUDGE_OFFICE_CORP_KOUZOUSEKININSHA__tuikatosho_add_code</vt:lpstr>
      <vt:lpstr>cst_JUDGE_OFFICE_CORP_KOUZOUSEKININSHA__tuikatosho_henkou</vt:lpstr>
      <vt:lpstr>cst_JUDGE_OFFICE_CORP_KOUZOUSEKININSHA__tuikatosho_henkou_add_code</vt:lpstr>
      <vt:lpstr>cst_JUDGE_OFFICE_D</vt:lpstr>
      <vt:lpstr>cst_JUDGE_OFFICE_DAIHYOUSHA__enchou</vt:lpstr>
      <vt:lpstr>cst_JUDGE_OFFICE_DAIHYOUSHA__HOUKOKU</vt:lpstr>
      <vt:lpstr>cst_JUDGE_OFFICE_DAIHYOUSHA__HOUKOKU__disp</vt:lpstr>
      <vt:lpstr>cst_JUDGE_OFFICE_DAIHYOUSHA__irai</vt:lpstr>
      <vt:lpstr>cst_JUDGE_OFFICE_DAIHYOUSHA__jizentuuti</vt:lpstr>
      <vt:lpstr>cst_JUDGE_OFFICE_DAIHYOUSHA__torisage</vt:lpstr>
      <vt:lpstr>cst_JUDGE_OFFICE_DAIHYOUSHA__tuikatosho</vt:lpstr>
      <vt:lpstr>cst_JUDGE_OFFICE_DAIHYOUSHA__tuikatosho_henkou</vt:lpstr>
      <vt:lpstr>cst_JUDGE_OFFICE_date_erea__A</vt:lpstr>
      <vt:lpstr>cst_JUDGE_OFFICE_date_erea__AA</vt:lpstr>
      <vt:lpstr>cst_JUDGE_OFFICE_date_erea__AB</vt:lpstr>
      <vt:lpstr>cst_JUDGE_OFFICE_date_erea__AC</vt:lpstr>
      <vt:lpstr>cst_JUDGE_OFFICE_date_erea__AD</vt:lpstr>
      <vt:lpstr>cst_JUDGE_OFFICE_date_erea__AE</vt:lpstr>
      <vt:lpstr>cst_JUDGE_OFFICE_date_erea__AF</vt:lpstr>
      <vt:lpstr>cst_JUDGE_OFFICE_date_erea__AG</vt:lpstr>
      <vt:lpstr>cst_JUDGE_OFFICE_date_erea__AH</vt:lpstr>
      <vt:lpstr>cst_JUDGE_OFFICE_date_erea__AI</vt:lpstr>
      <vt:lpstr>cst_JUDGE_OFFICE_date_erea__AJ</vt:lpstr>
      <vt:lpstr>cst_JUDGE_OFFICE_date_erea__AK</vt:lpstr>
      <vt:lpstr>cst_JUDGE_OFFICE_date_erea__AL</vt:lpstr>
      <vt:lpstr>cst_JUDGE_OFFICE_date_erea__AM</vt:lpstr>
      <vt:lpstr>cst_JUDGE_OFFICE_date_erea__AN</vt:lpstr>
      <vt:lpstr>cst_JUDGE_OFFICE_date_erea__AO</vt:lpstr>
      <vt:lpstr>cst_JUDGE_OFFICE_date_erea__B</vt:lpstr>
      <vt:lpstr>cst_JUDGE_OFFICE_date_erea__C</vt:lpstr>
      <vt:lpstr>cst_JUDGE_OFFICE_date_erea__D</vt:lpstr>
      <vt:lpstr>cst_JUDGE_OFFICE_date_erea__E</vt:lpstr>
      <vt:lpstr>cst_JUDGE_OFFICE_date_erea__F</vt:lpstr>
      <vt:lpstr>cst_JUDGE_OFFICE_date_erea__G</vt:lpstr>
      <vt:lpstr>cst_JUDGE_OFFICE_date_erea__H</vt:lpstr>
      <vt:lpstr>cst_JUDGE_OFFICE_date_erea__I</vt:lpstr>
      <vt:lpstr>cst_JUDGE_OFFICE_date_erea__J</vt:lpstr>
      <vt:lpstr>cst_JUDGE_OFFICE_date_erea__K</vt:lpstr>
      <vt:lpstr>cst_JUDGE_OFFICE_date_erea__L</vt:lpstr>
      <vt:lpstr>cst_JUDGE_OFFICE_date_erea__M</vt:lpstr>
      <vt:lpstr>cst_JUDGE_OFFICE_date_erea__N</vt:lpstr>
      <vt:lpstr>cst_JUDGE_OFFICE_date_erea__O</vt:lpstr>
      <vt:lpstr>cst_JUDGE_OFFICE_date_erea__P</vt:lpstr>
      <vt:lpstr>cst_JUDGE_OFFICE_date_erea__Q</vt:lpstr>
      <vt:lpstr>cst_JUDGE_OFFICE_date_erea__R</vt:lpstr>
      <vt:lpstr>cst_JUDGE_OFFICE_date_erea__S</vt:lpstr>
      <vt:lpstr>cst_JUDGE_OFFICE_date_erea__T</vt:lpstr>
      <vt:lpstr>cst_JUDGE_OFFICE_date_erea__U</vt:lpstr>
      <vt:lpstr>cst_JUDGE_OFFICE_date_erea__V</vt:lpstr>
      <vt:lpstr>cst_JUDGE_OFFICE_date_erea__W</vt:lpstr>
      <vt:lpstr>cst_JUDGE_OFFICE_date_erea__X</vt:lpstr>
      <vt:lpstr>cst_JUDGE_OFFICE_date_erea__Y</vt:lpstr>
      <vt:lpstr>cst_JUDGE_OFFICE_date_erea__Z</vt:lpstr>
      <vt:lpstr>cst_JUDGE_OFFICE_E</vt:lpstr>
      <vt:lpstr>cst_JUDGE_OFFICE_F</vt:lpstr>
      <vt:lpstr>cst_JUDGE_OFFICE_G</vt:lpstr>
      <vt:lpstr>cst_JUDGE_OFFICE_H</vt:lpstr>
      <vt:lpstr>cst_JUDGE_OFFICE_I</vt:lpstr>
      <vt:lpstr>cst_JUDGE_OFFICE_J</vt:lpstr>
      <vt:lpstr>cst_JUDGE_OFFICE_K</vt:lpstr>
      <vt:lpstr>cst_JUDGE_OFFICE_KOUZOUSEKININSHA__enchou</vt:lpstr>
      <vt:lpstr>cst_JUDGE_OFFICE_KOUZOUSEKININSHA__irai</vt:lpstr>
      <vt:lpstr>cst_JUDGE_OFFICE_KOUZOUSEKININSHA__jizentuuti</vt:lpstr>
      <vt:lpstr>cst_JUDGE_OFFICE_KOUZOUSEKININSHA__torisage</vt:lpstr>
      <vt:lpstr>cst_JUDGE_OFFICE_KOUZOUSEKININSHA__tuikatosho</vt:lpstr>
      <vt:lpstr>cst_JUDGE_OFFICE_KOUZOUSEKININSHA__tuikatosho_henkou</vt:lpstr>
      <vt:lpstr>cst_JUDGE_OFFICE_L</vt:lpstr>
      <vt:lpstr>cst_JUDGE_OFFICE_M</vt:lpstr>
      <vt:lpstr>cst_JUDGE_OFFICE_N</vt:lpstr>
      <vt:lpstr>cst_JUDGE_OFFICE_O</vt:lpstr>
      <vt:lpstr>cst_JUDGE_OFFICE_P</vt:lpstr>
      <vt:lpstr>cst_JUDGE_OFFICE_Q</vt:lpstr>
      <vt:lpstr>cst_JUDGE_OFFICE_R</vt:lpstr>
      <vt:lpstr>cst_JUDGE_OFFICE_READ___base_point</vt:lpstr>
      <vt:lpstr>cst_JUDGE_OFFICE_READ___date_erea</vt:lpstr>
      <vt:lpstr>cst_JUDGE_OFFICE_S</vt:lpstr>
      <vt:lpstr>cst_JUDGE_OFFICE_T</vt:lpstr>
      <vt:lpstr>cst_JUDGE_OFFICE_U</vt:lpstr>
      <vt:lpstr>cst_JUDGE_OFFICE_V</vt:lpstr>
      <vt:lpstr>cst_JUDGE_OFFICE_W</vt:lpstr>
      <vt:lpstr>cst_JUDGE_OFFICE_X</vt:lpstr>
      <vt:lpstr>cst_JUDGE_OFFICE_Y</vt:lpstr>
      <vt:lpstr>cst_JUDGE_OFFICE_Z</vt:lpstr>
      <vt:lpstr>cst_kakaru_shinsei_ACCEPT_DATE</vt:lpstr>
      <vt:lpstr>cst_kakaru_shinsei_ACCEPT_DATE__dd</vt:lpstr>
      <vt:lpstr>cst_kakaru_shinsei_ACCEPT_DATE__ee</vt:lpstr>
      <vt:lpstr>cst_kakaru_shinsei_ACCEPT_DATE__mm</vt:lpstr>
      <vt:lpstr>cst_kakaru_shinsei_FIRE_SUBMIT_DATE__d</vt:lpstr>
      <vt:lpstr>cst_kakaru_shinsei_FIRE_SUBMIT_DATE__ge</vt:lpstr>
      <vt:lpstr>cst_kakaru_shinsei_FIRE_SUBMIT_DATE__m</vt:lpstr>
      <vt:lpstr>cst_kakaru_shinsei_HIKIUKE_DATE</vt:lpstr>
      <vt:lpstr>cst_kakaru_shinsei_HIKIUKE_DATE__dd</vt:lpstr>
      <vt:lpstr>cst_kakaru_shinsei_HIKIUKE_DATE__ee</vt:lpstr>
      <vt:lpstr>cst_kakaru_shinsei_HIKIUKE_DATE__mm</vt:lpstr>
      <vt:lpstr>cst_kakaru_shinsei_ISSUE_DATE</vt:lpstr>
      <vt:lpstr>cst_kakaru_shinsei_UKETUKE_NO</vt:lpstr>
      <vt:lpstr>cst_KASAN_fukusuutou__gtr</vt:lpstr>
      <vt:lpstr>cst_KASAN_fukusuutou__leq</vt:lpstr>
      <vt:lpstr>cst_lastinter_shinsei_intermediate_SPECIFIC_KOUTEI</vt:lpstr>
      <vt:lpstr>cst_lastinter_shinsei_ISSUE_DATE</vt:lpstr>
      <vt:lpstr>cst_lastinter_shinsei_ISSUE_DATE__text</vt:lpstr>
      <vt:lpstr>cst_lastinter_shinsei_ISSUE_NO</vt:lpstr>
      <vt:lpstr>cst_lastinter_shinsei_ISSUE_NO__disp</vt:lpstr>
      <vt:lpstr>cst_LIST_BOX_link_cell</vt:lpstr>
      <vt:lpstr>cst_LIST_BOX_list</vt:lpstr>
      <vt:lpstr>cst_Ng_Notify_Common_Sentence</vt:lpstr>
      <vt:lpstr>cst_Ng_Notify_Conf_Sentence</vt:lpstr>
      <vt:lpstr>cst_Ng_Notify_Final_Sentence</vt:lpstr>
      <vt:lpstr>cst_Ng_Notify_Inter_Sentence</vt:lpstr>
      <vt:lpstr>cst_NOBE_MENSEKI_SHINSEI__erea</vt:lpstr>
      <vt:lpstr>cst_NOTIFY_ctrl</vt:lpstr>
      <vt:lpstr>cst_NOTIFY_DATE_Keteidekinai_jouban_1506ge</vt:lpstr>
      <vt:lpstr>cst_NOTIFY_DATE_Keteidekinai_jouban_1506le</vt:lpstr>
      <vt:lpstr>cst_NOTIFY_DATE_Keteidekinai_mongon_1506ge</vt:lpstr>
      <vt:lpstr>cst_NOTIFY_DATE_Keteidekinai_mongon_1506le</vt:lpstr>
      <vt:lpstr>cst_NOTIFY_DATE_Tekigousinai_jouban_1506ge</vt:lpstr>
      <vt:lpstr>cst_NOTIFY_DATE_Tekigousinai_jouban_1506le</vt:lpstr>
      <vt:lpstr>cst_NOTIFY_DATE_Tekigousinai_mongon_1506ge</vt:lpstr>
      <vt:lpstr>cst_NOTIFY_DATE_Tekigousinai_mongon_1506le</vt:lpstr>
      <vt:lpstr>cst_owner_address_all</vt:lpstr>
      <vt:lpstr>cst_owner_all__char</vt:lpstr>
      <vt:lpstr>cst_owner_all__char_row_sama</vt:lpstr>
      <vt:lpstr>cst_owner_all__char_sama</vt:lpstr>
      <vt:lpstr>cst_owner_all__space</vt:lpstr>
      <vt:lpstr>cst_owner_all__space_sama</vt:lpstr>
      <vt:lpstr>cst_owner_all__space_space_sama</vt:lpstr>
      <vt:lpstr>cst_owner_count</vt:lpstr>
      <vt:lpstr>cst_owner_name1__add_sama</vt:lpstr>
      <vt:lpstr>cst_owner_name1__add_sp3code</vt:lpstr>
      <vt:lpstr>cst_owner_name1__add_sp3code_sama</vt:lpstr>
      <vt:lpstr>cst_Owner_Name1_Sama</vt:lpstr>
      <vt:lpstr>cst_owner_name2__add_sama</vt:lpstr>
      <vt:lpstr>cst_owner_name2__add_sp3code</vt:lpstr>
      <vt:lpstr>cst_owner_name2__add_sp3code_sama</vt:lpstr>
      <vt:lpstr>cst_Owner_Name2_Sama</vt:lpstr>
      <vt:lpstr>cst_owner_name3__add_sama</vt:lpstr>
      <vt:lpstr>cst_owner_name3__add_sp3code</vt:lpstr>
      <vt:lpstr>cst_owner_name3__add_sp3code_sama</vt:lpstr>
      <vt:lpstr>cst_Owner_Name3_Sama</vt:lpstr>
      <vt:lpstr>cst_owner_name4__add_sama</vt:lpstr>
      <vt:lpstr>cst_owner_name4__add_sp3code</vt:lpstr>
      <vt:lpstr>cst_owner_name4__add_sp3code_sama</vt:lpstr>
      <vt:lpstr>cst_Owner_Name4_Sama</vt:lpstr>
      <vt:lpstr>cst_owner_name5__add_sama</vt:lpstr>
      <vt:lpstr>cst_owner_name5__add_sp3code</vt:lpstr>
      <vt:lpstr>cst_owner_name5__add_sp3code_sama</vt:lpstr>
      <vt:lpstr>cst_Owner_Name5_Sama</vt:lpstr>
      <vt:lpstr>cst_owner_name6__add_sama</vt:lpstr>
      <vt:lpstr>cst_owner_name6__add_sp3code</vt:lpstr>
      <vt:lpstr>cst_owner_name6__add_sp3code_sama</vt:lpstr>
      <vt:lpstr>cst_Owner_Name6_Sama</vt:lpstr>
      <vt:lpstr>cst_owner1__char</vt:lpstr>
      <vt:lpstr>cst_owner1__char_sama</vt:lpstr>
      <vt:lpstr>cst_owner1__check</vt:lpstr>
      <vt:lpstr>cst_owner1__space</vt:lpstr>
      <vt:lpstr>cst_owner1__space_sama</vt:lpstr>
      <vt:lpstr>cst_owner1_address</vt:lpstr>
      <vt:lpstr>cst_owner2__char</vt:lpstr>
      <vt:lpstr>cst_owner2__char__add_char</vt:lpstr>
      <vt:lpstr>cst_owner2__char_sama</vt:lpstr>
      <vt:lpstr>cst_owner2__char_sama__add_char</vt:lpstr>
      <vt:lpstr>cst_owner2__char_sama__add_char_row</vt:lpstr>
      <vt:lpstr>cst_owner2__check</vt:lpstr>
      <vt:lpstr>cst_owner2__space</vt:lpstr>
      <vt:lpstr>cst_owner2__space__add_char</vt:lpstr>
      <vt:lpstr>cst_owner2__space_sama</vt:lpstr>
      <vt:lpstr>cst_owner2__space_sama__add_char</vt:lpstr>
      <vt:lpstr>cst_owner2_address__add_char</vt:lpstr>
      <vt:lpstr>cst_owner3__char</vt:lpstr>
      <vt:lpstr>cst_owner3__char__add_char</vt:lpstr>
      <vt:lpstr>cst_owner3__char_sama</vt:lpstr>
      <vt:lpstr>cst_owner3__char_sama__add_char</vt:lpstr>
      <vt:lpstr>cst_owner3__char_sama__add_char_row</vt:lpstr>
      <vt:lpstr>cst_owner3__check</vt:lpstr>
      <vt:lpstr>cst_owner3__space</vt:lpstr>
      <vt:lpstr>cst_owner3__space__add_char</vt:lpstr>
      <vt:lpstr>cst_owner3__space_sama</vt:lpstr>
      <vt:lpstr>cst_owner3__space_sama__add_char</vt:lpstr>
      <vt:lpstr>cst_owner3_address__add_char</vt:lpstr>
      <vt:lpstr>cst_owner4__char</vt:lpstr>
      <vt:lpstr>cst_owner4__char__add_char</vt:lpstr>
      <vt:lpstr>cst_owner4__char_sama</vt:lpstr>
      <vt:lpstr>cst_owner4__char_sama__add_char</vt:lpstr>
      <vt:lpstr>cst_owner4__char_sama__add_char_row</vt:lpstr>
      <vt:lpstr>cst_owner4__check</vt:lpstr>
      <vt:lpstr>cst_owner4__space</vt:lpstr>
      <vt:lpstr>cst_owner4__space__add_char</vt:lpstr>
      <vt:lpstr>cst_owner4__space_sama</vt:lpstr>
      <vt:lpstr>cst_owner4__space_sama__add_char</vt:lpstr>
      <vt:lpstr>cst_owner4_address__add_char</vt:lpstr>
      <vt:lpstr>cst_owner5__char</vt:lpstr>
      <vt:lpstr>cst_owner5__char__add_char</vt:lpstr>
      <vt:lpstr>cst_owner5__char_sama</vt:lpstr>
      <vt:lpstr>cst_owner5__char_sama__add_char</vt:lpstr>
      <vt:lpstr>cst_owner5__char_sama__add_char_row</vt:lpstr>
      <vt:lpstr>cst_owner5__check</vt:lpstr>
      <vt:lpstr>cst_owner5__space</vt:lpstr>
      <vt:lpstr>cst_owner5__space__add_char</vt:lpstr>
      <vt:lpstr>cst_owner5__space_sama</vt:lpstr>
      <vt:lpstr>cst_owner5__space_sama__add_char</vt:lpstr>
      <vt:lpstr>cst_owner5_address__add_char</vt:lpstr>
      <vt:lpstr>cst_owner6__char</vt:lpstr>
      <vt:lpstr>cst_owner6__char__add_char</vt:lpstr>
      <vt:lpstr>cst_owner6__char_sama</vt:lpstr>
      <vt:lpstr>cst_owner6__char_sama__add_char</vt:lpstr>
      <vt:lpstr>cst_owner6__char_sama__add_char_row</vt:lpstr>
      <vt:lpstr>cst_owner6__check</vt:lpstr>
      <vt:lpstr>cst_owner6__space</vt:lpstr>
      <vt:lpstr>cst_owner6__space__add_char</vt:lpstr>
      <vt:lpstr>cst_owner6__space_sama</vt:lpstr>
      <vt:lpstr>cst_owner6__space_sama__add_char</vt:lpstr>
      <vt:lpstr>cst_owner6_address__add_char</vt:lpstr>
      <vt:lpstr>cst_owner7__char</vt:lpstr>
      <vt:lpstr>cst_owner7__char__add_char</vt:lpstr>
      <vt:lpstr>cst_owner7__char_sama</vt:lpstr>
      <vt:lpstr>cst_owner7__char_sama__add_char</vt:lpstr>
      <vt:lpstr>cst_owner7__char_sama__add_char_row</vt:lpstr>
      <vt:lpstr>cst_owner7__check</vt:lpstr>
      <vt:lpstr>cst_owner7__space</vt:lpstr>
      <vt:lpstr>cst_owner7__space__add_char</vt:lpstr>
      <vt:lpstr>cst_owner7__space_sama</vt:lpstr>
      <vt:lpstr>cst_owner7__space_sama__add_char</vt:lpstr>
      <vt:lpstr>cst_owner7_address__add_char</vt:lpstr>
      <vt:lpstr>cst_owner8__char</vt:lpstr>
      <vt:lpstr>cst_owner8__char__add_char</vt:lpstr>
      <vt:lpstr>cst_owner8__char_sama</vt:lpstr>
      <vt:lpstr>cst_owner8__char_sama__add_char</vt:lpstr>
      <vt:lpstr>cst_owner8__char_sama__add_char_row</vt:lpstr>
      <vt:lpstr>cst_owner8__check</vt:lpstr>
      <vt:lpstr>cst_owner8__space</vt:lpstr>
      <vt:lpstr>cst_owner8__space__add_char</vt:lpstr>
      <vt:lpstr>cst_owner8__space_sama</vt:lpstr>
      <vt:lpstr>cst_owner8__space_sama__add_char</vt:lpstr>
      <vt:lpstr>cst_owner8_address__add_char</vt:lpstr>
      <vt:lpstr>cst_owner9__char</vt:lpstr>
      <vt:lpstr>cst_owner9__char__add_char</vt:lpstr>
      <vt:lpstr>cst_owner9__char_sama</vt:lpstr>
      <vt:lpstr>cst_owner9__char_sama__add_char</vt:lpstr>
      <vt:lpstr>cst_owner9__char_sama__add_char_row</vt:lpstr>
      <vt:lpstr>cst_owner9__space</vt:lpstr>
      <vt:lpstr>cst_owner9__space__add_char</vt:lpstr>
      <vt:lpstr>cst_owner9__space_sama</vt:lpstr>
      <vt:lpstr>cst_owner9__space_sama__add_char</vt:lpstr>
      <vt:lpstr>cst_owner9_address__add_char</vt:lpstr>
      <vt:lpstr>cst_owners_name__all_in_one_add_sp3code</vt:lpstr>
      <vt:lpstr>cst_owners_name__all_in_one_add_sp3code_sama</vt:lpstr>
      <vt:lpstr>cst_p2_shinsei_CHOKUZEN_ISSUE_NO</vt:lpstr>
      <vt:lpstr>cst_p2_shinsei_HEN_SUMI_KOUFU_DATE</vt:lpstr>
      <vt:lpstr>cst_p2_shinsei_HEN_SUMI_KOUFU_DATE__add_disp</vt:lpstr>
      <vt:lpstr>cst_p2_shinsei_HEN_SUMI_KOUFU_DATE__shobun</vt:lpstr>
      <vt:lpstr>cst_p2_shinsei_HEN_SUMI_KOUFU_NAME</vt:lpstr>
      <vt:lpstr>cst_p2_shinsei_HEN_SUMI_NO</vt:lpstr>
      <vt:lpstr>cst_p2_shinsei_HEN_SUMI_NO__shobun</vt:lpstr>
      <vt:lpstr>cst_p2_shinsei_ISSUE_DATE</vt:lpstr>
      <vt:lpstr>cst_p2_shinsei_ISSUE_DATE__disp</vt:lpstr>
      <vt:lpstr>cst_p2_shinsei_ISSUE_NO</vt:lpstr>
      <vt:lpstr>cst_p2_shinsei_ISSUE_NO__disp</vt:lpstr>
      <vt:lpstr>cst_p2_shinsei_KAKUNINZUMI_KENSAIN</vt:lpstr>
      <vt:lpstr>cst_print_time_TODAY</vt:lpstr>
      <vt:lpstr>cst_print_time_TODAY__text</vt:lpstr>
      <vt:lpstr>cst_RENRAKUSAKI_KOUZOU_TANTOU</vt:lpstr>
      <vt:lpstr>cst_RENRAKUSAKI_KOUZOU_TANTOU__search</vt:lpstr>
      <vt:lpstr>cst_RENRAKUSAKI_KOUZOU_TANTOU_EMAIL</vt:lpstr>
      <vt:lpstr>cst_RENRAKUSAKI_KOUZOU_TANTOU_EMAILcheck_Erea</vt:lpstr>
      <vt:lpstr>cst_RENRAKUSAKI_KOUZOU_TANTOU_Erea</vt:lpstr>
      <vt:lpstr>cst_RENRAKUSAKI_KOUZOU_TANTOU_LinkCell</vt:lpstr>
      <vt:lpstr>cst_SHINSAKAI</vt:lpstr>
      <vt:lpstr>cst_SHINSAKAI__base_point</vt:lpstr>
      <vt:lpstr>cst_SHINSAKAI__city_area</vt:lpstr>
      <vt:lpstr>cst_SHINSAKAI__city_search</vt:lpstr>
      <vt:lpstr>cst_shinsei__NOTIFY_CAUSE</vt:lpstr>
      <vt:lpstr>cst_shinsei__NOTIFY_CAUSE_REPORT_CAUSE</vt:lpstr>
      <vt:lpstr>cst_shinsei__NOTIFY_DATE</vt:lpstr>
      <vt:lpstr>cst_shinsei__NOTIFY_KENSA_DATE</vt:lpstr>
      <vt:lpstr>cst_shinsei__NOTIFY_LIMIT_DATE</vt:lpstr>
      <vt:lpstr>cst_shinsei__NOTIFY_LIMIT_DATE__date_in_NOTIFY_NOTE</vt:lpstr>
      <vt:lpstr>cst_shinsei__NOTIFY_LIMIT_DATE__dd</vt:lpstr>
      <vt:lpstr>cst_shinsei__NOTIFY_LIMIT_DATE__disp</vt:lpstr>
      <vt:lpstr>cst_shinsei__NOTIFY_LIMIT_DATE__ee</vt:lpstr>
      <vt:lpstr>cst_shinsei__NOTIFY_LIMIT_DATE__lbl1</vt:lpstr>
      <vt:lpstr>cst_shinsei__NOTIFY_LIMIT_DATE__lbl2</vt:lpstr>
      <vt:lpstr>cst_shinsei__NOTIFY_LIMIT_DATE__mm</vt:lpstr>
      <vt:lpstr>cst_shinsei__NOTIFY_LIMIT_DATE__result_disp</vt:lpstr>
      <vt:lpstr>cst_shinsei__NOTIFY_LIMIT_DATE__text</vt:lpstr>
      <vt:lpstr>cst_shinsei__NOTIFY_NOTE</vt:lpstr>
      <vt:lpstr>cst_shinsei__NOTIFY_NOTE__ins_date</vt:lpstr>
      <vt:lpstr>cst_shinsei__NOTIFY_USER</vt:lpstr>
      <vt:lpstr>cst_shinsei__RECEIPT_PRICE_BASIC_CHARGE</vt:lpstr>
      <vt:lpstr>cst_shinsei__REPORT_CAUSE</vt:lpstr>
      <vt:lpstr>cst_shinsei__REPORT_DATE__disp</vt:lpstr>
      <vt:lpstr>cst_shinsei__REPORT_ISSUE_DATE</vt:lpstr>
      <vt:lpstr>cst_shinsei__REPORT_ISSUE_DATE__dsp</vt:lpstr>
      <vt:lpstr>cst_shinsei__REPORT_ISSUE_DATE_2</vt:lpstr>
      <vt:lpstr>cst_shinsei__REPORT_ISSUE_NO</vt:lpstr>
      <vt:lpstr>cst_shinsei__REPORT_KAKU_SUMI_KOUFU_DATE</vt:lpstr>
      <vt:lpstr>cst_shinsei__REPORT_KAKU_SUMI_KOUFU_DATE__disp</vt:lpstr>
      <vt:lpstr>cst_shinsei__REPORT_KAKU_SUMI_KOUFU_NAME</vt:lpstr>
      <vt:lpstr>cst_shinsei__REPORT_KAKU_SUMI_NO</vt:lpstr>
      <vt:lpstr>cst_shinsei__REPORT_KAKU_SUMI_NO__disp</vt:lpstr>
      <vt:lpstr>cst_shinsei__REPORT_NO__disp</vt:lpstr>
      <vt:lpstr>cst_shinsei__REPORT_RESULT</vt:lpstr>
      <vt:lpstr>cst_shinsei__REPORT_STRUCTRESULT_KOUFU_NAME</vt:lpstr>
      <vt:lpstr>cst_shinsei__REPORT_STRUCTRESULT_KOUFU_NAME_No</vt:lpstr>
      <vt:lpstr>cst_shinsei__REPORT_STRUCTRESULT_NOTIFY_DATE</vt:lpstr>
      <vt:lpstr>cst_shinsei__REPORT_STRUCTRESULT_NOTIFY_NO</vt:lpstr>
      <vt:lpstr>cst_shinsei__REPORT_STRUCTRESULT_NOTIFY_NO__search</vt:lpstr>
      <vt:lpstr>cst_shinsei__REPORT_STRUCTRESULT_NOTIFY_NO__search_disp</vt:lpstr>
      <vt:lpstr>cst_shinsei__REPORT_STRUCTRESULT_NOTIFY_NO__search_disp2</vt:lpstr>
      <vt:lpstr>cst_shinsei__REPORT_STRUCTRESULT_NOTIFY_NO__search_disp3</vt:lpstr>
      <vt:lpstr>cst_shinsei__REPORT_STRUCTRESULT_NOTIFY_NO__select</vt:lpstr>
      <vt:lpstr>cst_shinsei__REPORT_STRUCTRESULT_NOTIFY_RESULT</vt:lpstr>
      <vt:lpstr>cst_shinsei__REPORT_STRUCTRESULT_NOTIFY_RESULT__word</vt:lpstr>
      <vt:lpstr>cst_shinsei__REPORT_STRUCTRESULT_NOTIFY_RESULT_selct</vt:lpstr>
      <vt:lpstr>cst_shinsei__REPORT_STRUCTRESULT_NOTIFY_RESULT_word</vt:lpstr>
      <vt:lpstr>cst_shinsei__STRUCTNOTIFT_HENKOU_LIMIT_DATE</vt:lpstr>
      <vt:lpstr>cst_shinsei__STRUCTNOTIFT_HENKOU_NOTIFT_DATE</vt:lpstr>
      <vt:lpstr>cst_shinsei_ACCEPT_DATE</vt:lpstr>
      <vt:lpstr>cst_shinsei_ACCEPT_DATE__dd</vt:lpstr>
      <vt:lpstr>cst_shinsei_ACCEPT_DATE__ee</vt:lpstr>
      <vt:lpstr>cst_shinsei_ACCEPT_DATE__mm</vt:lpstr>
      <vt:lpstr>cst_shinsei_ACCEPT_NOTE</vt:lpstr>
      <vt:lpstr>cst_shinsei_ACCEPT_TOKKI_JIKOU</vt:lpstr>
      <vt:lpstr>cst_shinsei_applicant1__address</vt:lpstr>
      <vt:lpstr>cst_shinsei_applicant1_CORP</vt:lpstr>
      <vt:lpstr>cst_shinsei_applicant1_NAME</vt:lpstr>
      <vt:lpstr>cst_shinsei_applicant1_NAME_KANA</vt:lpstr>
      <vt:lpstr>cst_shinsei_applicant1_POST</vt:lpstr>
      <vt:lpstr>cst_shinsei_applicant1_TEL</vt:lpstr>
      <vt:lpstr>cst_shinsei_applicant1_ZIP</vt:lpstr>
      <vt:lpstr>cst_shinsei_applicant2__address</vt:lpstr>
      <vt:lpstr>cst_shinsei_applicant2_CORP</vt:lpstr>
      <vt:lpstr>cst_shinsei_applicant2_NAME</vt:lpstr>
      <vt:lpstr>cst_shinsei_applicant2_POST</vt:lpstr>
      <vt:lpstr>cst_shinsei_applicant2_TEL</vt:lpstr>
      <vt:lpstr>cst_shinsei_applicant2_ZIP</vt:lpstr>
      <vt:lpstr>cst_shinsei_applicant3__address</vt:lpstr>
      <vt:lpstr>cst_shinsei_applicant3_CORP</vt:lpstr>
      <vt:lpstr>cst_shinsei_applicant3_NAME</vt:lpstr>
      <vt:lpstr>cst_shinsei_applicant3_POST</vt:lpstr>
      <vt:lpstr>cst_shinsei_applicant3_TEL</vt:lpstr>
      <vt:lpstr>cst_shinsei_applicant3_ZIP</vt:lpstr>
      <vt:lpstr>cst_shinsei_applicant4__address</vt:lpstr>
      <vt:lpstr>cst_shinsei_applicant4_CORP</vt:lpstr>
      <vt:lpstr>cst_shinsei_applicant4_NAME</vt:lpstr>
      <vt:lpstr>cst_shinsei_applicant4_POST</vt:lpstr>
      <vt:lpstr>cst_shinsei_applicant4_TEL</vt:lpstr>
      <vt:lpstr>cst_shinsei_applicant4_ZIP</vt:lpstr>
      <vt:lpstr>cst_shinsei_applicant5__address</vt:lpstr>
      <vt:lpstr>cst_shinsei_applicant5_CORP</vt:lpstr>
      <vt:lpstr>cst_shinsei_applicant5_NAME</vt:lpstr>
      <vt:lpstr>cst_shinsei_applicant5_POST</vt:lpstr>
      <vt:lpstr>cst_shinsei_applicant5_TEL</vt:lpstr>
      <vt:lpstr>cst_shinsei_applicant5_ZIP</vt:lpstr>
      <vt:lpstr>cst_shinsei_applicant6__address</vt:lpstr>
      <vt:lpstr>cst_shinsei_applicant6_CORP</vt:lpstr>
      <vt:lpstr>cst_shinsei_applicant6_NAME</vt:lpstr>
      <vt:lpstr>cst_shinsei_applicant6_POST</vt:lpstr>
      <vt:lpstr>cst_shinsei_applicant6_TEL</vt:lpstr>
      <vt:lpstr>cst_shinsei_applicant6_ZIP</vt:lpstr>
      <vt:lpstr>cst_shinsei_applicant7__address</vt:lpstr>
      <vt:lpstr>cst_shinsei_applicant7_CORP</vt:lpstr>
      <vt:lpstr>cst_shinsei_applicant7_NAME</vt:lpstr>
      <vt:lpstr>cst_shinsei_applicant7_POST</vt:lpstr>
      <vt:lpstr>cst_shinsei_applicant7_TEL</vt:lpstr>
      <vt:lpstr>cst_shinsei_applicant7_ZIP</vt:lpstr>
      <vt:lpstr>cst_shinsei_BILL_NAME</vt:lpstr>
      <vt:lpstr>cst_shinsei_BILL_NAME__common</vt:lpstr>
      <vt:lpstr>cst_shinsei_BIRUKAN_HEALTH_CENTER_NAME__dsp</vt:lpstr>
      <vt:lpstr>cst_shinsei_build_address</vt:lpstr>
      <vt:lpstr>cst_shinsei_build_BILL_SHINSEI_COUNT</vt:lpstr>
      <vt:lpstr>cst_shinsei_build_BILL_SHINSEI_COUNT_2</vt:lpstr>
      <vt:lpstr>cst_shinsei_build_BILL_SONOTA_COUNT</vt:lpstr>
      <vt:lpstr>cst_shinsei_build_BOUKA</vt:lpstr>
      <vt:lpstr>cst_shinsei_build_BOUKA_BOUKA</vt:lpstr>
      <vt:lpstr>cst_shinsei_build_BOUKA_JYUN_BOUKA</vt:lpstr>
      <vt:lpstr>cst_shinsei_build_BOUKA_NASI</vt:lpstr>
      <vt:lpstr>cst_shinsei_build_DOURO_SIKITI_HASSO_DATE</vt:lpstr>
      <vt:lpstr>cst_shinsei_build_DOURO_SIKITI_HASSO_DATE__disp</vt:lpstr>
      <vt:lpstr>cst_shinsei_build_JYUKYO__address</vt:lpstr>
      <vt:lpstr>cst_shinsei_build_KAISU_TIJYOU_SHINSEI</vt:lpstr>
      <vt:lpstr>cst_shinsei_build_KAISU_TIJYOU_SHINSEI_2</vt:lpstr>
      <vt:lpstr>cst_shinsei_build_KAISU_TIKA_SHINSEI__minus</vt:lpstr>
      <vt:lpstr>cst_shinsei_build_KAISU_TIKA_SHINSEI__zero</vt:lpstr>
      <vt:lpstr>cst_shinsei_build_KAISU_TIKA_SHINSEI__zero_2</vt:lpstr>
      <vt:lpstr>cst_shinsei_build_KENPEI_RITU</vt:lpstr>
      <vt:lpstr>cst_shinsei_build_KENPEI_RITU_A</vt:lpstr>
      <vt:lpstr>cst_shinsei_build_KOUJI_DAI_MOYOUGAE</vt:lpstr>
      <vt:lpstr>cst_shinsei_build_KOUJI_DAI_SYUUZEN</vt:lpstr>
      <vt:lpstr>cst_shinsei_build_KOUJI_ITEN</vt:lpstr>
      <vt:lpstr>cst_shinsei_build_KOUJI_KAITIKU</vt:lpstr>
      <vt:lpstr>cst_shinsei_build_KOUJI_SINTIKU</vt:lpstr>
      <vt:lpstr>cst_shinsei_build_KOUJI_YOUTOHENKOU</vt:lpstr>
      <vt:lpstr>cst_shinsei_build_KOUJI_ZOUTIKU</vt:lpstr>
      <vt:lpstr>cst_shinsei_build_kouzou</vt:lpstr>
      <vt:lpstr>cst_shinsei_build_KOUZOU1</vt:lpstr>
      <vt:lpstr>cst_shinsei_build_KOUZOU2</vt:lpstr>
      <vt:lpstr>cst_shinsei_BUILD_NAME</vt:lpstr>
      <vt:lpstr>cst_shinsei_BUILD_NAME_COMP</vt:lpstr>
      <vt:lpstr>cst_shinsei_build_NOBE_MENSEKI_BILL_SHINSEI</vt:lpstr>
      <vt:lpstr>cst_shinsei_build_NOBE_MENSEKI_BILL_SHINSEI_IGAI__minus</vt:lpstr>
      <vt:lpstr>cst_shinsei_build_NOBE_MENSEKI_BILL_SHINSEI_IGAI__zero</vt:lpstr>
      <vt:lpstr>cst_shinsei_build_NOBE_MENSEKI_BILL_SHINSEI_TOTAL</vt:lpstr>
      <vt:lpstr>cst_shinsei_build_p4_TAIKA_KENTIKU</vt:lpstr>
      <vt:lpstr>cst_shinsei_build_p4_TAKASA_KEN_MAX</vt:lpstr>
      <vt:lpstr>cst_shinsei_build_p4_TAKASA_MAX</vt:lpstr>
      <vt:lpstr>cst_shinsei_build_SHIKITI_MENSEKI_1_TOTAL</vt:lpstr>
      <vt:lpstr>cst_shinsei_build_SONOTA_KUIKI</vt:lpstr>
      <vt:lpstr>cst_shinsei_build_STAT_HOU6</vt:lpstr>
      <vt:lpstr>cst_shinsei_build_STAT_HOU6__firestation</vt:lpstr>
      <vt:lpstr>cst_shinsei_build_STAT_HOU6__umu</vt:lpstr>
      <vt:lpstr>cst_shinsei_build_STAT_KOUHOU</vt:lpstr>
      <vt:lpstr>cst_shinsei_build_STAT_SEPTICTANK_CAPACITY</vt:lpstr>
      <vt:lpstr>cst_shinsei_build_STAT_SEPTICTANK_KIBO</vt:lpstr>
      <vt:lpstr>cst_shinsei_build_TOKUREI_56_7__ari</vt:lpstr>
      <vt:lpstr>cst_shinsei_build_TOKUREI_56_7__nashi</vt:lpstr>
      <vt:lpstr>cst_shinsei_build_TOKUREI_56_7_DOURO_KITA</vt:lpstr>
      <vt:lpstr>cst_shinsei_build_TOKUREI_56_7_DOURO_RINTI</vt:lpstr>
      <vt:lpstr>cst_shinsei_build_TOKUREI_56_7_DOURO_TAKASA</vt:lpstr>
      <vt:lpstr>cst_shinsei_build_YOUSEKI_RITU</vt:lpstr>
      <vt:lpstr>cst_shinsei_build_YOUSEKI_RITU_A</vt:lpstr>
      <vt:lpstr>cst_shinsei_build_YOUTO</vt:lpstr>
      <vt:lpstr>cst_shinsei_build_YOUTO_CODE</vt:lpstr>
      <vt:lpstr>cst_shinsei_build_YOUTO_PRINT</vt:lpstr>
      <vt:lpstr>cst_shinsei_build_YOUTO_TIIKI_A</vt:lpstr>
      <vt:lpstr>cst_shinsei_BUILDSHINSEI_ISSUE_NO__add_disp</vt:lpstr>
      <vt:lpstr>cst_shinsei_CHARGE_flag</vt:lpstr>
      <vt:lpstr>cst_shinsei_CHARGE_ID__BASE_DATE</vt:lpstr>
      <vt:lpstr>cst_shinsei_CHARGE_ID__BASIC_CHARGE</vt:lpstr>
      <vt:lpstr>cst_shinsei_CHARGE_ID__BASIC_CHARGE__case0</vt:lpstr>
      <vt:lpstr>cst_shinsei_CHARGE_ID__bill__date</vt:lpstr>
      <vt:lpstr>cst_shinsei_CHARGE_ID__cust__address</vt:lpstr>
      <vt:lpstr>cst_shinsei_CHARGE_ID__cust__caption</vt:lpstr>
      <vt:lpstr>cst_shinsei_CHARGE_ID__cust__tel</vt:lpstr>
      <vt:lpstr>cst_shinsei_CHARGE_ID__cust__zip</vt:lpstr>
      <vt:lpstr>cst_shinsei_CHARGE_ID__DENPYOU_NO</vt:lpstr>
      <vt:lpstr>cst_shinsei_CHARGE_ID__income01_INCOME_DATE</vt:lpstr>
      <vt:lpstr>cst_shinsei_CHARGE_ID__income01_INCOME_MONEY</vt:lpstr>
      <vt:lpstr>cst_shinsei_CHARGE_ID__income02_INCOME_DATE</vt:lpstr>
      <vt:lpstr>cst_shinsei_CHARGE_ID__income02_INCOME_MONEY</vt:lpstr>
      <vt:lpstr>cst_shinsei_CHARGE_ID__income03_INCOME_DATE</vt:lpstr>
      <vt:lpstr>cst_shinsei_CHARGE_ID__income03_INCOME_MONEY</vt:lpstr>
      <vt:lpstr>cst_shinsei_CHARGE_ID__meisai01_ITEM_NAME</vt:lpstr>
      <vt:lpstr>cst_shinsei_CHARGE_ID__meisai01_SURYOU</vt:lpstr>
      <vt:lpstr>cst_shinsei_CHARGE_ID__meisai01_SYOUKEI</vt:lpstr>
      <vt:lpstr>cst_shinsei_CHARGE_ID__meisai01_TANKA</vt:lpstr>
      <vt:lpstr>cst_shinsei_CHARGE_ID__meisai02_ITEM_NAME</vt:lpstr>
      <vt:lpstr>cst_shinsei_CHARGE_ID__meisai02_SURYOU</vt:lpstr>
      <vt:lpstr>cst_shinsei_CHARGE_ID__meisai02_SYOUKEI</vt:lpstr>
      <vt:lpstr>cst_shinsei_CHARGE_ID__meisai02_TANKA</vt:lpstr>
      <vt:lpstr>cst_shinsei_CHARGE_ID__meisai03_ITEM_NAME</vt:lpstr>
      <vt:lpstr>cst_shinsei_CHARGE_ID__meisai03_SURYOU</vt:lpstr>
      <vt:lpstr>cst_shinsei_CHARGE_ID__meisai03_SYOUKEI</vt:lpstr>
      <vt:lpstr>cst_shinsei_CHARGE_ID__meisai03_TANKA</vt:lpstr>
      <vt:lpstr>cst_shinsei_CHARGE_ID__meisai04_ITEM_NAME</vt:lpstr>
      <vt:lpstr>cst_shinsei_CHARGE_ID__meisai04_SURYOU</vt:lpstr>
      <vt:lpstr>cst_shinsei_CHARGE_ID__meisai04_SYOUKEI</vt:lpstr>
      <vt:lpstr>cst_shinsei_CHARGE_ID__meisai04_TANKA</vt:lpstr>
      <vt:lpstr>cst_shinsei_CHARGE_ID__meisai05_ITEM_NAME</vt:lpstr>
      <vt:lpstr>cst_shinsei_CHARGE_ID__meisai05_SURYOU</vt:lpstr>
      <vt:lpstr>cst_shinsei_CHARGE_ID__meisai05_SYOUKEI</vt:lpstr>
      <vt:lpstr>cst_shinsei_CHARGE_ID__meisai05_TANKA</vt:lpstr>
      <vt:lpstr>cst_shinsei_CHARGE_ID__meisai06_ITEM_NAME</vt:lpstr>
      <vt:lpstr>cst_shinsei_CHARGE_ID__meisai06_SURYOU</vt:lpstr>
      <vt:lpstr>cst_shinsei_CHARGE_ID__meisai06_SYOUKEI</vt:lpstr>
      <vt:lpstr>cst_shinsei_CHARGE_ID__meisai06_TANKA</vt:lpstr>
      <vt:lpstr>cst_shinsei_CHARGE_ID__meisai07_ITEM_NAME</vt:lpstr>
      <vt:lpstr>cst_shinsei_CHARGE_ID__meisai07_SURYOU</vt:lpstr>
      <vt:lpstr>cst_shinsei_CHARGE_ID__meisai07_SYOUKEI</vt:lpstr>
      <vt:lpstr>cst_shinsei_CHARGE_ID__meisai07_TANKA</vt:lpstr>
      <vt:lpstr>cst_shinsei_CHARGE_ID__meisai08_ITEM_NAME</vt:lpstr>
      <vt:lpstr>cst_shinsei_CHARGE_ID__meisai08_SURYOU</vt:lpstr>
      <vt:lpstr>cst_shinsei_CHARGE_ID__meisai08_SYOUKEI</vt:lpstr>
      <vt:lpstr>cst_shinsei_CHARGE_ID__meisai08_TANKA</vt:lpstr>
      <vt:lpstr>cst_shinsei_CHARGE_ID__meisai09_ITEM_NAME</vt:lpstr>
      <vt:lpstr>cst_shinsei_CHARGE_ID__meisai09_SURYOU</vt:lpstr>
      <vt:lpstr>cst_shinsei_CHARGE_ID__meisai09_SYOUKEI</vt:lpstr>
      <vt:lpstr>cst_shinsei_CHARGE_ID__meisai09_TANKA</vt:lpstr>
      <vt:lpstr>cst_shinsei_CHARGE_ID__meisai10_ITEM_NAME</vt:lpstr>
      <vt:lpstr>cst_shinsei_CHARGE_ID__meisai10_SURYOU</vt:lpstr>
      <vt:lpstr>cst_shinsei_CHARGE_ID__meisai10_SYOUKEI</vt:lpstr>
      <vt:lpstr>cst_shinsei_CHARGE_ID__meisai10_TANKA</vt:lpstr>
      <vt:lpstr>cst_shinsei_CHARGE_ID__meisai11_ITEM_NAME</vt:lpstr>
      <vt:lpstr>cst_shinsei_CHARGE_ID__meisai11_SURYOU</vt:lpstr>
      <vt:lpstr>cst_shinsei_CHARGE_ID__meisai11_SYOUKEI</vt:lpstr>
      <vt:lpstr>cst_shinsei_CHARGE_ID__meisai11_TANKA</vt:lpstr>
      <vt:lpstr>cst_shinsei_CHARGE_ID__NOTE</vt:lpstr>
      <vt:lpstr>cst_shinsei_CHARGE_ID__PRICE__tekihan</vt:lpstr>
      <vt:lpstr>cst_shinsei_CHARGE_ID__PRICE__tekihannozoku</vt:lpstr>
      <vt:lpstr>cst_shinsei_CHARGE_ID__RECEIPT_DATE</vt:lpstr>
      <vt:lpstr>cst_shinsei_CHARGE_ID__RECEIPT_DATE__add_disp</vt:lpstr>
      <vt:lpstr>cst_shinsei_CHARGE_ID__RECEIPT_PRICE</vt:lpstr>
      <vt:lpstr>cst_shinsei_CHARGE_ID__RECEIPT_PRICE__disp</vt:lpstr>
      <vt:lpstr>cst_shinsei_CHARGE_ID__RECEIPT_PRICE__text</vt:lpstr>
      <vt:lpstr>cst_shinsei_CHARGE_ID__RECEIPT_TO</vt:lpstr>
      <vt:lpstr>cst_shinsei_CHARGE_ID__RECEIPT_TO__add_sama</vt:lpstr>
      <vt:lpstr>cst_shinsei_CHARGE_ID__STR_CHARGE</vt:lpstr>
      <vt:lpstr>cst_shinsei_CHARGE_ID__STR_CHARGE_WARIMASHI</vt:lpstr>
      <vt:lpstr>cst_shinsei_CHARGE_ID__TIIKIWARIMASHI_CHARGE</vt:lpstr>
      <vt:lpstr>cst_shinsei_CHARGE_ID__TIIKIWARIMASHI_SURYOU</vt:lpstr>
      <vt:lpstr>cst_shinsei_CHARGE_ID__TIIKIWARIMASHI_TANKA</vt:lpstr>
      <vt:lpstr>cst_shinsei_CHARGE_ID2__BASE_DATE</vt:lpstr>
      <vt:lpstr>cst_shinsei_CHARGE_ID2__BASIC_CHARGE</vt:lpstr>
      <vt:lpstr>cst_shinsei_CHARGE_ID2__bill__date</vt:lpstr>
      <vt:lpstr>cst_shinsei_CHARGE_ID2__bill__no</vt:lpstr>
      <vt:lpstr>cst_shinsei_CHARGE_ID2__CASH_FLAG</vt:lpstr>
      <vt:lpstr>cst_shinsei_CHARGE_ID2__DENPYOU_NO</vt:lpstr>
      <vt:lpstr>cst_shinsei_CHARGE_ID2__DENPYOU_PRICE</vt:lpstr>
      <vt:lpstr>cst_shinsei_CHARGE_ID2__ENABLED</vt:lpstr>
      <vt:lpstr>cst_shinsei_CHARGE_ID2__meisai01_ITEM_NAME</vt:lpstr>
      <vt:lpstr>cst_shinsei_CHARGE_ID2__meisai01_SYOUKEI</vt:lpstr>
      <vt:lpstr>cst_shinsei_CHARGE_ID2__meisai02_ITEM_NAME</vt:lpstr>
      <vt:lpstr>cst_shinsei_CHARGE_ID2__meisai02_SYOUKEI</vt:lpstr>
      <vt:lpstr>cst_shinsei_CHARGE_ID2__meisai03_ITEM_NAME</vt:lpstr>
      <vt:lpstr>cst_shinsei_CHARGE_ID2__meisai03_SYOUKEI</vt:lpstr>
      <vt:lpstr>cst_shinsei_CHARGE_ID2__meisai04_ITEM_NAME</vt:lpstr>
      <vt:lpstr>cst_shinsei_CHARGE_ID2__meisai04_SYOUKEI</vt:lpstr>
      <vt:lpstr>cst_shinsei_CHARGE_ID2__meisai05_ITEM_NAME</vt:lpstr>
      <vt:lpstr>cst_shinsei_CHARGE_ID2__meisai05_SYOUKEI</vt:lpstr>
      <vt:lpstr>cst_shinsei_CHARGE_ID2__meisai06_ITEM_NAME</vt:lpstr>
      <vt:lpstr>cst_shinsei_CHARGE_ID2__meisai06_SYOUKEI</vt:lpstr>
      <vt:lpstr>cst_shinsei_CHARGE_ID2__meisai07_ITEM_NAME</vt:lpstr>
      <vt:lpstr>cst_shinsei_CHARGE_ID2__meisai07_SYOUKEI</vt:lpstr>
      <vt:lpstr>cst_shinsei_CHARGE_ID2__meisai08_ITEM_NAME</vt:lpstr>
      <vt:lpstr>cst_shinsei_CHARGE_ID2__meisai08_SYOUKEI</vt:lpstr>
      <vt:lpstr>cst_shinsei_CHARGE_ID2__meisai09_ITEM_NAME</vt:lpstr>
      <vt:lpstr>cst_shinsei_CHARGE_ID2__meisai09_SYOUKEI</vt:lpstr>
      <vt:lpstr>cst_shinsei_CHARGE_ID2__meisai10_ITEM_NAME</vt:lpstr>
      <vt:lpstr>cst_shinsei_CHARGE_ID2__meisai10_SYOUKEI</vt:lpstr>
      <vt:lpstr>cst_shinsei_CHARGE_ID2__meisai11_ITEM_NAME</vt:lpstr>
      <vt:lpstr>cst_shinsei_CHARGE_ID2__meisai11_SYOUKEI</vt:lpstr>
      <vt:lpstr>cst_shinsei_CHARGE_ID2__NOTE</vt:lpstr>
      <vt:lpstr>cst_shinsei_CHARGE_ID2__RECEIPT_AREA</vt:lpstr>
      <vt:lpstr>cst_shinsei_CHARGE_ID2__RECEIPT_DATE</vt:lpstr>
      <vt:lpstr>cst_shinsei_CHARGE_ID2__RECEIPT_PRICE</vt:lpstr>
      <vt:lpstr>cst_shinsei_CHARGE_ID2__RECEIPT_TO</vt:lpstr>
      <vt:lpstr>cst_shinsei_CHARGE_ID2__TIIKIWARIMASHI_CHARGE</vt:lpstr>
      <vt:lpstr>cst_shinsei_CHARGE_ID3__BASE_DATE</vt:lpstr>
      <vt:lpstr>cst_shinsei_CHARGE_ID3__BASIC_CHARGE</vt:lpstr>
      <vt:lpstr>cst_shinsei_CHARGE_ID3__bill__date</vt:lpstr>
      <vt:lpstr>cst_shinsei_CHARGE_ID3__bill__no</vt:lpstr>
      <vt:lpstr>cst_shinsei_CHARGE_ID3__CASH_FLAG</vt:lpstr>
      <vt:lpstr>cst_shinsei_CHARGE_ID3__DENPYOU_NO</vt:lpstr>
      <vt:lpstr>cst_shinsei_CHARGE_ID3__DENPYOU_PRICE</vt:lpstr>
      <vt:lpstr>cst_shinsei_CHARGE_ID3__meisai01_ITEM_NAME</vt:lpstr>
      <vt:lpstr>cst_shinsei_CHARGE_ID3__meisai01_SYOUKEI</vt:lpstr>
      <vt:lpstr>cst_shinsei_CHARGE_ID3__meisai02_ITEM_NAME</vt:lpstr>
      <vt:lpstr>cst_shinsei_CHARGE_ID3__meisai02_SYOUKEI</vt:lpstr>
      <vt:lpstr>cst_shinsei_CHARGE_ID3__meisai03_ITEM_NAME</vt:lpstr>
      <vt:lpstr>cst_shinsei_CHARGE_ID3__meisai03_SYOUKEI</vt:lpstr>
      <vt:lpstr>cst_shinsei_CHARGE_ID3__meisai04_ITEM_NAME</vt:lpstr>
      <vt:lpstr>cst_shinsei_CHARGE_ID3__meisai04_SYOUKEI</vt:lpstr>
      <vt:lpstr>cst_shinsei_CHARGE_ID3__meisai05_ITEM_NAME</vt:lpstr>
      <vt:lpstr>cst_shinsei_CHARGE_ID3__meisai05_SYOUKEI</vt:lpstr>
      <vt:lpstr>cst_shinsei_CHARGE_ID3__meisai06_ITEM_NAME</vt:lpstr>
      <vt:lpstr>cst_shinsei_CHARGE_ID3__meisai06_SYOUKEI</vt:lpstr>
      <vt:lpstr>cst_shinsei_CHARGE_ID3__meisai07_ITEM_NAME</vt:lpstr>
      <vt:lpstr>cst_shinsei_CHARGE_ID3__meisai07_SYOUKEI</vt:lpstr>
      <vt:lpstr>cst_shinsei_CHARGE_ID3__meisai08_ITEM_NAME</vt:lpstr>
      <vt:lpstr>cst_shinsei_CHARGE_ID3__meisai08_SYOUKEI</vt:lpstr>
      <vt:lpstr>cst_shinsei_CHARGE_ID3__meisai09_ITEM_NAME</vt:lpstr>
      <vt:lpstr>cst_shinsei_CHARGE_ID3__meisai09_SYOUKEI</vt:lpstr>
      <vt:lpstr>cst_shinsei_CHARGE_ID3__meisai10_ITEM_NAME</vt:lpstr>
      <vt:lpstr>cst_shinsei_CHARGE_ID3__meisai10_SYOUKEI</vt:lpstr>
      <vt:lpstr>cst_shinsei_CHARGE_ID3__meisai11_ITEM_NAME</vt:lpstr>
      <vt:lpstr>cst_shinsei_CHARGE_ID3__meisai11_SYOUKEI</vt:lpstr>
      <vt:lpstr>cst_shinsei_CHARGE_ID3__NOTE</vt:lpstr>
      <vt:lpstr>cst_shinsei_CHARGE_ID3__RECEIPT_AREA</vt:lpstr>
      <vt:lpstr>cst_shinsei_CHARGE_ID3__RECEIPT_DATE</vt:lpstr>
      <vt:lpstr>cst_shinsei_CHARGE_ID3__RECEIPT_PRICE</vt:lpstr>
      <vt:lpstr>cst_shinsei_CHARGE_ID3__RECEIPT_TO</vt:lpstr>
      <vt:lpstr>cst_shinsei_CHARGE_ID3__STR_CHARGE</vt:lpstr>
      <vt:lpstr>cst_shinsei_CHARGE_ID3__TIIKIWARIMASHI_CHARGE</vt:lpstr>
      <vt:lpstr>cst_shinsei_CHARGE_ID3__ZERO_FLAG</vt:lpstr>
      <vt:lpstr>cst_shinsei_ctrl</vt:lpstr>
      <vt:lpstr>cst_shinsei_DAIRI__address</vt:lpstr>
      <vt:lpstr>cst_shinsei_DAIRI_FAX</vt:lpstr>
      <vt:lpstr>cst_shinsei_DAIRI_JIMU_NAME</vt:lpstr>
      <vt:lpstr>cst_shinsei_DAIRI_JIMU_NAME__dsp</vt:lpstr>
      <vt:lpstr>cst_shinsei_DAIRI_JIMU_NAME__select_dsp</vt:lpstr>
      <vt:lpstr>cst_shinsei_DAIRI_JIMU_NAME_all</vt:lpstr>
      <vt:lpstr>cst_shinsei_DAIRI_JIMU_NO</vt:lpstr>
      <vt:lpstr>cst_shinsei_DAIRI_JIMU_SIKAKU</vt:lpstr>
      <vt:lpstr>cst_shinsei_DAIRI_JIMU_TOUROKU_KIKAN</vt:lpstr>
      <vt:lpstr>cst_shinsei_DAIRI_KENSETUSI_NO</vt:lpstr>
      <vt:lpstr>cst_shinsei_DAIRI_NAME</vt:lpstr>
      <vt:lpstr>cst_shinsei_DAIRI_NAME__dsp</vt:lpstr>
      <vt:lpstr>cst_shinsei_DAIRI_POST_CODE</vt:lpstr>
      <vt:lpstr>cst_shinsei_DAIRI_SIKAKU</vt:lpstr>
      <vt:lpstr>cst_shinsei_DAIRI_TEL</vt:lpstr>
      <vt:lpstr>cst_shinsei_DAIRI_TOUROKU_KIKAN</vt:lpstr>
      <vt:lpstr>cst_shinsei_dairi02__address</vt:lpstr>
      <vt:lpstr>cst_shinsei_dairi02_FAX</vt:lpstr>
      <vt:lpstr>cst_shinsei_dairi02_JIMU_NAME</vt:lpstr>
      <vt:lpstr>cst_shinsei_dairi02_JIMU_NO</vt:lpstr>
      <vt:lpstr>cst_shinsei_dairi02_JIMU_SIKAKU</vt:lpstr>
      <vt:lpstr>cst_shinsei_dairi02_JIMU_TOUROKU_KIKAN</vt:lpstr>
      <vt:lpstr>cst_shinsei_dairi02_KENSETUSI_NO</vt:lpstr>
      <vt:lpstr>cst_shinsei_dairi02_NAME</vt:lpstr>
      <vt:lpstr>cst_shinsei_dairi02_POST_CODE</vt:lpstr>
      <vt:lpstr>cst_shinsei_dairi02_SIKAKU</vt:lpstr>
      <vt:lpstr>cst_shinsei_dairi02_TEL</vt:lpstr>
      <vt:lpstr>cst_shinsei_dairi02_TOUROKU_KIKAN</vt:lpstr>
      <vt:lpstr>cst_shinsei_dairi03__address</vt:lpstr>
      <vt:lpstr>cst_shinsei_dairi03_FAX</vt:lpstr>
      <vt:lpstr>cst_shinsei_dairi03_JIMU_NAME</vt:lpstr>
      <vt:lpstr>cst_shinsei_dairi03_JIMU_NO</vt:lpstr>
      <vt:lpstr>cst_shinsei_dairi03_JIMU_SIKAKU</vt:lpstr>
      <vt:lpstr>cst_shinsei_dairi03_JIMU_TOUROKU_KIKAN</vt:lpstr>
      <vt:lpstr>cst_shinsei_dairi03_KENSETUSI_NO</vt:lpstr>
      <vt:lpstr>cst_shinsei_dairi03_NAME</vt:lpstr>
      <vt:lpstr>cst_shinsei_dairi03_POST_CODE</vt:lpstr>
      <vt:lpstr>cst_shinsei_dairi03_SIKAKU</vt:lpstr>
      <vt:lpstr>cst_shinsei_dairi03_TEL</vt:lpstr>
      <vt:lpstr>cst_shinsei_dairi03_TOUROKU_KIKAN</vt:lpstr>
      <vt:lpstr>cst_shinsei_dairi04__address</vt:lpstr>
      <vt:lpstr>cst_shinsei_dairi04_FAX</vt:lpstr>
      <vt:lpstr>cst_shinsei_dairi04_JIMU_NAME</vt:lpstr>
      <vt:lpstr>cst_shinsei_dairi04_JIMU_NO</vt:lpstr>
      <vt:lpstr>cst_shinsei_dairi04_JIMU_SIKAKU</vt:lpstr>
      <vt:lpstr>cst_shinsei_dairi04_JIMU_TOUROKU_KIKAN</vt:lpstr>
      <vt:lpstr>cst_shinsei_dairi04_KENSETUSI_NO</vt:lpstr>
      <vt:lpstr>cst_shinsei_dairi04_NAME</vt:lpstr>
      <vt:lpstr>cst_shinsei_dairi04_POST_CODE</vt:lpstr>
      <vt:lpstr>cst_shinsei_dairi04_SIKAKU</vt:lpstr>
      <vt:lpstr>cst_shinsei_dairi04_TEL</vt:lpstr>
      <vt:lpstr>cst_shinsei_dairi04_TOUROKU_KIKAN</vt:lpstr>
      <vt:lpstr>cst_shinsei_dairi05__address</vt:lpstr>
      <vt:lpstr>cst_shinsei_dairi05_FAX</vt:lpstr>
      <vt:lpstr>cst_shinsei_dairi05_JIMU_NAME</vt:lpstr>
      <vt:lpstr>cst_shinsei_dairi05_JIMU_NO</vt:lpstr>
      <vt:lpstr>cst_shinsei_dairi05_JIMU_SIKAKU</vt:lpstr>
      <vt:lpstr>cst_shinsei_dairi05_JIMU_TOUROKU_KIKAN</vt:lpstr>
      <vt:lpstr>cst_shinsei_dairi05_KENSETUSI_NO</vt:lpstr>
      <vt:lpstr>cst_shinsei_dairi05_NAME</vt:lpstr>
      <vt:lpstr>cst_shinsei_dairi05_POST_CODE</vt:lpstr>
      <vt:lpstr>cst_shinsei_dairi05_SIKAKU</vt:lpstr>
      <vt:lpstr>cst_shinsei_dairi05_TEL</vt:lpstr>
      <vt:lpstr>cst_shinsei_dairi05_TOUROKU_KIKAN</vt:lpstr>
      <vt:lpstr>cst_shinsei_DOUI_kyoto_city</vt:lpstr>
      <vt:lpstr>cst_shinsei_DOUI_kyoto_mes</vt:lpstr>
      <vt:lpstr>cst_shinsei_DOUI_kyoto_word__2</vt:lpstr>
      <vt:lpstr>cst_shinsei_DOUI_kyoto_word__3</vt:lpstr>
      <vt:lpstr>cst_shinsei_DOUI_kyoto_word__4</vt:lpstr>
      <vt:lpstr>cst_shinsei_DOUI_kyoto_word__link</vt:lpstr>
      <vt:lpstr>cst_shinsei_DOUI_kyoto_word__list</vt:lpstr>
      <vt:lpstr>cst_shinsei_DOUI_kyoto_word__result</vt:lpstr>
      <vt:lpstr>cst_shinsei_ev_EV_BILL_NAME</vt:lpstr>
      <vt:lpstr>cst_shinsei_ev_EV_BILL_YOUTO</vt:lpstr>
      <vt:lpstr>cst_shinsei_ev_EV_COUNT</vt:lpstr>
      <vt:lpstr>cst_shinsei_ev_EV_SEKISAI</vt:lpstr>
      <vt:lpstr>cst_shinsei_ev_EV_SONOTA</vt:lpstr>
      <vt:lpstr>cst_shinsei_ev_EV_SPEED</vt:lpstr>
      <vt:lpstr>cst_shinsei_ev_EV_SYUBETU</vt:lpstr>
      <vt:lpstr>cst_shinsei_ev_EV_TEIIN</vt:lpstr>
      <vt:lpstr>cst_shinsei_ev_EV_TEIIN__tani</vt:lpstr>
      <vt:lpstr>cst_shinsei_ev_EV_YOUTO</vt:lpstr>
      <vt:lpstr>cst_shinsei_ev_KOUSAKU_KOUJI_KAITIKU</vt:lpstr>
      <vt:lpstr>cst_shinsei_ev_KOUSAKU_KOUJI_SHINTIKU</vt:lpstr>
      <vt:lpstr>cst_shinsei_ev_KOUSAKU_KOUJI_SONOTA</vt:lpstr>
      <vt:lpstr>cst_shinsei_ev_KOUSAKU_KOUJI_SONOTA__box</vt:lpstr>
      <vt:lpstr>cst_shinsei_ev_KOUSAKU_KOUJI_SONOTA__dsp</vt:lpstr>
      <vt:lpstr>cst_shinsei_ev_KOUSAKU_KOUJI_ZOUTIKU</vt:lpstr>
      <vt:lpstr>cst_shinsei_ev_KOUSAKU_KOUZOU</vt:lpstr>
      <vt:lpstr>cst_shinsei_ev_KOUSAKU_SONOTA</vt:lpstr>
      <vt:lpstr>cst_shinsei_ev_KOUSAKU_SYURUI</vt:lpstr>
      <vt:lpstr>cst_shinsei_ev_KOUSAKU_SYURUI_CODE</vt:lpstr>
      <vt:lpstr>cst_shinsei_ev_KOUSAKU_TAKASA</vt:lpstr>
      <vt:lpstr>cst_shinsei_ev_KOUSAKU_TAKASA__range_sign</vt:lpstr>
      <vt:lpstr>cst_shinsei_ev_KOUSAKU_TAKASA__range1</vt:lpstr>
      <vt:lpstr>cst_shinsei_ev_KOUSAKU_TAKASA__range2</vt:lpstr>
      <vt:lpstr>cst_shinsei_ev_KOUSAKU_TAKASA_BIKO</vt:lpstr>
      <vt:lpstr>cst_shinsei_ev_KOUSAKU_TAKASA_MAX</vt:lpstr>
      <vt:lpstr>cst_shinsei_ev_KOUSAKU882_YOUTO</vt:lpstr>
      <vt:lpstr>cst_shinsei_ev_SETUBI_GAIYOU</vt:lpstr>
      <vt:lpstr>cst_shinsei_ev_TIKUZOUMENSEKI_IGAI</vt:lpstr>
      <vt:lpstr>cst_shinsei_ev_TIKUZOUMENSEKI_SHINSEI</vt:lpstr>
      <vt:lpstr>cst_shinsei_ev_TIKUZOUMENSEKI_SHINSEI__minus</vt:lpstr>
      <vt:lpstr>cst_shinsei_ev_TIKUZOUMENSEKI_TOTAL</vt:lpstr>
      <vt:lpstr>cst_shinsei_EV_TYPE</vt:lpstr>
      <vt:lpstr>cst_shinsei_ev_WORKCOUNT_SHINSEI</vt:lpstr>
      <vt:lpstr>cst_shinsei_final_KAN_KANRYOU_YOTEI_DATE</vt:lpstr>
      <vt:lpstr>cst_shinsei_final_KOUJI_DAI_MOYOUGAE</vt:lpstr>
      <vt:lpstr>cst_shinsei_final_KOUJI_DAI_SYUUZEN</vt:lpstr>
      <vt:lpstr>cst_shinsei_final_KOUJI_ITEN</vt:lpstr>
      <vt:lpstr>cst_shinsei_final_KOUJI_KAITIKU</vt:lpstr>
      <vt:lpstr>cst_shinsei_final_KOUJI_SETUBISETTI</vt:lpstr>
      <vt:lpstr>cst_shinsei_final_KOUJI_SINTIKU</vt:lpstr>
      <vt:lpstr>cst_shinsei_final_KOUJI_ZOUTIKU</vt:lpstr>
      <vt:lpstr>cst_shinsei_FIRE_AGREE_DATE</vt:lpstr>
      <vt:lpstr>cst_shinsei_FIRE_AGREE_DATE__disp</vt:lpstr>
      <vt:lpstr>cst_shinsei_FIRE_AGREE_RECEIVE_DATE</vt:lpstr>
      <vt:lpstr>cst_shinsei_FIRE_NOTIFY_DATE</vt:lpstr>
      <vt:lpstr>cst_shinsei_FIRE_NOTIFY_DATE__disp</vt:lpstr>
      <vt:lpstr>cst_shinsei_FIRE_NOTIFY_DATE__text</vt:lpstr>
      <vt:lpstr>cst_shinsei_FIRE_NOTIFY_SUBMIT_KIND</vt:lpstr>
      <vt:lpstr>cst_shinsei_FIRE_NOTIFY_SUBMIT_KIND_date</vt:lpstr>
      <vt:lpstr>cst_shinsei_FIRE_NOTIFY_SUBMIT_KIND_text</vt:lpstr>
      <vt:lpstr>cst_shinsei_FIRE_SUBMIT_DATE</vt:lpstr>
      <vt:lpstr>cst_shinsei_FIRE_SUBMIT_DATE__disp</vt:lpstr>
      <vt:lpstr>cst_shinsei_FIRE_SUBMIT_DATE__text</vt:lpstr>
      <vt:lpstr>cst_shinsei_FIRE_SUBMIT_OFFICE_DAIHYOUSYA</vt:lpstr>
      <vt:lpstr>cst_shinsei_GENKAI_TAIRYOKU_FLAG</vt:lpstr>
      <vt:lpstr>cst_shinsei_HEALTH_NOTIFY_DATE</vt:lpstr>
      <vt:lpstr>cst_shinsei_HEALTH_NOTIFY_DATE__disp</vt:lpstr>
      <vt:lpstr>cst_shinsei_HEALTH_NOTIFY_DATE__text</vt:lpstr>
      <vt:lpstr>cst_shinsei_HEN_SUMI_KOUFU_DATE__txt</vt:lpstr>
      <vt:lpstr>cst_shinsei_HEN_SUMI_NO__bottom</vt:lpstr>
      <vt:lpstr>cst_shinsei_HEN_SUMI_NO__dsp</vt:lpstr>
      <vt:lpstr>cst_shinsei_HEN_SUMI_NO__top</vt:lpstr>
      <vt:lpstr>cst_shinsei_HIKIUKE_DATE</vt:lpstr>
      <vt:lpstr>cst_shinsei_HIKIUKE_DATE__change_disp</vt:lpstr>
      <vt:lpstr>cst_shinsei_HIKIUKE_DATE__cons_disp</vt:lpstr>
      <vt:lpstr>cst_shinsei_HIKIUKE_DATE__dd</vt:lpstr>
      <vt:lpstr>cst_shinsei_HIKIUKE_DATE__disp</vt:lpstr>
      <vt:lpstr>cst_shinsei_HIKIUKE_DATE__ee</vt:lpstr>
      <vt:lpstr>cst_shinsei_HIKIUKE_DATE__mm</vt:lpstr>
      <vt:lpstr>cst_shinsei_HIKIUKE_DATE__text</vt:lpstr>
      <vt:lpstr>cst_shinsei_HIKIUKE_KAKU_KOUFU_YOTEI_DATE</vt:lpstr>
      <vt:lpstr>cst_shinsei_HIKIUKE_numer1_word</vt:lpstr>
      <vt:lpstr>cst_shinsei_HIKIUKE_numer1_year</vt:lpstr>
      <vt:lpstr>cst_shinsei_HIKIUKE_numer3_word</vt:lpstr>
      <vt:lpstr>cst_shinsei_HIKIUKE_numer3_year</vt:lpstr>
      <vt:lpstr>cst_shinsei_HIKIUKE_TANTO</vt:lpstr>
      <vt:lpstr>cst_shinsei_HIKIUKE_TANTO_myouji</vt:lpstr>
      <vt:lpstr>cst_shinsei_HIKIUKE_TUUTI_DATE</vt:lpstr>
      <vt:lpstr>cst_shinsei_HIKIUKE_TUUTI_DATE__disp</vt:lpstr>
      <vt:lpstr>cst_shinsei_HIKIUKE_TUUTI_DATE__text</vt:lpstr>
      <vt:lpstr>cst_shinsei_HOUKOKU_DATE</vt:lpstr>
      <vt:lpstr>cst_shinsei_HOUKOKU_DATE__text</vt:lpstr>
      <vt:lpstr>cst_shinsei_imposs1_NOTIFY_CAUSE</vt:lpstr>
      <vt:lpstr>cst_shinsei_imposs1_NOTIFY_DATE</vt:lpstr>
      <vt:lpstr>cst_shinsei_imposs1_NOTIFY_LIMIT_DATE</vt:lpstr>
      <vt:lpstr>cst_shinsei_imposs1_NOTIFY_NOTE</vt:lpstr>
      <vt:lpstr>cst_shinsei_imposs1_NOTIFY_USER</vt:lpstr>
      <vt:lpstr>cst_shinsei_imposs1_REPORT_DATE</vt:lpstr>
      <vt:lpstr>cst_shinsei_imposs2_NOTIFY_CAUSE</vt:lpstr>
      <vt:lpstr>cst_shinsei_imposs2_NOTIFY_DATE</vt:lpstr>
      <vt:lpstr>cst_shinsei_imposs2_NOTIFY_LIMIT_DATE</vt:lpstr>
      <vt:lpstr>cst_shinsei_imposs2_NOTIFY_NOTE</vt:lpstr>
      <vt:lpstr>cst_shinsei_imposs2_NOTIFY_USER</vt:lpstr>
      <vt:lpstr>cst_shinsei_imposs2_REPORT_DATE</vt:lpstr>
      <vt:lpstr>cst_shinsei_imposs3_NOTIFY_CAUSE</vt:lpstr>
      <vt:lpstr>cst_shinsei_imposs3_NOTIFY_DATE</vt:lpstr>
      <vt:lpstr>cst_shinsei_imposs3_NOTIFY_LIMIT_DATE</vt:lpstr>
      <vt:lpstr>cst_shinsei_imposs3_NOTIFY_NOTE</vt:lpstr>
      <vt:lpstr>cst_shinsei_imposs3_NOTIFY_USER</vt:lpstr>
      <vt:lpstr>cst_shinsei_imposs3_REPORT_DATE</vt:lpstr>
      <vt:lpstr>cst_shinsei_imposs4_NOTIFY_CAUSE</vt:lpstr>
      <vt:lpstr>cst_shinsei_imposs4_NOTIFY_DATE</vt:lpstr>
      <vt:lpstr>cst_shinsei_imposs4_NOTIFY_LIMIT_DATE</vt:lpstr>
      <vt:lpstr>cst_shinsei_imposs4_NOTIFY_NOTE</vt:lpstr>
      <vt:lpstr>cst_shinsei_imposs4_NOTIFY_USER</vt:lpstr>
      <vt:lpstr>cst_shinsei_imposs4_REPORT_DATE</vt:lpstr>
      <vt:lpstr>cst_shinsei_imposs5_NOTIFY_CAUSE</vt:lpstr>
      <vt:lpstr>cst_shinsei_imposs5_NOTIFY_DATE</vt:lpstr>
      <vt:lpstr>cst_shinsei_imposs5_NOTIFY_LIMIT_DATE</vt:lpstr>
      <vt:lpstr>cst_shinsei_imposs5_NOTIFY_NOTE</vt:lpstr>
      <vt:lpstr>cst_shinsei_imposs5_NOTIFY_USER</vt:lpstr>
      <vt:lpstr>cst_shinsei_imposs5_REPORT_DATE</vt:lpstr>
      <vt:lpstr>cst_shinsei_imposs6_NOTIFY_CAUSE</vt:lpstr>
      <vt:lpstr>cst_shinsei_imposs6_NOTIFY_DATE</vt:lpstr>
      <vt:lpstr>cst_shinsei_imposs6_NOTIFY_LIMIT_DATE</vt:lpstr>
      <vt:lpstr>cst_shinsei_imposs6_NOTIFY_NOTE</vt:lpstr>
      <vt:lpstr>cst_shinsei_imposs6_NOTIFY_USER</vt:lpstr>
      <vt:lpstr>cst_shinsei_imposs6_REPORT_DATE</vt:lpstr>
      <vt:lpstr>cst_shinsei_impossx_NOTIFY_CAUSE</vt:lpstr>
      <vt:lpstr>cst_shinsei_impossx_NOTIFY_DATE</vt:lpstr>
      <vt:lpstr>cst_shinsei_impossx_NOTIFY_NOTE</vt:lpstr>
      <vt:lpstr>cst_shinsei_impossx_NOTIFY_USER</vt:lpstr>
      <vt:lpstr>cst_shinsei_impossx_REPORT_DATE</vt:lpstr>
      <vt:lpstr>cst_shinsei_INSPECTION_NO</vt:lpstr>
      <vt:lpstr>cst_shinsei_INSPECTION_TYPE</vt:lpstr>
      <vt:lpstr>cst_shinsei_INSPECTION_TYPE__check_sheet</vt:lpstr>
      <vt:lpstr>cst_shinsei_INSPECTION_TYPE_class2</vt:lpstr>
      <vt:lpstr>cst_shinsei_INSPECTION_TYPE_class3</vt:lpstr>
      <vt:lpstr>cst_shinsei_INSPECTION_TYPE_class4</vt:lpstr>
      <vt:lpstr>cst_shinsei_INTER_KOUKU</vt:lpstr>
      <vt:lpstr>cst_shinsei_intermediate_BILL_KOUJI_DAI_MOYOUGAE</vt:lpstr>
      <vt:lpstr>cst_shinsei_intermediate_BILL_KOUJI_DAI_SYUUZEN</vt:lpstr>
      <vt:lpstr>cst_shinsei_intermediate_BILL_KOUJI_ITEN</vt:lpstr>
      <vt:lpstr>cst_shinsei_intermediate_BILL_KOUJI_KAITIKU</vt:lpstr>
      <vt:lpstr>cst_shinsei_intermediate_BILL_KOUJI_SETUBISETTI</vt:lpstr>
      <vt:lpstr>cst_shinsei_intermediate_BILL_KOUJI_SINTIKU</vt:lpstr>
      <vt:lpstr>cst_shinsei_intermediate_BILL_KOUJI_ZOUTIKU</vt:lpstr>
      <vt:lpstr>cst_shinsei_intermediate_CYU1_KAISUU</vt:lpstr>
      <vt:lpstr>cst_shinsei_intermediate_CYU1_NITTEI</vt:lpstr>
      <vt:lpstr>cst_shinsei_intermediate_CYU1_NITTEI__disp</vt:lpstr>
      <vt:lpstr>cst_shinsei_intermediate_CYU1_NITTEI__text</vt:lpstr>
      <vt:lpstr>cst_shinsei_intermediate_CYU1_YUKA_MENSEKI</vt:lpstr>
      <vt:lpstr>cst_shinsei_intermediate_GOUKAKU_KENSAIN</vt:lpstr>
      <vt:lpstr>cst_shinsei_Intermediate_GOUKAKU_TOKKI_JIKOU</vt:lpstr>
      <vt:lpstr>cst_shinsei_intermediate_KENSA_DATE</vt:lpstr>
      <vt:lpstr>cst_shinsei_intermediate_KENSA_KEKKA</vt:lpstr>
      <vt:lpstr>cst_shinsei_intermediate_SPECIFIC_KOUTEI</vt:lpstr>
      <vt:lpstr>cst_shinsei_intermediate_SPECIFIC_KOUTEI_KAISUU</vt:lpstr>
      <vt:lpstr>cst_shinsei_intermediate_SPECIFIC_KOUTEI_select</vt:lpstr>
      <vt:lpstr>cst_shinsei_ISHOU_TANTO</vt:lpstr>
      <vt:lpstr>cst_shinsei_ISHOU_TANTO2</vt:lpstr>
      <vt:lpstr>cst_shinsei_ISHOU_TANTO3</vt:lpstr>
      <vt:lpstr>cst_shinsei_ISSUE_DATE</vt:lpstr>
      <vt:lpstr>cst_shinsei_ISSUE_DATE__disp</vt:lpstr>
      <vt:lpstr>cst_shinsei_ISSUE_DATE__text</vt:lpstr>
      <vt:lpstr>cst_shinsei_ISSUE_KOUFU_NAME</vt:lpstr>
      <vt:lpstr>cst_shinsei_ISSUE_KOUFU_NAME__code</vt:lpstr>
      <vt:lpstr>cst_shinsei_ISSUE_NO</vt:lpstr>
      <vt:lpstr>cst_shinsei_ISSUE_NO__disp</vt:lpstr>
      <vt:lpstr>cst_shinsei_ISSUE_NO_serial</vt:lpstr>
      <vt:lpstr>cst_shinsei_ISSUE_NO_serial_dsp</vt:lpstr>
      <vt:lpstr>cst_shinsei_ISSUE_NO_sign</vt:lpstr>
      <vt:lpstr>cst_shinsei_ISSUE_NOTIFY_DATE</vt:lpstr>
      <vt:lpstr>cst_shinsei_ISSUE_NOTIFY_DATE__disp</vt:lpstr>
      <vt:lpstr>cst_shinsei_ISSUETAB_MEMO</vt:lpstr>
      <vt:lpstr>cst_shinsei_judgehist_accept_kouzou1_TANTO_USER_ID</vt:lpstr>
      <vt:lpstr>cst_shinsei_judgehist_accept_kouzou2_TANTO_USER_ID</vt:lpstr>
      <vt:lpstr>cst_shinsei_KAKU_SUMI_KOUFU_DATE</vt:lpstr>
      <vt:lpstr>cst_shinsei_KAKU_SUMI_KOUFU_DATE__disp</vt:lpstr>
      <vt:lpstr>cst_shinsei_KAKU_SUMI_KOUFU_DATE__text</vt:lpstr>
      <vt:lpstr>cst_shinsei_KAKU_SUMI_KOUFU_DATE_hikiuke_houkoku__text</vt:lpstr>
      <vt:lpstr>cst_shinsei_KAKU_SUMI_KOUFU_NAME</vt:lpstr>
      <vt:lpstr>cst_shinsei_KAKU_SUMI_KOUFU_NAME__code</vt:lpstr>
      <vt:lpstr>cst_shinsei_KAKU_SUMI_NO</vt:lpstr>
      <vt:lpstr>cst_shinsei_KAKU_SUMI_NO__bottom</vt:lpstr>
      <vt:lpstr>cst_shinsei_KAKU_SUMI_NO__disp</vt:lpstr>
      <vt:lpstr>cst_shinsei_KAKU_SUMI_NO__top</vt:lpstr>
      <vt:lpstr>cst_shinsei_KAKU_SUMI_NO_hikiuke_houkoku__disp</vt:lpstr>
      <vt:lpstr>cst_shinsei_KAKUNINZUMI_HOUKOKU_GYOSEI_DATE</vt:lpstr>
      <vt:lpstr>cst_shinsei_KAKUNINZUMI_HOUKOKU_GYOSEI_DATE__dd</vt:lpstr>
      <vt:lpstr>cst_shinsei_KAKUNINZUMI_HOUKOKU_GYOSEI_DATE__ee</vt:lpstr>
      <vt:lpstr>cst_shinsei_KAKUNINZUMI_HOUKOKU_GYOSEI_DATE__mm</vt:lpstr>
      <vt:lpstr>cst_shinsei_KAKUNINZUMI_HOUKOKU_GYOSEI_NO</vt:lpstr>
      <vt:lpstr>cst_shinsei_KAKUNINZUMI_KENSAIN</vt:lpstr>
      <vt:lpstr>cst_shinsei_KAN_HOUKOKU_KENSA_DATE</vt:lpstr>
      <vt:lpstr>cst_shinsei_KAN_KENSA_KEKKA</vt:lpstr>
      <vt:lpstr>cst_shinsei_KAN_ZUMI_KENSAIN</vt:lpstr>
      <vt:lpstr>cst_shinsei_KAN_ZUMI_TOKKI_JIKOU</vt:lpstr>
      <vt:lpstr>cst_shinsei_KANRI__address</vt:lpstr>
      <vt:lpstr>cst_shinsei_KANRI_JIMU_NAME</vt:lpstr>
      <vt:lpstr>cst_shinsei_KANRI_JIMU_NO</vt:lpstr>
      <vt:lpstr>cst_shinsei_KANRI_JIMU_SIKAKU</vt:lpstr>
      <vt:lpstr>cst_shinsei_KANRI_JIMU_TOUROKU_KIKAN</vt:lpstr>
      <vt:lpstr>cst_shinsei_KANRI_KENSETUSI_NO</vt:lpstr>
      <vt:lpstr>cst_shinsei_KANRI_NAME</vt:lpstr>
      <vt:lpstr>cst_shinsei_KANRI_POST_CODE</vt:lpstr>
      <vt:lpstr>cst_shinsei_KANRI_SIKAKU</vt:lpstr>
      <vt:lpstr>cst_shinsei_KANRI_TEL</vt:lpstr>
      <vt:lpstr>cst_shinsei_KANRI_TOUROKU_KIKAN</vt:lpstr>
      <vt:lpstr>cst_shinsei_kanri04__address</vt:lpstr>
      <vt:lpstr>cst_shinsei_kanri04_JIMU_NAME</vt:lpstr>
      <vt:lpstr>cst_shinsei_kanri04_JIMU_NO</vt:lpstr>
      <vt:lpstr>cst_shinsei_kanri04_JIMU_SIKAKU</vt:lpstr>
      <vt:lpstr>cst_shinsei_kanri04_JIMU_TOUROKU_KIKAN</vt:lpstr>
      <vt:lpstr>cst_shinsei_kanri04_KENSETUSI_NO</vt:lpstr>
      <vt:lpstr>cst_shinsei_kanri04_NAME</vt:lpstr>
      <vt:lpstr>cst_shinsei_kanri04_POST_CODE</vt:lpstr>
      <vt:lpstr>cst_shinsei_kanri04_SIKAKU</vt:lpstr>
      <vt:lpstr>cst_shinsei_kanri04_TEL</vt:lpstr>
      <vt:lpstr>cst_shinsei_kanri04_TOUROKU_KIKAN</vt:lpstr>
      <vt:lpstr>cst_shinsei_kanri05__address</vt:lpstr>
      <vt:lpstr>cst_shinsei_kanri05_JIMU_NAME</vt:lpstr>
      <vt:lpstr>cst_shinsei_kanri05_JIMU_NO</vt:lpstr>
      <vt:lpstr>cst_shinsei_kanri05_JIMU_SIKAKU</vt:lpstr>
      <vt:lpstr>cst_shinsei_kanri05_JIMU_TOUROKU_KIKAN</vt:lpstr>
      <vt:lpstr>cst_shinsei_kanri05_KENSETUSI_NO</vt:lpstr>
      <vt:lpstr>cst_shinsei_kanri05_NAME</vt:lpstr>
      <vt:lpstr>cst_shinsei_kanri05_POST_CODE</vt:lpstr>
      <vt:lpstr>cst_shinsei_kanri05_SIKAKU</vt:lpstr>
      <vt:lpstr>cst_shinsei_kanri05_TEL</vt:lpstr>
      <vt:lpstr>cst_shinsei_kanri05_TOUROKU_KIKAN</vt:lpstr>
      <vt:lpstr>cst_shinsei_kanri06__address</vt:lpstr>
      <vt:lpstr>cst_shinsei_kanri06_JIMU_NAME</vt:lpstr>
      <vt:lpstr>cst_shinsei_kanri06_JIMU_NO</vt:lpstr>
      <vt:lpstr>cst_shinsei_kanri06_JIMU_SIKAKU</vt:lpstr>
      <vt:lpstr>cst_shinsei_kanri06_JIMU_TOUROKU_KIKAN</vt:lpstr>
      <vt:lpstr>cst_shinsei_kanri06_KENSETUSI_NO</vt:lpstr>
      <vt:lpstr>cst_shinsei_kanri06_NAME</vt:lpstr>
      <vt:lpstr>cst_shinsei_kanri06_POST_CODE</vt:lpstr>
      <vt:lpstr>cst_shinsei_kanri06_SIKAKU</vt:lpstr>
      <vt:lpstr>cst_shinsei_kanri06_TEL</vt:lpstr>
      <vt:lpstr>cst_shinsei_kanri06_TOUROKU_KIKAN</vt:lpstr>
      <vt:lpstr>cst_shinsei_kanri07__address</vt:lpstr>
      <vt:lpstr>cst_shinsei_kanri07_JIMU_NAME</vt:lpstr>
      <vt:lpstr>cst_shinsei_kanri07_JIMU_NO</vt:lpstr>
      <vt:lpstr>cst_shinsei_kanri07_JIMU_SIKAKU</vt:lpstr>
      <vt:lpstr>cst_shinsei_kanri07_JIMU_TOUROKU_KIKAN</vt:lpstr>
      <vt:lpstr>cst_shinsei_kanri07_KENSETUSI_NO</vt:lpstr>
      <vt:lpstr>cst_shinsei_kanri07_NAME</vt:lpstr>
      <vt:lpstr>cst_shinsei_kanri07_POST_CODE</vt:lpstr>
      <vt:lpstr>cst_shinsei_kanri07_SIKAKU</vt:lpstr>
      <vt:lpstr>cst_shinsei_kanri07_TEL</vt:lpstr>
      <vt:lpstr>cst_shinsei_kanri07_TOUROKU_KIKAN</vt:lpstr>
      <vt:lpstr>cst_shinsei_kanri08__address</vt:lpstr>
      <vt:lpstr>cst_shinsei_kanri08_JIMU_NAME</vt:lpstr>
      <vt:lpstr>cst_shinsei_kanri08_JIMU_NO</vt:lpstr>
      <vt:lpstr>cst_shinsei_kanri08_JIMU_SIKAKU</vt:lpstr>
      <vt:lpstr>cst_shinsei_kanri08_JIMU_TOUROKU_KIKAN</vt:lpstr>
      <vt:lpstr>cst_shinsei_kanri08_KENSETUSI_NO</vt:lpstr>
      <vt:lpstr>cst_shinsei_kanri08_NAME</vt:lpstr>
      <vt:lpstr>cst_shinsei_kanri08_POST_CODE</vt:lpstr>
      <vt:lpstr>cst_shinsei_kanri08_SIKAKU</vt:lpstr>
      <vt:lpstr>cst_shinsei_kanri08_TEL</vt:lpstr>
      <vt:lpstr>cst_shinsei_kanri08_TOUROKU_KIKAN</vt:lpstr>
      <vt:lpstr>cst_shinsei_kanri09__address</vt:lpstr>
      <vt:lpstr>cst_shinsei_kanri09_JIMU_NAME</vt:lpstr>
      <vt:lpstr>cst_shinsei_kanri09_JIMU_NO</vt:lpstr>
      <vt:lpstr>cst_shinsei_kanri09_JIMU_SIKAKU</vt:lpstr>
      <vt:lpstr>cst_shinsei_kanri09_JIMU_TOUROKU_KIKAN</vt:lpstr>
      <vt:lpstr>cst_shinsei_kanri09_KENSETUSI_NO</vt:lpstr>
      <vt:lpstr>cst_shinsei_kanri09_NAME</vt:lpstr>
      <vt:lpstr>cst_shinsei_kanri09_POST_CODE</vt:lpstr>
      <vt:lpstr>cst_shinsei_kanri09_SIKAKU</vt:lpstr>
      <vt:lpstr>cst_shinsei_kanri09_TEL</vt:lpstr>
      <vt:lpstr>cst_shinsei_kanri09_TOUROKU_KIKAN</vt:lpstr>
      <vt:lpstr>cst_shinsei_KANRI1__address</vt:lpstr>
      <vt:lpstr>cst_shinsei_KANRI1_JIMU_NAME</vt:lpstr>
      <vt:lpstr>cst_shinsei_KANRI1_JIMU_NO</vt:lpstr>
      <vt:lpstr>cst_shinsei_KANRI1_JIMU_SIKAKU</vt:lpstr>
      <vt:lpstr>cst_shinsei_KANRI1_JIMU_TOUROKU_KIKAN</vt:lpstr>
      <vt:lpstr>cst_shinsei_KANRI1_KENSETUSI_NO</vt:lpstr>
      <vt:lpstr>cst_shinsei_KANRI1_NAME</vt:lpstr>
      <vt:lpstr>cst_shinsei_KANRI1_POST_CODE</vt:lpstr>
      <vt:lpstr>cst_shinsei_KANRI1_SIKAKU</vt:lpstr>
      <vt:lpstr>cst_shinsei_KANRI1_TEL</vt:lpstr>
      <vt:lpstr>cst_shinsei_KANRI1_TOUROKU_KIKAN</vt:lpstr>
      <vt:lpstr>cst_shinsei_kanri10__address</vt:lpstr>
      <vt:lpstr>cst_shinsei_kanri10_JIMU_NAME</vt:lpstr>
      <vt:lpstr>cst_shinsei_kanri10_JIMU_NO</vt:lpstr>
      <vt:lpstr>cst_shinsei_kanri10_JIMU_SIKAKU</vt:lpstr>
      <vt:lpstr>cst_shinsei_kanri10_JIMU_TOUROKU_KIKAN</vt:lpstr>
      <vt:lpstr>cst_shinsei_kanri10_KENSETUSI_NO</vt:lpstr>
      <vt:lpstr>cst_shinsei_kanri10_NAME</vt:lpstr>
      <vt:lpstr>cst_shinsei_kanri10_POST_CODE</vt:lpstr>
      <vt:lpstr>cst_shinsei_kanri10_SIKAKU</vt:lpstr>
      <vt:lpstr>cst_shinsei_kanri10_TEL</vt:lpstr>
      <vt:lpstr>cst_shinsei_kanri10_TOUROKU_KIKAN</vt:lpstr>
      <vt:lpstr>cst_shinsei_kanri11__address</vt:lpstr>
      <vt:lpstr>cst_shinsei_kanri11_JIMU_NAME</vt:lpstr>
      <vt:lpstr>cst_shinsei_kanri11_JIMU_NO</vt:lpstr>
      <vt:lpstr>cst_shinsei_kanri11_JIMU_SIKAKU</vt:lpstr>
      <vt:lpstr>cst_shinsei_kanri11_JIMU_TOUROKU_KIKAN</vt:lpstr>
      <vt:lpstr>cst_shinsei_kanri11_KENSETUSI_NO</vt:lpstr>
      <vt:lpstr>cst_shinsei_kanri11_NAME</vt:lpstr>
      <vt:lpstr>cst_shinsei_kanri11_POST_CODE</vt:lpstr>
      <vt:lpstr>cst_shinsei_kanri11_SIKAKU</vt:lpstr>
      <vt:lpstr>cst_shinsei_kanri11_TEL</vt:lpstr>
      <vt:lpstr>cst_shinsei_kanri11_TOUROKU_KIKAN</vt:lpstr>
      <vt:lpstr>cst_shinsei_KANRI2__address</vt:lpstr>
      <vt:lpstr>cst_shinsei_KANRI2_JIMU_NAME</vt:lpstr>
      <vt:lpstr>cst_shinsei_KANRI2_JIMU_NO</vt:lpstr>
      <vt:lpstr>cst_shinsei_KANRI2_JIMU_SIKAKU</vt:lpstr>
      <vt:lpstr>cst_shinsei_KANRI2_JIMU_TOUROKU_KIKAN</vt:lpstr>
      <vt:lpstr>cst_shinsei_KANRI2_KENSETUSI_NO</vt:lpstr>
      <vt:lpstr>cst_shinsei_KANRI2_NAME</vt:lpstr>
      <vt:lpstr>cst_shinsei_KANRI2_POST_CODE</vt:lpstr>
      <vt:lpstr>cst_shinsei_KANRI2_SIKAKU</vt:lpstr>
      <vt:lpstr>cst_shinsei_KANRI2_TEL</vt:lpstr>
      <vt:lpstr>cst_shinsei_KANRI2_TOUROKU_KIKAN</vt:lpstr>
      <vt:lpstr>cst_shinsei_KANRI3__address</vt:lpstr>
      <vt:lpstr>cst_shinsei_KANRI3_JIMU_NAME</vt:lpstr>
      <vt:lpstr>cst_shinsei_KANRI3_JIMU_NO</vt:lpstr>
      <vt:lpstr>cst_shinsei_KANRI3_JIMU_SIKAKU</vt:lpstr>
      <vt:lpstr>cst_shinsei_KANRI3_JIMU_TOUROKU_KIKAN</vt:lpstr>
      <vt:lpstr>cst_shinsei_KANRI3_KENSETUSI_NO</vt:lpstr>
      <vt:lpstr>cst_shinsei_KANRI3_NAME</vt:lpstr>
      <vt:lpstr>cst_shinsei_KANRI3_POST_CODE</vt:lpstr>
      <vt:lpstr>cst_shinsei_KANRI3_SIKAKU</vt:lpstr>
      <vt:lpstr>cst_shinsei_KANRI3_TEL</vt:lpstr>
      <vt:lpstr>cst_shinsei_KANRI3_TOUROKU_KIKAN</vt:lpstr>
      <vt:lpstr>cst_shinsei_KANRYOU_KEIKA1_GOUKAKU_NO</vt:lpstr>
      <vt:lpstr>cst_shinsei_KANRYOU_KEIKA1_GOUKAKU_NO_disp</vt:lpstr>
      <vt:lpstr>cst_shinsei_KANRYOU_KEIKA1_KOUFU_DATE</vt:lpstr>
      <vt:lpstr>cst_shinsei_KANRYOU_KEIKA1_KOUTEI</vt:lpstr>
      <vt:lpstr>cst_shinsei_KENSA_DATE</vt:lpstr>
      <vt:lpstr>cst_shinsei_KENSA_DATE__add_disp</vt:lpstr>
      <vt:lpstr>cst_shinsei_KENSA_KEKKA</vt:lpstr>
      <vt:lpstr>cst_shinsei_KENSA_RESULT</vt:lpstr>
      <vt:lpstr>cst_shinsei_KENSA_YOTEI_DATE</vt:lpstr>
      <vt:lpstr>cst_shinsei_KENSA_YOTEI_DATE__hikiuke</vt:lpstr>
      <vt:lpstr>cst_shinsei_KENSAIN</vt:lpstr>
      <vt:lpstr>cst_shinsei_kouji</vt:lpstr>
      <vt:lpstr>cst_shinsei_KOUJI_KANRYOU_DATE</vt:lpstr>
      <vt:lpstr>cst_shinsei_KOUJI_KANRYOU_DATE__common</vt:lpstr>
      <vt:lpstr>cst_shinsei_KOUJI_KANRYOU_DATE__common__disp</vt:lpstr>
      <vt:lpstr>cst_shinsei_KOUJI_KANRYOU_DATE__common__text</vt:lpstr>
      <vt:lpstr>cst_shinsei_KOUJI_YUKA_MENSEKI</vt:lpstr>
      <vt:lpstr>cst_shinsei_KOUZOU_ROUTE2_KENSA_USER_ID</vt:lpstr>
      <vt:lpstr>cst_shinsei_KOUZOU_ROUTE2_KENSA_USER_ID_SUMISHO</vt:lpstr>
      <vt:lpstr>cst_shinsei_KOUZOU_TANTO</vt:lpstr>
      <vt:lpstr>cst_shinsei_KOUZOU_TANTO1</vt:lpstr>
      <vt:lpstr>cst_shinsei_KOUZOU_TANTO2</vt:lpstr>
      <vt:lpstr>cst_shinsei_KOUZOU_TANTO3</vt:lpstr>
      <vt:lpstr>cst_shinsei_ng1_NOTIFY_CAUSE</vt:lpstr>
      <vt:lpstr>cst_shinsei_ng1_NOTIFY_DATE</vt:lpstr>
      <vt:lpstr>cst_shinsei_ng1_NOTIFY_KENSA_DATE</vt:lpstr>
      <vt:lpstr>cst_shinsei_ng1_NOTIFY_LIMIT_DATE</vt:lpstr>
      <vt:lpstr>cst_shinsei_ng1_NOTIFY_NOTE</vt:lpstr>
      <vt:lpstr>cst_shinsei_ng1_NOTIFY_USER</vt:lpstr>
      <vt:lpstr>cst_shinsei_ng1_REPORT_DATE</vt:lpstr>
      <vt:lpstr>cst_shinsei_ng2_NOTIFY_CAUSE</vt:lpstr>
      <vt:lpstr>cst_shinsei_ng2_NOTIFY_DATE</vt:lpstr>
      <vt:lpstr>cst_shinsei_ng2_NOTIFY_KENSA_DATE</vt:lpstr>
      <vt:lpstr>cst_shinsei_ng2_NOTIFY_LIMIT_DATE</vt:lpstr>
      <vt:lpstr>cst_shinsei_ng2_NOTIFY_NOTE</vt:lpstr>
      <vt:lpstr>cst_shinsei_ng2_NOTIFY_USER</vt:lpstr>
      <vt:lpstr>cst_shinsei_ng2_REPORT_DATE</vt:lpstr>
      <vt:lpstr>cst_shinsei_ng3_NOTIFY_CAUSE</vt:lpstr>
      <vt:lpstr>cst_shinsei_ng3_NOTIFY_DATE</vt:lpstr>
      <vt:lpstr>cst_shinsei_ng3_NOTIFY_KENSA_DATE</vt:lpstr>
      <vt:lpstr>cst_shinsei_ng3_NOTIFY_LIMIT_DATE</vt:lpstr>
      <vt:lpstr>cst_shinsei_ng3_NOTIFY_NOTE</vt:lpstr>
      <vt:lpstr>cst_shinsei_ng3_NOTIFY_USER</vt:lpstr>
      <vt:lpstr>cst_shinsei_ng3_REPORT_DATE</vt:lpstr>
      <vt:lpstr>cst_shinsei_ngx_CAUSE</vt:lpstr>
      <vt:lpstr>cst_shinsei_ngx_NOTIFY_CAUSE</vt:lpstr>
      <vt:lpstr>cst_shinsei_ngx_NOTIFY_DATE</vt:lpstr>
      <vt:lpstr>cst_shinsei_ngx_NOTIFY_KENSA_DATE</vt:lpstr>
      <vt:lpstr>cst_shinsei_ngx_NOTIFY_NOTE</vt:lpstr>
      <vt:lpstr>cst_shinsei_ngx_NOTIFY_USER</vt:lpstr>
      <vt:lpstr>cst_shinsei_ngx_REPORT_DATE</vt:lpstr>
      <vt:lpstr>cst_shinsei_owner1__address</vt:lpstr>
      <vt:lpstr>cst_shinsei_owner1_CORP</vt:lpstr>
      <vt:lpstr>cst_shinsei_owner1_NAME</vt:lpstr>
      <vt:lpstr>cst_shinsei_owner1_NAME_KANA</vt:lpstr>
      <vt:lpstr>cst_shinsei_owner1_POST</vt:lpstr>
      <vt:lpstr>cst_shinsei_owner1_TEL</vt:lpstr>
      <vt:lpstr>cst_shinsei_owner1_ZIP</vt:lpstr>
      <vt:lpstr>cst_shinsei_owner2__address</vt:lpstr>
      <vt:lpstr>cst_shinsei_owner2_CORP</vt:lpstr>
      <vt:lpstr>cst_shinsei_owner2_NAME</vt:lpstr>
      <vt:lpstr>cst_shinsei_owner2_NAME_KANA</vt:lpstr>
      <vt:lpstr>cst_shinsei_owner2_POST</vt:lpstr>
      <vt:lpstr>cst_shinsei_owner2_TEL</vt:lpstr>
      <vt:lpstr>cst_shinsei_owner2_ZIP</vt:lpstr>
      <vt:lpstr>cst_shinsei_owner3__address</vt:lpstr>
      <vt:lpstr>cst_shinsei_owner3_CORP</vt:lpstr>
      <vt:lpstr>cst_shinsei_owner3_NAME</vt:lpstr>
      <vt:lpstr>cst_shinsei_owner3_NAME_KANA</vt:lpstr>
      <vt:lpstr>cst_shinsei_owner3_POST</vt:lpstr>
      <vt:lpstr>cst_shinsei_owner3_TEL</vt:lpstr>
      <vt:lpstr>cst_shinsei_owner3_ZIP</vt:lpstr>
      <vt:lpstr>cst_shinsei_owner4__address</vt:lpstr>
      <vt:lpstr>cst_shinsei_owner4_CORP</vt:lpstr>
      <vt:lpstr>cst_shinsei_owner4_NAME</vt:lpstr>
      <vt:lpstr>cst_shinsei_owner4_NAME_KANA</vt:lpstr>
      <vt:lpstr>cst_shinsei_owner4_POST</vt:lpstr>
      <vt:lpstr>cst_shinsei_owner4_TEL</vt:lpstr>
      <vt:lpstr>cst_shinsei_owner4_ZIP</vt:lpstr>
      <vt:lpstr>cst_shinsei_owner5__address</vt:lpstr>
      <vt:lpstr>cst_shinsei_owner5_CORP</vt:lpstr>
      <vt:lpstr>cst_shinsei_owner5_NAME</vt:lpstr>
      <vt:lpstr>cst_shinsei_owner5_NAME_KANA</vt:lpstr>
      <vt:lpstr>cst_shinsei_owner5_POST</vt:lpstr>
      <vt:lpstr>cst_shinsei_owner5_TEL</vt:lpstr>
      <vt:lpstr>cst_shinsei_owner5_ZIP</vt:lpstr>
      <vt:lpstr>cst_shinsei_owner6__address</vt:lpstr>
      <vt:lpstr>cst_shinsei_owner6_CORP</vt:lpstr>
      <vt:lpstr>cst_shinsei_owner6_NAME</vt:lpstr>
      <vt:lpstr>cst_shinsei_owner6_NAME_KANA</vt:lpstr>
      <vt:lpstr>cst_shinsei_owner6_POST</vt:lpstr>
      <vt:lpstr>cst_shinsei_owner6_TEL</vt:lpstr>
      <vt:lpstr>cst_shinsei_owner6_ZIP</vt:lpstr>
      <vt:lpstr>cst_shinsei_owner7__address</vt:lpstr>
      <vt:lpstr>cst_shinsei_owner7_CORP</vt:lpstr>
      <vt:lpstr>cst_shinsei_owner7_NAME</vt:lpstr>
      <vt:lpstr>cst_shinsei_owner7_NAME_KANA</vt:lpstr>
      <vt:lpstr>cst_shinsei_owner7_POST</vt:lpstr>
      <vt:lpstr>cst_shinsei_owner7_TEL</vt:lpstr>
      <vt:lpstr>cst_shinsei_owner7_ZIP</vt:lpstr>
      <vt:lpstr>cst_shinsei_owner8__address</vt:lpstr>
      <vt:lpstr>cst_shinsei_owner8_CORP</vt:lpstr>
      <vt:lpstr>cst_shinsei_owner8_NAME</vt:lpstr>
      <vt:lpstr>cst_shinsei_owner8_NAME_KANA</vt:lpstr>
      <vt:lpstr>cst_shinsei_owner8_POST</vt:lpstr>
      <vt:lpstr>cst_shinsei_owner8_TEL</vt:lpstr>
      <vt:lpstr>cst_shinsei_owner8_ZIP</vt:lpstr>
      <vt:lpstr>cst_shinsei_owner9__address</vt:lpstr>
      <vt:lpstr>cst_shinsei_owner9_CORP</vt:lpstr>
      <vt:lpstr>cst_shinsei_owner9_NAME</vt:lpstr>
      <vt:lpstr>cst_shinsei_owner9_NAME_KANA</vt:lpstr>
      <vt:lpstr>cst_shinsei_owner9_POST</vt:lpstr>
      <vt:lpstr>cst_shinsei_owner9_TEL</vt:lpstr>
      <vt:lpstr>cst_shinsei_owner9_ZIP</vt:lpstr>
      <vt:lpstr>cst_shinsei_PREF_OFFICE_FLAG</vt:lpstr>
      <vt:lpstr>cst_shinsei_PROVO_DATE</vt:lpstr>
      <vt:lpstr>cst_shinsei_PROVO_NO</vt:lpstr>
      <vt:lpstr>cst_shinsei_PROVO_NO__dsp</vt:lpstr>
      <vt:lpstr>cst_shinsei_PROVO_TANTO_USER_ID</vt:lpstr>
      <vt:lpstr>cst_shinsei_REPORT_DEST_DEPART_NAME</vt:lpstr>
      <vt:lpstr>cst_shinsei_REPORT_DEST_DEPART_NAME__decision</vt:lpstr>
      <vt:lpstr>cst_shinsei_REPORT_DEST_FAX</vt:lpstr>
      <vt:lpstr>cst_shinsei_REPORT_DEST_FAX__decision</vt:lpstr>
      <vt:lpstr>cst_shinsei_REPORT_DEST_GYOUSEI_NAME</vt:lpstr>
      <vt:lpstr>cst_shinsei_REPORT_DEST_GYOUSEI_NAME__decision</vt:lpstr>
      <vt:lpstr>cst_shinsei_REPORT_DEST_GYOUSEI_NAME__dsp</vt:lpstr>
      <vt:lpstr>cst_shinsei_REPORT_DEST_GYOUSEI_NAME_kakunin</vt:lpstr>
      <vt:lpstr>cst_shinsei_REPORT_DEST_KIND</vt:lpstr>
      <vt:lpstr>cst_shinsei_REPORT_DEST_NAME</vt:lpstr>
      <vt:lpstr>cst_shinsei_REPORT_DEST_NAME__decision</vt:lpstr>
      <vt:lpstr>cst_shinsei_REPORT_DEST_SYUJI_NAME</vt:lpstr>
      <vt:lpstr>cst_shinsei_REPORT_DEST_SYUJI_NAME__decision</vt:lpstr>
      <vt:lpstr>cst_shinsei_REPORT_DEST_SYUJI_NAME__dsp</vt:lpstr>
      <vt:lpstr>cst_shinsei_SEKKEI__address</vt:lpstr>
      <vt:lpstr>cst_shinsei_SEKKEI_JIMU_NAME</vt:lpstr>
      <vt:lpstr>cst_shinsei_SEKKEI_JIMU_NO</vt:lpstr>
      <vt:lpstr>cst_shinsei_SEKKEI_JIMU_SIKAKU</vt:lpstr>
      <vt:lpstr>cst_shinsei_SEKKEI_JIMU_TOUROKU_KIKAN</vt:lpstr>
      <vt:lpstr>cst_shinsei_SEKKEI_KENSETUSI_NO</vt:lpstr>
      <vt:lpstr>cst_shinsei_SEKKEI_NAME</vt:lpstr>
      <vt:lpstr>cst_shinsei_SEKKEI_POST_CODE</vt:lpstr>
      <vt:lpstr>cst_shinsei_SEKKEI_SIKAKU</vt:lpstr>
      <vt:lpstr>cst_shinsei_SEKKEI_TEL</vt:lpstr>
      <vt:lpstr>cst_shinsei_SEKKEI_TOUROKU_KIKAN</vt:lpstr>
      <vt:lpstr>cst_shinsei_sekkei04__address</vt:lpstr>
      <vt:lpstr>cst_shinsei_sekkei04_JIMU_NAME</vt:lpstr>
      <vt:lpstr>cst_shinsei_sekkei04_JIMU_NO</vt:lpstr>
      <vt:lpstr>cst_shinsei_sekkei04_JIMU_SIKAKU</vt:lpstr>
      <vt:lpstr>cst_shinsei_sekkei04_JIMU_TOUROKU_KIKAN</vt:lpstr>
      <vt:lpstr>cst_shinsei_sekkei04_KENSETUSI_NO</vt:lpstr>
      <vt:lpstr>cst_shinsei_sekkei04_NAME</vt:lpstr>
      <vt:lpstr>cst_shinsei_sekkei04_POST_CODE</vt:lpstr>
      <vt:lpstr>cst_shinsei_sekkei04_SIKAKU</vt:lpstr>
      <vt:lpstr>cst_shinsei_sekkei04_TEL</vt:lpstr>
      <vt:lpstr>cst_shinsei_sekkei04_TOUROKU_KIKAN</vt:lpstr>
      <vt:lpstr>cst_shinsei_sekkei05__address</vt:lpstr>
      <vt:lpstr>cst_shinsei_sekkei05_JIMU_NAME</vt:lpstr>
      <vt:lpstr>cst_shinsei_sekkei05_JIMU_NO</vt:lpstr>
      <vt:lpstr>cst_shinsei_sekkei05_JIMU_SIKAKU</vt:lpstr>
      <vt:lpstr>cst_shinsei_sekkei05_JIMU_TOUROKU_KIKAN</vt:lpstr>
      <vt:lpstr>cst_shinsei_sekkei05_KENSETUSI_NO</vt:lpstr>
      <vt:lpstr>cst_shinsei_sekkei05_NAME</vt:lpstr>
      <vt:lpstr>cst_shinsei_sekkei05_POST_CODE</vt:lpstr>
      <vt:lpstr>cst_shinsei_sekkei05_SIKAKU</vt:lpstr>
      <vt:lpstr>cst_shinsei_sekkei05_TEL</vt:lpstr>
      <vt:lpstr>cst_shinsei_sekkei05_TOUROKU_KIKAN</vt:lpstr>
      <vt:lpstr>cst_shinsei_sekkei06__address</vt:lpstr>
      <vt:lpstr>cst_shinsei_sekkei06_JIMU_NAME</vt:lpstr>
      <vt:lpstr>cst_shinsei_sekkei06_JIMU_NO</vt:lpstr>
      <vt:lpstr>cst_shinsei_sekkei06_JIMU_SIKAKU</vt:lpstr>
      <vt:lpstr>cst_shinsei_sekkei06_JIMU_TOUROKU_KIKAN</vt:lpstr>
      <vt:lpstr>cst_shinsei_sekkei06_KENSETUSI_NO</vt:lpstr>
      <vt:lpstr>cst_shinsei_sekkei06_NAME</vt:lpstr>
      <vt:lpstr>cst_shinsei_sekkei06_POST_CODE</vt:lpstr>
      <vt:lpstr>cst_shinsei_sekkei06_SIKAKU</vt:lpstr>
      <vt:lpstr>cst_shinsei_sekkei06_TEL</vt:lpstr>
      <vt:lpstr>cst_shinsei_sekkei06_TOUROKU_KIKAN</vt:lpstr>
      <vt:lpstr>cst_shinsei_sekkei07__address</vt:lpstr>
      <vt:lpstr>cst_shinsei_sekkei07_JIMU_NAME</vt:lpstr>
      <vt:lpstr>cst_shinsei_sekkei07_JIMU_NO</vt:lpstr>
      <vt:lpstr>cst_shinsei_sekkei07_JIMU_SIKAKU</vt:lpstr>
      <vt:lpstr>cst_shinsei_sekkei07_JIMU_TOUROKU_KIKAN</vt:lpstr>
      <vt:lpstr>cst_shinsei_sekkei07_KENSETUSI_NO</vt:lpstr>
      <vt:lpstr>cst_shinsei_sekkei07_NAME</vt:lpstr>
      <vt:lpstr>cst_shinsei_sekkei07_POST_CODE</vt:lpstr>
      <vt:lpstr>cst_shinsei_sekkei07_SIKAKU</vt:lpstr>
      <vt:lpstr>cst_shinsei_sekkei07_TEL</vt:lpstr>
      <vt:lpstr>cst_shinsei_sekkei07_TOUROKU_KIKAN</vt:lpstr>
      <vt:lpstr>cst_shinsei_sekkei08__address</vt:lpstr>
      <vt:lpstr>cst_shinsei_sekkei08_JIMU_NAME</vt:lpstr>
      <vt:lpstr>cst_shinsei_sekkei08_JIMU_NO</vt:lpstr>
      <vt:lpstr>cst_shinsei_sekkei08_JIMU_SIKAKU</vt:lpstr>
      <vt:lpstr>cst_shinsei_sekkei08_JIMU_TOUROKU_KIKAN</vt:lpstr>
      <vt:lpstr>cst_shinsei_sekkei08_KENSETUSI_NO</vt:lpstr>
      <vt:lpstr>cst_shinsei_sekkei08_NAME</vt:lpstr>
      <vt:lpstr>cst_shinsei_sekkei08_POST_CODE</vt:lpstr>
      <vt:lpstr>cst_shinsei_sekkei08_SIKAKU</vt:lpstr>
      <vt:lpstr>cst_shinsei_sekkei08_TEL</vt:lpstr>
      <vt:lpstr>cst_shinsei_sekkei08_TOUROKU_KIKAN</vt:lpstr>
      <vt:lpstr>cst_shinsei_sekkei09__address</vt:lpstr>
      <vt:lpstr>cst_shinsei_sekkei09_JIMU_NAME</vt:lpstr>
      <vt:lpstr>cst_shinsei_sekkei09_JIMU_NO</vt:lpstr>
      <vt:lpstr>cst_shinsei_sekkei09_JIMU_SIKAKU</vt:lpstr>
      <vt:lpstr>cst_shinsei_sekkei09_JIMU_TOUROKU_KIKAN</vt:lpstr>
      <vt:lpstr>cst_shinsei_sekkei09_KENSETUSI_NO</vt:lpstr>
      <vt:lpstr>cst_shinsei_sekkei09_NAME</vt:lpstr>
      <vt:lpstr>cst_shinsei_sekkei09_POST_CODE</vt:lpstr>
      <vt:lpstr>cst_shinsei_sekkei09_SIKAKU</vt:lpstr>
      <vt:lpstr>cst_shinsei_sekkei09_TEL</vt:lpstr>
      <vt:lpstr>cst_shinsei_sekkei09_TOUROKU_KIKAN</vt:lpstr>
      <vt:lpstr>cst_shinsei_SEKKEI1__address</vt:lpstr>
      <vt:lpstr>cst_shinsei_SEKKEI1_JIMU_NAME</vt:lpstr>
      <vt:lpstr>cst_shinsei_SEKKEI1_JIMU_NO</vt:lpstr>
      <vt:lpstr>cst_shinsei_SEKKEI1_JIMU_SIKAKU</vt:lpstr>
      <vt:lpstr>cst_shinsei_SEKKEI1_JIMU_TOUROKU_KIKAN</vt:lpstr>
      <vt:lpstr>cst_shinsei_SEKKEI1_KENSETUSI_NO</vt:lpstr>
      <vt:lpstr>cst_shinsei_SEKKEI1_NAME</vt:lpstr>
      <vt:lpstr>cst_shinsei_SEKKEI1_POST_CODE</vt:lpstr>
      <vt:lpstr>cst_shinsei_SEKKEI1_SIKAKU</vt:lpstr>
      <vt:lpstr>cst_shinsei_SEKKEI1_TEL</vt:lpstr>
      <vt:lpstr>cst_shinsei_SEKKEI1_TOUROKU_KIKAN</vt:lpstr>
      <vt:lpstr>cst_shinsei_sekkei10__address</vt:lpstr>
      <vt:lpstr>cst_shinsei_sekkei10_JIMU_NAME</vt:lpstr>
      <vt:lpstr>cst_shinsei_sekkei10_JIMU_NO</vt:lpstr>
      <vt:lpstr>cst_shinsei_sekkei10_JIMU_SIKAKU</vt:lpstr>
      <vt:lpstr>cst_shinsei_sekkei10_JIMU_TOUROKU_KIKAN</vt:lpstr>
      <vt:lpstr>cst_shinsei_sekkei10_KENSETUSI_NO</vt:lpstr>
      <vt:lpstr>cst_shinsei_sekkei10_NAME</vt:lpstr>
      <vt:lpstr>cst_shinsei_sekkei10_POST_CODE</vt:lpstr>
      <vt:lpstr>cst_shinsei_sekkei10_SIKAKU</vt:lpstr>
      <vt:lpstr>cst_shinsei_sekkei10_TEL</vt:lpstr>
      <vt:lpstr>cst_shinsei_sekkei10_TOUROKU_KIKAN</vt:lpstr>
      <vt:lpstr>cst_shinsei_sekkei11__address</vt:lpstr>
      <vt:lpstr>cst_shinsei_sekkei11_JIMU_NAME</vt:lpstr>
      <vt:lpstr>cst_shinsei_sekkei11_JIMU_NO</vt:lpstr>
      <vt:lpstr>cst_shinsei_sekkei11_JIMU_SIKAKU</vt:lpstr>
      <vt:lpstr>cst_shinsei_sekkei11_JIMU_TOUROKU_KIKAN</vt:lpstr>
      <vt:lpstr>cst_shinsei_sekkei11_KENSETUSI_NO</vt:lpstr>
      <vt:lpstr>cst_shinsei_sekkei11_NAME</vt:lpstr>
      <vt:lpstr>cst_shinsei_sekkei11_POST_CODE</vt:lpstr>
      <vt:lpstr>cst_shinsei_sekkei11_SIKAKU</vt:lpstr>
      <vt:lpstr>cst_shinsei_sekkei11_TEL</vt:lpstr>
      <vt:lpstr>cst_shinsei_sekkei11_TOUROKU_KIKAN</vt:lpstr>
      <vt:lpstr>cst_shinsei_SEKKEI2__address</vt:lpstr>
      <vt:lpstr>cst_shinsei_SEKKEI2_JIMU_NAME</vt:lpstr>
      <vt:lpstr>cst_shinsei_SEKKEI2_JIMU_NO</vt:lpstr>
      <vt:lpstr>cst_shinsei_SEKKEI2_JIMU_SIKAKU</vt:lpstr>
      <vt:lpstr>cst_shinsei_SEKKEI2_JIMU_TOUROKU_KIKAN</vt:lpstr>
      <vt:lpstr>cst_shinsei_SEKKEI2_KENSETUSI_NO</vt:lpstr>
      <vt:lpstr>cst_shinsei_SEKKEI2_NAME</vt:lpstr>
      <vt:lpstr>cst_shinsei_SEKKEI2_POST_CODE</vt:lpstr>
      <vt:lpstr>cst_shinsei_SEKKEI2_SIKAKU</vt:lpstr>
      <vt:lpstr>cst_shinsei_SEKKEI2_TEL</vt:lpstr>
      <vt:lpstr>cst_shinsei_SEKKEI2_TOUROKU_KIKAN</vt:lpstr>
      <vt:lpstr>cst_shinsei_SEKKEI3__address</vt:lpstr>
      <vt:lpstr>cst_shinsei_SEKKEI3_JIMU_NAME</vt:lpstr>
      <vt:lpstr>cst_shinsei_SEKKEI3_JIMU_NO</vt:lpstr>
      <vt:lpstr>cst_shinsei_SEKKEI3_JIMU_SIKAKU</vt:lpstr>
      <vt:lpstr>cst_shinsei_SEKKEI3_JIMU_TOUROKU_KIKAN</vt:lpstr>
      <vt:lpstr>cst_shinsei_SEKKEI3_KENSETUSI_NO</vt:lpstr>
      <vt:lpstr>cst_shinsei_SEKKEI3_NAME</vt:lpstr>
      <vt:lpstr>cst_shinsei_SEKKEI3_POST_CODE</vt:lpstr>
      <vt:lpstr>cst_shinsei_SEKKEI3_SIKAKU</vt:lpstr>
      <vt:lpstr>cst_shinsei_SEKKEI3_TEL</vt:lpstr>
      <vt:lpstr>cst_shinsei_SEKKEI3_TOUROKU_KIKAN</vt:lpstr>
      <vt:lpstr>cst_shinsei_SEKOU__address</vt:lpstr>
      <vt:lpstr>cst_shinsei_SEKOU_ADDRESS</vt:lpstr>
      <vt:lpstr>cst_shinsei_SEKOU_JIMU_NAME</vt:lpstr>
      <vt:lpstr>cst_shinsei_SEKOU_JIMU_NO</vt:lpstr>
      <vt:lpstr>cst_shinsei_SEKOU_JIMU_TOUROKU_KIKAN</vt:lpstr>
      <vt:lpstr>cst_shinsei_SEKOU_NAME</vt:lpstr>
      <vt:lpstr>cst_shinsei_SEKOU_TEL</vt:lpstr>
      <vt:lpstr>cst_shinsei_sekou2__address</vt:lpstr>
      <vt:lpstr>cst_shinsei_sekou2_ADDRESS</vt:lpstr>
      <vt:lpstr>cst_shinsei_sekou2_JIMU_NAME</vt:lpstr>
      <vt:lpstr>cst_shinsei_sekou2_JIMU_NO</vt:lpstr>
      <vt:lpstr>cst_shinsei_sekou2_JIMU_TOUROKU_KIKAN</vt:lpstr>
      <vt:lpstr>cst_shinsei_sekou2_NAME</vt:lpstr>
      <vt:lpstr>cst_shinsei_sekou2_TEL</vt:lpstr>
      <vt:lpstr>cst_shinsei_sekou3__address</vt:lpstr>
      <vt:lpstr>cst_shinsei_sekou3_ADDRESS</vt:lpstr>
      <vt:lpstr>cst_shinsei_sekou3_JIMU_NAME</vt:lpstr>
      <vt:lpstr>cst_shinsei_sekou3_JIMU_NO</vt:lpstr>
      <vt:lpstr>cst_shinsei_sekou3_JIMU_TOUROKU_KIKAN</vt:lpstr>
      <vt:lpstr>cst_shinsei_sekou3_NAME</vt:lpstr>
      <vt:lpstr>cst_shinsei_sekou3_TEL</vt:lpstr>
      <vt:lpstr>cst_shinsei_sekou4__address</vt:lpstr>
      <vt:lpstr>cst_shinsei_sekou4_ADDRESS</vt:lpstr>
      <vt:lpstr>cst_shinsei_sekou4_JIMU_NAME</vt:lpstr>
      <vt:lpstr>cst_shinsei_sekou4_JIMU_NO</vt:lpstr>
      <vt:lpstr>cst_shinsei_sekou4_JIMU_TOUROKU_KIKAN</vt:lpstr>
      <vt:lpstr>cst_shinsei_sekou4_NAME</vt:lpstr>
      <vt:lpstr>cst_shinsei_sekou4_TEL</vt:lpstr>
      <vt:lpstr>cst_shinsei_sekou5__address</vt:lpstr>
      <vt:lpstr>cst_shinsei_sekou5_ADDRESS</vt:lpstr>
      <vt:lpstr>cst_shinsei_sekou5_JIMU_NAME</vt:lpstr>
      <vt:lpstr>cst_shinsei_sekou5_JIMU_NO</vt:lpstr>
      <vt:lpstr>cst_shinsei_sekou5_JIMU_TOUROKU_KIKAN</vt:lpstr>
      <vt:lpstr>cst_shinsei_sekou5_NAME</vt:lpstr>
      <vt:lpstr>cst_shinsei_sekou5_TEL</vt:lpstr>
      <vt:lpstr>cst_shinsei_sekou6__address</vt:lpstr>
      <vt:lpstr>cst_shinsei_sekou6_ADDRESS</vt:lpstr>
      <vt:lpstr>cst_shinsei_sekou6_JIMU_NAME</vt:lpstr>
      <vt:lpstr>cst_shinsei_sekou6_JIMU_NO</vt:lpstr>
      <vt:lpstr>cst_shinsei_sekou6_JIMU_TOUROKU_KIKAN</vt:lpstr>
      <vt:lpstr>cst_shinsei_sekou6_NAME</vt:lpstr>
      <vt:lpstr>cst_shinsei_sekou6_TEL</vt:lpstr>
      <vt:lpstr>cst_shinsei_SEPTICTANK_KOUZOU_SYURUI</vt:lpstr>
      <vt:lpstr>cst_shinsei_SETSUBI_TANTO</vt:lpstr>
      <vt:lpstr>cst_shinsei_SETSUBI_TANTO2</vt:lpstr>
      <vt:lpstr>cst_shinsei_SETSUBI_TANTO3</vt:lpstr>
      <vt:lpstr>cst_shinsei_STR_EXCEEDED_DATE_disp</vt:lpstr>
      <vt:lpstr>cst_shinsei_STR_SEKKEI___address</vt:lpstr>
      <vt:lpstr>cst_shinsei_STR_SEKKEI_EMAIL</vt:lpstr>
      <vt:lpstr>cst_shinsei_STR_SEKKEI_FAX</vt:lpstr>
      <vt:lpstr>cst_shinsei_STR_SEKKEI_JIMU_NAME</vt:lpstr>
      <vt:lpstr>cst_shinsei_STR_SEKKEI_NAME</vt:lpstr>
      <vt:lpstr>cst_shinsei_STR_SEKKEI_TEL</vt:lpstr>
      <vt:lpstr>cst_shinsei_STR_SHINSEI_TOWERS</vt:lpstr>
      <vt:lpstr>cst_shinsei_STR_SHINSEI_TOWERS__disp</vt:lpstr>
      <vt:lpstr>cst_shinsei_STR_SHINSEI_TOWERS__set_count</vt:lpstr>
      <vt:lpstr>cst_shinsei_STR_TEKIHAN_NO</vt:lpstr>
      <vt:lpstr>cst_shinsei_STR_TOTAL_CHARGE</vt:lpstr>
      <vt:lpstr>cst_shinsei_STR_TOTAL_CHARGE__zero</vt:lpstr>
      <vt:lpstr>cst_shinsei_STRIRAI_DATE</vt:lpstr>
      <vt:lpstr>cst_shinsei_STRIRAI_DOCNO</vt:lpstr>
      <vt:lpstr>cst_shinsei_STRIRAI_TEKIHAN_ACCEPT_DATE</vt:lpstr>
      <vt:lpstr>cst_shinsei_STRIRAI_TEKIHAN_ACCEPT_NO</vt:lpstr>
      <vt:lpstr>cst_shinsei_STRIRAI_TEKIHAN_LAST_NO</vt:lpstr>
      <vt:lpstr>cst_shinsei_STRPROVO_IRAIYOTEI_DATE</vt:lpstr>
      <vt:lpstr>cst_shinsei_STRPROVO_IRAIYOTEI_DATE2</vt:lpstr>
      <vt:lpstr>cst_shinsei_STRPROVO_NOTE</vt:lpstr>
      <vt:lpstr>cst_shinsei_STRPROVO_NOTIFY_DATE</vt:lpstr>
      <vt:lpstr>cst_shinsei_STRPROVO_SEIGEN_BESSI</vt:lpstr>
      <vt:lpstr>cst_shinsei_STRPROVO_SEIGEN_MITEI</vt:lpstr>
      <vt:lpstr>cst_shinsei_STRTORISAGE_CAUSE</vt:lpstr>
      <vt:lpstr>cst_shinsei_STRTORISAGE_TEISYUTU_DATE</vt:lpstr>
      <vt:lpstr>cst_shinsei_strtower_HOU20_2_select__KKS_select</vt:lpstr>
      <vt:lpstr>cst_shinsei_strtower_HOU20_3_select__KKS_select</vt:lpstr>
      <vt:lpstr>cst_shinsei_strtower_JUDGE</vt:lpstr>
      <vt:lpstr>cst_shinsei_strtower_KAISU_TIJYOU__KKS_select</vt:lpstr>
      <vt:lpstr>cst_shinsei_strtower_KAISU_TIKA__KKS_select</vt:lpstr>
      <vt:lpstr>cst_shinsei_strtower_KAISU_TOUYA__KKS_select</vt:lpstr>
      <vt:lpstr>cst_shinsei_strtower_KEISAN_X_ROUTE__select</vt:lpstr>
      <vt:lpstr>cst_shinsei_strtower_KEISAN_Y_ROUTE__select</vt:lpstr>
      <vt:lpstr>cst_shinsei_strtower_KOUJI_TEXT__KKS_select</vt:lpstr>
      <vt:lpstr>cst_shinsei_strtower_KOUJI_TEXT__KKS_select_iten</vt:lpstr>
      <vt:lpstr>cst_shinsei_strtower_KOUJI_TEXT__KKS_select_kaitiku</vt:lpstr>
      <vt:lpstr>cst_shinsei_strtower_KOUJI_TEXT__KKS_select_shintiku</vt:lpstr>
      <vt:lpstr>cst_shinsei_strtower_KOUJI_TEXT__KKS_select_zoutiku</vt:lpstr>
      <vt:lpstr>cst_shinsei_strtower_KOUZOU__select</vt:lpstr>
      <vt:lpstr>cst_shinsei_strtower_KOUZOU_KEISAN_2_1_i</vt:lpstr>
      <vt:lpstr>cst_shinsei_strtower_KOUZOU_KEISAN_2_1_ro</vt:lpstr>
      <vt:lpstr>cst_shinsei_strtower_KOUZOU_KEISAN_2_2_i</vt:lpstr>
      <vt:lpstr>cst_shinsei_strtower_KOUZOU_KEISAN_3</vt:lpstr>
      <vt:lpstr>cst_shinsei_strtower_KOUZOU_KEISAN_TEXT__KKS_select</vt:lpstr>
      <vt:lpstr>cst_shinsei_strtower_KOUZOU_TEXT__KKS_select</vt:lpstr>
      <vt:lpstr>cst_shinsei_strtower_MAX_TAKASA__KKS_select</vt:lpstr>
      <vt:lpstr>cst_shinsei_strtower_MENSEKI__KKS_select</vt:lpstr>
      <vt:lpstr>cst_shinsei_strtower_MENSEKI__select</vt:lpstr>
      <vt:lpstr>cst_shinsei_strtower_prgo01_NAME</vt:lpstr>
      <vt:lpstr>cst_shinsei_strtower_prgo01_NINTEI_NO__KKS_select</vt:lpstr>
      <vt:lpstr>cst_shinsei_STRTOWER_PROG_MAKER__NINTEI_ari_SP</vt:lpstr>
      <vt:lpstr>cst_shinsei_STRTOWER_PROG_MAKER__NINTEI_no_SP</vt:lpstr>
      <vt:lpstr>cst_shinsei_STRTOWER_PROG_NAME_VER__CHAR</vt:lpstr>
      <vt:lpstr>cst_shinsei_STRTOWER_PROG_NAME_VER__NINTEI_ari_SP</vt:lpstr>
      <vt:lpstr>cst_shinsei_STRTOWER_PROG_NAME_VER__NINTEI_non_SP</vt:lpstr>
      <vt:lpstr>cst_shinsei_STRTOWER_PROG_NAME_VER__SP</vt:lpstr>
      <vt:lpstr>cst_shinsei_STRTOWER_PROG_NINTEI_DATE_SP</vt:lpstr>
      <vt:lpstr>cst_shinsei_strtower_PROGRAM_KIND__select</vt:lpstr>
      <vt:lpstr>cst_shinsei_strtower_PROGRAM_KIND_SONOTA__select</vt:lpstr>
      <vt:lpstr>cst_shinsei_strtower_REI80_2_KOKUJI__select</vt:lpstr>
      <vt:lpstr>cst_shinsei_strtower_REI80_2_KOKUJI__select2</vt:lpstr>
      <vt:lpstr>cst_shinsei_strtower_STR_TOWER_NAME__KKS_select</vt:lpstr>
      <vt:lpstr>cst_shinsei_strtower_STR_TOWER_YOUTO_TEXT__KKS_select</vt:lpstr>
      <vt:lpstr>cst_shinsei_strtower_TAKASA_MAX__select</vt:lpstr>
      <vt:lpstr>cst_shinsei_strtower_TOWER_NO__KKS_select</vt:lpstr>
      <vt:lpstr>cst_shinsei_strtower_TOWER_NO__KKS_select2</vt:lpstr>
      <vt:lpstr>cst_shinsei_strtower_XY_select__KKS_select</vt:lpstr>
      <vt:lpstr>cst_shinsei_strtower01__TOWER_NO_STR_TOWER_NO</vt:lpstr>
      <vt:lpstr>cst_shinsei_strtower01__TOWER_NO_STR_TOWERS</vt:lpstr>
      <vt:lpstr>cst_shinsei_strtower01_BUILD_KUBUN</vt:lpstr>
      <vt:lpstr>cst_shinsei_strtower01_BUILD_KUBUN_TEXT</vt:lpstr>
      <vt:lpstr>cst_shinsei_strtower01_CHARGE</vt:lpstr>
      <vt:lpstr>cst_shinsei_strtower01_CHARGE__dsp</vt:lpstr>
      <vt:lpstr>cst_shinsei_strtower01_CHARGE_KEISAN_NOTE</vt:lpstr>
      <vt:lpstr>cst_shinsei_strtower01_CHARGE_KEISAN_NOTE__alter</vt:lpstr>
      <vt:lpstr>cst_shinsei_strtower01_CHARGE_SANTEI_MENSEKI</vt:lpstr>
      <vt:lpstr>cst_shinsei_strtower01_CHARGE_TOTAL</vt:lpstr>
      <vt:lpstr>cst_shinsei_strtower01_CHARGE_WARIMASHI</vt:lpstr>
      <vt:lpstr>cst_shinsei_strtower01_DISK_FLAG</vt:lpstr>
      <vt:lpstr>cst_shinsei_strtower01_HOU20_2_select</vt:lpstr>
      <vt:lpstr>cst_shinsei_strtower01_HOU20_3_select</vt:lpstr>
      <vt:lpstr>cst_shinsei_strtower01_JUDGE</vt:lpstr>
      <vt:lpstr>cst_shinsei_strtower01_KAISU_TIJYOU</vt:lpstr>
      <vt:lpstr>cst_shinsei_strtower01_KAISU_TIKA</vt:lpstr>
      <vt:lpstr>cst_shinsei_strtower01_KAISU_TOUYA</vt:lpstr>
      <vt:lpstr>cst_shinsei_strtower01_KEISAN_X_ROUTE</vt:lpstr>
      <vt:lpstr>cst_shinsei_strtower01_KEISAN_Y_ROUTE</vt:lpstr>
      <vt:lpstr>cst_shinsei_strtower01_KOUJI_TEXT</vt:lpstr>
      <vt:lpstr>cst_shinsei_strtower01_KOUJI_TEXT__KKS_select_iten</vt:lpstr>
      <vt:lpstr>cst_shinsei_strtower01_KOUJI_TEXT__KKS_select_kaitiku</vt:lpstr>
      <vt:lpstr>cst_shinsei_strtower01_KOUJI_TEXT__KKS_select_shintiku</vt:lpstr>
      <vt:lpstr>cst_shinsei_strtower01_KOUJI_TEXT__KKS_select_zoutiku</vt:lpstr>
      <vt:lpstr>cst_shinsei_strtower01_KOUZOU</vt:lpstr>
      <vt:lpstr>cst_shinsei_strtower01_KOUZOU_KEISAN</vt:lpstr>
      <vt:lpstr>cst_shinsei_strtower01_KOUZOU_KEISAN_2_1_i</vt:lpstr>
      <vt:lpstr>cst_shinsei_strtower01_KOUZOU_KEISAN_2_1_ro</vt:lpstr>
      <vt:lpstr>cst_shinsei_strtower01_KOUZOU_KEISAN_2_2_i</vt:lpstr>
      <vt:lpstr>cst_shinsei_strtower01_KOUZOU_KEISAN_3</vt:lpstr>
      <vt:lpstr>cst_shinsei_strtower01_KOUZOU_KEISAN_TEXT</vt:lpstr>
      <vt:lpstr>cst_shinsei_strtower01_KOUZOU_TEXT</vt:lpstr>
      <vt:lpstr>cst_shinsei_strtower01_MAX_NOKI_TAKASA</vt:lpstr>
      <vt:lpstr>cst_shinsei_strtower01_MAX_TAKASA</vt:lpstr>
      <vt:lpstr>cst_shinsei_strtower01_MENJYO</vt:lpstr>
      <vt:lpstr>cst_shinsei_strtower01_MENSEKI</vt:lpstr>
      <vt:lpstr>cst_shinsei_strtower01_MENSEKI__dsp</vt:lpstr>
      <vt:lpstr>cst_shinsei_strtower01_NINTEI</vt:lpstr>
      <vt:lpstr>cst_shinsei_strtower01_prgo01_MAKER__nintei_ari</vt:lpstr>
      <vt:lpstr>cst_shinsei_strtower01_prgo01_MAKER__nintei_nasi</vt:lpstr>
      <vt:lpstr>cst_shinsei_strtower01_prgo01_MAKER__NINTEI_non</vt:lpstr>
      <vt:lpstr>cst_shinsei_strtower01_prgo01_NAME</vt:lpstr>
      <vt:lpstr>cst_shinsei_strtower01_prgo01_NAME_VER</vt:lpstr>
      <vt:lpstr>cst_shinsei_strtower01_prgo01_NAME_VER__NINTEI_ari</vt:lpstr>
      <vt:lpstr>cst_shinsei_strtower01_prgo01_NAME_VER__NINTEI_non</vt:lpstr>
      <vt:lpstr>cst_shinsei_strtower01_prgo01_NAME_VER__SP</vt:lpstr>
      <vt:lpstr>cst_shinsei_strtower01_prgo01_NINTEI__nintei_ari</vt:lpstr>
      <vt:lpstr>cst_shinsei_strtower01_prgo01_NINTEI__umu</vt:lpstr>
      <vt:lpstr>cst_shinsei_strtower01_prgo01_NINTEI_DATE_dsp</vt:lpstr>
      <vt:lpstr>cst_shinsei_strtower01_prgo01_NINTEI_NO</vt:lpstr>
      <vt:lpstr>cst_shinsei_strtower01_prgo01_PROG__nintei_ari</vt:lpstr>
      <vt:lpstr>cst_shinsei_strtower01_prgo01_PROG__nintei_nasi</vt:lpstr>
      <vt:lpstr>cst_shinsei_strtower01_prgo01_VER</vt:lpstr>
      <vt:lpstr>cst_shinsei_strtower01_prgo01_VER__nintei_ari</vt:lpstr>
      <vt:lpstr>cst_shinsei_strtower01_prgo01_VER__nintei_nasi</vt:lpstr>
      <vt:lpstr>cst_shinsei_strtower01_prgo02_MAKER__NINTEI_ari</vt:lpstr>
      <vt:lpstr>cst_shinsei_strtower01_prgo02_MAKER__NINTEI_non</vt:lpstr>
      <vt:lpstr>cst_shinsei_strtower01_prgo02_NAME_VER</vt:lpstr>
      <vt:lpstr>cst_shinsei_strtower01_prgo02_NAME_VER__NINTEI_ari</vt:lpstr>
      <vt:lpstr>cst_shinsei_strtower01_prgo02_NAME_VER__NINTEI_non</vt:lpstr>
      <vt:lpstr>cst_shinsei_strtower01_prgo02_NAME_VER__SP</vt:lpstr>
      <vt:lpstr>cst_shinsei_strtower01_prgo02_NINTEI__umu</vt:lpstr>
      <vt:lpstr>cst_shinsei_strtower01_prgo02_NINTEI_DATE_dsp</vt:lpstr>
      <vt:lpstr>cst_shinsei_strtower01_prgo03_MAKER__NINTEI_ari</vt:lpstr>
      <vt:lpstr>cst_shinsei_strtower01_prgo03_MAKER__NINTEI_non</vt:lpstr>
      <vt:lpstr>cst_shinsei_strtower01_prgo03_NAME_VER</vt:lpstr>
      <vt:lpstr>cst_shinsei_strtower01_prgo03_NAME_VER__NINTEI_ari</vt:lpstr>
      <vt:lpstr>cst_shinsei_strtower01_prgo03_NAME_VER__NINTEI_non</vt:lpstr>
      <vt:lpstr>cst_shinsei_strtower01_prgo03_NAME_VER__SP</vt:lpstr>
      <vt:lpstr>cst_shinsei_strtower01_prgo03_NINTEI__umu</vt:lpstr>
      <vt:lpstr>cst_shinsei_strtower01_prgo03_NINTEI_DATE_dsp</vt:lpstr>
      <vt:lpstr>cst_shinsei_strtower01_prgo04_MAKER__NINTEI_ari</vt:lpstr>
      <vt:lpstr>cst_shinsei_strtower01_prgo04_MAKER__NINTEI_non</vt:lpstr>
      <vt:lpstr>cst_shinsei_strtower01_prgo04_NAME_VER</vt:lpstr>
      <vt:lpstr>cst_shinsei_strtower01_prgo04_NAME_VER__NINTEI_ari</vt:lpstr>
      <vt:lpstr>cst_shinsei_strtower01_prgo04_NAME_VER__NINTEI_non</vt:lpstr>
      <vt:lpstr>cst_shinsei_strtower01_prgo04_NAME_VER__SP</vt:lpstr>
      <vt:lpstr>cst_shinsei_strtower01_prgo04_NINTEI__umu</vt:lpstr>
      <vt:lpstr>cst_shinsei_strtower01_prgo04_NINTEI_DATE_dsp</vt:lpstr>
      <vt:lpstr>cst_shinsei_strtower01_prgo05_MAKER__NINTEI_ari</vt:lpstr>
      <vt:lpstr>cst_shinsei_strtower01_prgo05_MAKER__NINTEI_non</vt:lpstr>
      <vt:lpstr>cst_shinsei_strtower01_prgo05_NAME_VER</vt:lpstr>
      <vt:lpstr>cst_shinsei_strtower01_prgo05_NAME_VER__NINTEI_ari</vt:lpstr>
      <vt:lpstr>cst_shinsei_strtower01_prgo05_NAME_VER__NINTEI_non</vt:lpstr>
      <vt:lpstr>cst_shinsei_strtower01_prgo05_NAME_VER__SP</vt:lpstr>
      <vt:lpstr>cst_shinsei_strtower01_prgo05_NINTEI__umu</vt:lpstr>
      <vt:lpstr>cst_shinsei_strtower01_prgo05_NINTEI_DATE_dsp</vt:lpstr>
      <vt:lpstr>cst_shinsei_STRTOWER01_PROG_MAKER__NINTEI_ari_SP</vt:lpstr>
      <vt:lpstr>cst_shinsei_STRTOWER01_PROG_MAKER__NINTEI_no_SP</vt:lpstr>
      <vt:lpstr>cst_shinsei_STRTOWER01_PROG_NAME_VER__CHAR</vt:lpstr>
      <vt:lpstr>cst_shinsei_STRTOWER01_PROG_NAME_VER__CHAR__SP</vt:lpstr>
      <vt:lpstr>cst_shinsei_STRTOWER01_PROG_NAME_VER__NINTEI_ari_SP</vt:lpstr>
      <vt:lpstr>cst_shinsei_STRTOWER01_PROG_NAME_VER__NINTEI_non_SP</vt:lpstr>
      <vt:lpstr>cst_shinsei_STRTOWER01_PROG_NINTEI_DATE_SP</vt:lpstr>
      <vt:lpstr>cst_shinsei_strtower01_PROGRAM_KIND</vt:lpstr>
      <vt:lpstr>cst_shinsei_strtower01_PROGRAM_KIND_SONOTA</vt:lpstr>
      <vt:lpstr>cst_shinsei_strtower01_REI80_2_KOKUJI</vt:lpstr>
      <vt:lpstr>cst_shinsei_strtower01_REI80_2_KOKUJI__select2</vt:lpstr>
      <vt:lpstr>cst_shinsei_strtower01_STR_TOWER_NAME</vt:lpstr>
      <vt:lpstr>cst_shinsei_strtower01_STR_TOWER_NO</vt:lpstr>
      <vt:lpstr>cst_shinsei_strtower01_STR_TOWER_YOUTO_TEXT</vt:lpstr>
      <vt:lpstr>cst_shinsei_strtower01_TOWER_NO</vt:lpstr>
      <vt:lpstr>cst_shinsei_strtower01_XY_select</vt:lpstr>
      <vt:lpstr>cst_shinsei_strtower02__TOWER_NO_STR_TOWER_NO</vt:lpstr>
      <vt:lpstr>cst_shinsei_strtower02__TOWER_NO_STR_TOWERS</vt:lpstr>
      <vt:lpstr>cst_shinsei_strtower02_BUILD_KUBUN</vt:lpstr>
      <vt:lpstr>cst_shinsei_strtower02_BUILD_KUBUN_TEXT</vt:lpstr>
      <vt:lpstr>cst_shinsei_strtower02_CHARGE</vt:lpstr>
      <vt:lpstr>cst_shinsei_strtower02_CHARGE__dsp</vt:lpstr>
      <vt:lpstr>cst_shinsei_strtower02_CHARGE_KEISAN_NOTE</vt:lpstr>
      <vt:lpstr>cst_shinsei_strtower02_CHARGE_KEISAN_NOTE__alter</vt:lpstr>
      <vt:lpstr>cst_shinsei_strtower02_CHARGE_SANTEI_MENSEKI</vt:lpstr>
      <vt:lpstr>cst_shinsei_strtower02_CHARGE_TOTAL</vt:lpstr>
      <vt:lpstr>cst_shinsei_strtower02_CHARGE_WARIMASHI</vt:lpstr>
      <vt:lpstr>cst_shinsei_strtower02_DISK_FLAG</vt:lpstr>
      <vt:lpstr>cst_shinsei_strtower02_HOU20_2_select</vt:lpstr>
      <vt:lpstr>cst_shinsei_strtower02_HOU20_3_select</vt:lpstr>
      <vt:lpstr>cst_shinsei_strtower02_JUDGE</vt:lpstr>
      <vt:lpstr>cst_shinsei_strtower02_KAISU_TIJYOU</vt:lpstr>
      <vt:lpstr>cst_shinsei_strtower02_KAISU_TIKA</vt:lpstr>
      <vt:lpstr>cst_shinsei_strtower02_KAISU_TOUYA</vt:lpstr>
      <vt:lpstr>cst_shinsei_strtower02_KEISAN_X_ROUTE</vt:lpstr>
      <vt:lpstr>cst_shinsei_strtower02_KEISAN_Y_ROUTE</vt:lpstr>
      <vt:lpstr>cst_shinsei_strtower02_KOUJI_TEXT</vt:lpstr>
      <vt:lpstr>cst_shinsei_strtower02_KOUZOU</vt:lpstr>
      <vt:lpstr>cst_shinsei_strtower02_KOUZOU_KEISAN</vt:lpstr>
      <vt:lpstr>cst_shinsei_strtower02_KOUZOU_KEISAN_TEXT</vt:lpstr>
      <vt:lpstr>cst_shinsei_strtower02_KOUZOU_TEXT</vt:lpstr>
      <vt:lpstr>cst_shinsei_strtower02_MAX_NOKI_TAKASA</vt:lpstr>
      <vt:lpstr>cst_shinsei_strtower02_MAX_TAKASA</vt:lpstr>
      <vt:lpstr>cst_shinsei_strtower02_MENJYO</vt:lpstr>
      <vt:lpstr>cst_shinsei_strtower02_MENSEKI</vt:lpstr>
      <vt:lpstr>cst_shinsei_strtower02_MENSEKI__dsp</vt:lpstr>
      <vt:lpstr>cst_shinsei_strtower02_NINTEI</vt:lpstr>
      <vt:lpstr>cst_shinsei_strtower02_prgo01_MAKER__NINTEI_ari</vt:lpstr>
      <vt:lpstr>cst_shinsei_strtower02_prgo01_MAKER__nintei_nasi</vt:lpstr>
      <vt:lpstr>cst_shinsei_strtower02_prgo01_MAKER__NINTEI_non</vt:lpstr>
      <vt:lpstr>cst_shinsei_strtower02_prgo01_NAME</vt:lpstr>
      <vt:lpstr>cst_shinsei_strtower02_prgo01_NAME_VER</vt:lpstr>
      <vt:lpstr>cst_shinsei_strtower02_prgo01_NAME_VER__NINTEI_ari</vt:lpstr>
      <vt:lpstr>cst_shinsei_strtower02_prgo01_NAME_VER__NINTEI_non</vt:lpstr>
      <vt:lpstr>cst_shinsei_strtower02_prgo01_NAME_VER__SP</vt:lpstr>
      <vt:lpstr>cst_shinsei_strtower02_prgo01_NINTEI__nintei_ari</vt:lpstr>
      <vt:lpstr>cst_shinsei_strtower02_prgo01_NINTEI__umu</vt:lpstr>
      <vt:lpstr>cst_shinsei_strtower02_prgo01_NINTEI_DATE_dsp</vt:lpstr>
      <vt:lpstr>cst_shinsei_strtower02_prgo01_NINTEI_NO</vt:lpstr>
      <vt:lpstr>cst_shinsei_strtower02_prgo01_PROG__nintei_ari</vt:lpstr>
      <vt:lpstr>cst_shinsei_strtower02_prgo01_PROG__nintei_nasi</vt:lpstr>
      <vt:lpstr>cst_shinsei_strtower02_prgo01_VER</vt:lpstr>
      <vt:lpstr>cst_shinsei_strtower02_prgo01_VER__nintei_ari</vt:lpstr>
      <vt:lpstr>cst_shinsei_strtower02_prgo01_VER__nintei_nasi</vt:lpstr>
      <vt:lpstr>cst_shinsei_strtower02_prgo02_MAKER__NINTEI_ari</vt:lpstr>
      <vt:lpstr>cst_shinsei_strtower02_prgo02_MAKER__NINTEI_non</vt:lpstr>
      <vt:lpstr>cst_shinsei_strtower02_prgo02_NAME_VER</vt:lpstr>
      <vt:lpstr>cst_shinsei_strtower02_prgo02_NAME_VER__NINTEI_ari</vt:lpstr>
      <vt:lpstr>cst_shinsei_strtower02_prgo02_NAME_VER__NINTEI_non</vt:lpstr>
      <vt:lpstr>cst_shinsei_strtower02_prgo02_NAME_VER__SP</vt:lpstr>
      <vt:lpstr>cst_shinsei_strtower02_prgo02_NINTEI__umu</vt:lpstr>
      <vt:lpstr>cst_shinsei_strtower02_prgo02_NINTEI_DATE_dsp</vt:lpstr>
      <vt:lpstr>cst_shinsei_strtower02_prgo03_MAKER__NINTEI_ari</vt:lpstr>
      <vt:lpstr>cst_shinsei_strtower02_prgo03_MAKER__NINTEI_non</vt:lpstr>
      <vt:lpstr>cst_shinsei_strtower02_prgo03_NAME_VER</vt:lpstr>
      <vt:lpstr>cst_shinsei_strtower02_prgo03_NAME_VER__NINTEI_ari</vt:lpstr>
      <vt:lpstr>cst_shinsei_strtower02_prgo03_NAME_VER__NINTEI_non</vt:lpstr>
      <vt:lpstr>cst_shinsei_strtower02_prgo03_NAME_VER__SP</vt:lpstr>
      <vt:lpstr>cst_shinsei_strtower02_prgo03_NINTEI__umu</vt:lpstr>
      <vt:lpstr>cst_shinsei_strtower02_prgo03_NINTEI_DATE_dsp</vt:lpstr>
      <vt:lpstr>cst_shinsei_strtower02_prgo04_MAKER__NINTEI_ari</vt:lpstr>
      <vt:lpstr>cst_shinsei_strtower02_prgo04_MAKER__NINTEI_non</vt:lpstr>
      <vt:lpstr>cst_shinsei_strtower02_prgo04_NAME_VER</vt:lpstr>
      <vt:lpstr>cst_shinsei_strtower02_prgo04_NAME_VER__NINTEI_ari</vt:lpstr>
      <vt:lpstr>cst_shinsei_strtower02_prgo04_NAME_VER__NINTEI_non</vt:lpstr>
      <vt:lpstr>cst_shinsei_strtower02_prgo04_NAME_VER__SP</vt:lpstr>
      <vt:lpstr>cst_shinsei_strtower02_prgo04_NINTEI__umu</vt:lpstr>
      <vt:lpstr>cst_shinsei_strtower02_prgo04_NINTEI_DATE_dsp</vt:lpstr>
      <vt:lpstr>cst_shinsei_strtower02_prgo05_MAKER__NINTEI_ari</vt:lpstr>
      <vt:lpstr>cst_shinsei_strtower02_prgo05_MAKER__NINTEI_non</vt:lpstr>
      <vt:lpstr>cst_shinsei_strtower02_prgo05_NAME_VER</vt:lpstr>
      <vt:lpstr>cst_shinsei_strtower02_prgo05_NAME_VER__NINTEI_ari</vt:lpstr>
      <vt:lpstr>cst_shinsei_strtower02_prgo05_NAME_VER__NINTEI_non</vt:lpstr>
      <vt:lpstr>cst_shinsei_strtower02_prgo05_NAME_VER__SP</vt:lpstr>
      <vt:lpstr>cst_shinsei_strtower02_prgo05_NINTEI__umu</vt:lpstr>
      <vt:lpstr>cst_shinsei_strtower02_prgo05_NINTEI_DATE_dsp</vt:lpstr>
      <vt:lpstr>cst_shinsei_strtower02_PROG_MAKER__NINTEI_ari_SP</vt:lpstr>
      <vt:lpstr>cst_shinsei_strtower02_PROG_MAKER__NINTEI_no_SP</vt:lpstr>
      <vt:lpstr>cst_shinsei_strtower02_PROG_NAME_VER__CHAR</vt:lpstr>
      <vt:lpstr>cst_shinsei_strtower02_PROG_NAME_VER__CHAR__SP</vt:lpstr>
      <vt:lpstr>cst_shinsei_strtower02_PROG_NAME_VER__NINTEI_ari_SP</vt:lpstr>
      <vt:lpstr>cst_shinsei_strtower02_PROG_NAME_VER__NINTEI_non_SP</vt:lpstr>
      <vt:lpstr>cst_shinsei_strtower02_PROG_NINTEI_DATE_SP</vt:lpstr>
      <vt:lpstr>cst_shinsei_strtower02_PROGRAM_KIND</vt:lpstr>
      <vt:lpstr>cst_shinsei_strtower02_PROGRAM_KIND_SONOTA</vt:lpstr>
      <vt:lpstr>cst_shinsei_strtower02_REI80_2_KOKUJI</vt:lpstr>
      <vt:lpstr>cst_shinsei_strtower02_STR_TOWER_NAME</vt:lpstr>
      <vt:lpstr>cst_shinsei_strtower02_STR_TOWER_NO</vt:lpstr>
      <vt:lpstr>cst_shinsei_strtower02_STR_TOWER_YOUTO_TEXT</vt:lpstr>
      <vt:lpstr>cst_shinsei_strtower02_TOWER_NO</vt:lpstr>
      <vt:lpstr>cst_shinsei_strtower02_XY_select</vt:lpstr>
      <vt:lpstr>cst_shinsei_strtower03__TOWER_NO_STR_TOWER_NO</vt:lpstr>
      <vt:lpstr>cst_shinsei_strtower03__TOWER_NO_STR_TOWERS</vt:lpstr>
      <vt:lpstr>cst_shinsei_strtower03_BUILD_KUBUN</vt:lpstr>
      <vt:lpstr>cst_shinsei_strtower03_BUILD_KUBUN_TEXT</vt:lpstr>
      <vt:lpstr>cst_shinsei_strtower03_CHARGE</vt:lpstr>
      <vt:lpstr>cst_shinsei_strtower03_CHARGE__dsp</vt:lpstr>
      <vt:lpstr>cst_shinsei_strtower03_CHARGE_KEISAN_NOTE</vt:lpstr>
      <vt:lpstr>cst_shinsei_strtower03_CHARGE_KEISAN_NOTE__alter</vt:lpstr>
      <vt:lpstr>cst_shinsei_strtower03_CHARGE_SANTEI_MENSEKI</vt:lpstr>
      <vt:lpstr>cst_shinsei_strtower03_CHARGE_TOTAL</vt:lpstr>
      <vt:lpstr>cst_shinsei_strtower03_CHARGE_WARIMASHI</vt:lpstr>
      <vt:lpstr>cst_shinsei_strtower03_DISK_FLAG</vt:lpstr>
      <vt:lpstr>cst_shinsei_strtower03_HOU20_2_select</vt:lpstr>
      <vt:lpstr>cst_shinsei_strtower03_HOU20_3_select</vt:lpstr>
      <vt:lpstr>cst_shinsei_strtower03_JUDGE</vt:lpstr>
      <vt:lpstr>cst_shinsei_strtower03_KAISU_TIJYOU</vt:lpstr>
      <vt:lpstr>cst_shinsei_strtower03_KAISU_TIKA</vt:lpstr>
      <vt:lpstr>cst_shinsei_strtower03_KAISU_TOUYA</vt:lpstr>
      <vt:lpstr>cst_shinsei_strtower03_KEISAN_X_ROUTE</vt:lpstr>
      <vt:lpstr>cst_shinsei_strtower03_KEISAN_Y_ROUTE</vt:lpstr>
      <vt:lpstr>cst_shinsei_strtower03_KOUJI_TEXT</vt:lpstr>
      <vt:lpstr>cst_shinsei_strtower03_KOUZOU</vt:lpstr>
      <vt:lpstr>cst_shinsei_strtower03_KOUZOU_KEISAN</vt:lpstr>
      <vt:lpstr>cst_shinsei_strtower03_KOUZOU_KEISAN_TEXT</vt:lpstr>
      <vt:lpstr>cst_shinsei_strtower03_KOUZOU_TEXT</vt:lpstr>
      <vt:lpstr>cst_shinsei_strtower03_MAX_NOKI_TAKASA</vt:lpstr>
      <vt:lpstr>cst_shinsei_strtower03_MAX_TAKASA</vt:lpstr>
      <vt:lpstr>cst_shinsei_strtower03_MENJYO</vt:lpstr>
      <vt:lpstr>cst_shinsei_strtower03_MENSEKI</vt:lpstr>
      <vt:lpstr>cst_shinsei_strtower03_MENSEKI__dsp</vt:lpstr>
      <vt:lpstr>cst_shinsei_strtower03_NINTEI</vt:lpstr>
      <vt:lpstr>cst_shinsei_strtower03_prgo01_MAKER__NINTEI_ari</vt:lpstr>
      <vt:lpstr>cst_shinsei_strtower03_prgo01_MAKER__nintei_nasi</vt:lpstr>
      <vt:lpstr>cst_shinsei_strtower03_prgo01_MAKER__NINTEI_non</vt:lpstr>
      <vt:lpstr>cst_shinsei_strtower03_prgo01_NAME</vt:lpstr>
      <vt:lpstr>cst_shinsei_strtower03_prgo01_NAME_VER</vt:lpstr>
      <vt:lpstr>cst_shinsei_strtower03_prgo01_NAME_VER__NINTEI_ari</vt:lpstr>
      <vt:lpstr>cst_shinsei_strtower03_prgo01_NAME_VER__NINTEI_non</vt:lpstr>
      <vt:lpstr>cst_shinsei_strtower03_prgo01_NAME_VER__SP</vt:lpstr>
      <vt:lpstr>cst_shinsei_strtower03_prgo01_NINTEI__nintei_ari</vt:lpstr>
      <vt:lpstr>cst_shinsei_strtower03_prgo01_NINTEI__umu</vt:lpstr>
      <vt:lpstr>cst_shinsei_strtower03_prgo01_NINTEI_DATE</vt:lpstr>
      <vt:lpstr>cst_shinsei_strtower03_prgo01_NINTEI_DATE_dsp</vt:lpstr>
      <vt:lpstr>cst_shinsei_strtower03_prgo01_NINTEI_NO</vt:lpstr>
      <vt:lpstr>cst_shinsei_strtower03_prgo01_PROG__nintei_ari</vt:lpstr>
      <vt:lpstr>cst_shinsei_strtower03_prgo01_PROG__nintei_nasi</vt:lpstr>
      <vt:lpstr>cst_shinsei_strtower03_prgo01_VER</vt:lpstr>
      <vt:lpstr>cst_shinsei_strtower03_prgo01_VER__nintei_ari</vt:lpstr>
      <vt:lpstr>cst_shinsei_strtower03_prgo01_VER__nintei_nasi</vt:lpstr>
      <vt:lpstr>cst_shinsei_strtower03_prgo02_MAKER__NINTEI_ari</vt:lpstr>
      <vt:lpstr>cst_shinsei_strtower03_prgo02_MAKER__NINTEI_non</vt:lpstr>
      <vt:lpstr>cst_shinsei_strtower03_prgo02_NAME_VER</vt:lpstr>
      <vt:lpstr>cst_shinsei_strtower03_prgo02_NAME_VER__NINTEI_ari</vt:lpstr>
      <vt:lpstr>cst_shinsei_strtower03_prgo02_NAME_VER__NINTEI_non</vt:lpstr>
      <vt:lpstr>cst_shinsei_strtower03_prgo02_NAME_VER__SP</vt:lpstr>
      <vt:lpstr>cst_shinsei_strtower03_prgo02_NINTEI__umu</vt:lpstr>
      <vt:lpstr>cst_shinsei_strtower03_prgo02_NINTEI_DATE</vt:lpstr>
      <vt:lpstr>cst_shinsei_strtower03_prgo02_NINTEI_DATE_dsp</vt:lpstr>
      <vt:lpstr>cst_shinsei_strtower03_prgo03_MAKER__NINTEI_ari</vt:lpstr>
      <vt:lpstr>cst_shinsei_strtower03_prgo03_MAKER__NINTEI_non</vt:lpstr>
      <vt:lpstr>cst_shinsei_strtower03_prgo03_NAME_VER</vt:lpstr>
      <vt:lpstr>cst_shinsei_strtower03_prgo03_NAME_VER__NINTEI_ari</vt:lpstr>
      <vt:lpstr>cst_shinsei_strtower03_prgo03_NAME_VER__NINTEI_non</vt:lpstr>
      <vt:lpstr>cst_shinsei_strtower03_prgo03_NAME_VER__SP</vt:lpstr>
      <vt:lpstr>cst_shinsei_strtower03_prgo03_NINTEI__umu</vt:lpstr>
      <vt:lpstr>cst_shinsei_strtower03_prgo03_NINTEI_DATE_dsp</vt:lpstr>
      <vt:lpstr>cst_shinsei_strtower03_prgo04_MAKER__NINTEI_ari</vt:lpstr>
      <vt:lpstr>cst_shinsei_strtower03_prgo04_MAKER__NINTEI_non</vt:lpstr>
      <vt:lpstr>cst_shinsei_strtower03_prgo04_NAME_VER</vt:lpstr>
      <vt:lpstr>cst_shinsei_strtower03_prgo04_NAME_VER__NINTEI_ari</vt:lpstr>
      <vt:lpstr>cst_shinsei_strtower03_prgo04_NAME_VER__NINTEI_non</vt:lpstr>
      <vt:lpstr>cst_shinsei_strtower03_prgo04_NAME_VER__SP</vt:lpstr>
      <vt:lpstr>cst_shinsei_strtower03_prgo04_NINTEI__umu</vt:lpstr>
      <vt:lpstr>cst_shinsei_strtower03_prgo04_NINTEI_DATE_dsp</vt:lpstr>
      <vt:lpstr>cst_shinsei_strtower03_prgo05_MAKER__NINTEI_ari</vt:lpstr>
      <vt:lpstr>cst_shinsei_strtower03_prgo05_MAKER__NINTEI_non</vt:lpstr>
      <vt:lpstr>cst_shinsei_strtower03_prgo05_NAME_VER</vt:lpstr>
      <vt:lpstr>cst_shinsei_strtower03_prgo05_NAME_VER__NINTEI_ari</vt:lpstr>
      <vt:lpstr>cst_shinsei_strtower03_prgo05_NAME_VER__NINTEI_non</vt:lpstr>
      <vt:lpstr>cst_shinsei_strtower03_prgo05_NAME_VER__SP</vt:lpstr>
      <vt:lpstr>cst_shinsei_strtower03_prgo05_NINTEI__umu</vt:lpstr>
      <vt:lpstr>cst_shinsei_strtower03_prgo05_NINTEI_DATE_dsp</vt:lpstr>
      <vt:lpstr>cst_shinsei_strtower03_PROG_MAKER__NINTEI_ari_SP</vt:lpstr>
      <vt:lpstr>cst_shinsei_strtower03_PROG_MAKER__NINTEI_no_SP</vt:lpstr>
      <vt:lpstr>cst_shinsei_strtower03_PROG_NAME_VER__CHAR</vt:lpstr>
      <vt:lpstr>cst_shinsei_strtower03_PROG_NAME_VER__CHAR__SP</vt:lpstr>
      <vt:lpstr>cst_shinsei_strtower03_PROG_NAME_VER__NINTEI_ari_SP</vt:lpstr>
      <vt:lpstr>cst_shinsei_strtower03_PROG_NAME_VER__NINTEI_non_SP</vt:lpstr>
      <vt:lpstr>cst_shinsei_strtower03_PROG_NINTEI_DATE_SP</vt:lpstr>
      <vt:lpstr>cst_shinsei_strtower03_PROGRAM_KIND</vt:lpstr>
      <vt:lpstr>cst_shinsei_strtower03_PROGRAM_KIND_SONOTA</vt:lpstr>
      <vt:lpstr>cst_shinsei_strtower03_REI80_2_KOKUJI</vt:lpstr>
      <vt:lpstr>cst_shinsei_strtower03_STR_TOWER_NAME</vt:lpstr>
      <vt:lpstr>cst_shinsei_strtower03_STR_TOWER_NO</vt:lpstr>
      <vt:lpstr>cst_shinsei_strtower03_STR_TOWER_YOUTO_TEXT</vt:lpstr>
      <vt:lpstr>cst_shinsei_strtower03_TOWER_NO</vt:lpstr>
      <vt:lpstr>cst_shinsei_strtower03_XY_select</vt:lpstr>
      <vt:lpstr>cst_shinsei_strtower04__TOWER_NO_STR_TOWER_NO</vt:lpstr>
      <vt:lpstr>cst_shinsei_strtower04__TOWER_NO_STR_TOWERS</vt:lpstr>
      <vt:lpstr>cst_shinsei_strtower04_BUILD_KUBUN</vt:lpstr>
      <vt:lpstr>cst_shinsei_strtower04_BUILD_KUBUN_TEXT</vt:lpstr>
      <vt:lpstr>cst_shinsei_strtower04_CHARGE</vt:lpstr>
      <vt:lpstr>cst_shinsei_strtower04_CHARGE__dsp</vt:lpstr>
      <vt:lpstr>cst_shinsei_strtower04_CHARGE_KEISAN_NOTE</vt:lpstr>
      <vt:lpstr>cst_shinsei_strtower04_CHARGE_KEISAN_NOTE__alter</vt:lpstr>
      <vt:lpstr>cst_shinsei_strtower04_CHARGE_SANTEI_MENSEKI</vt:lpstr>
      <vt:lpstr>cst_shinsei_strtower04_CHARGE_TOTAL</vt:lpstr>
      <vt:lpstr>cst_shinsei_strtower04_CHARGE_WARIMASHI</vt:lpstr>
      <vt:lpstr>cst_shinsei_strtower04_DISK_FLAG</vt:lpstr>
      <vt:lpstr>cst_shinsei_strtower04_HOU20_2_select</vt:lpstr>
      <vt:lpstr>cst_shinsei_strtower04_HOU20_3_select</vt:lpstr>
      <vt:lpstr>cst_shinsei_strtower04_JUDGE</vt:lpstr>
      <vt:lpstr>cst_shinsei_strtower04_KAISU_TIJYOU</vt:lpstr>
      <vt:lpstr>cst_shinsei_strtower04_KAISU_TIKA</vt:lpstr>
      <vt:lpstr>cst_shinsei_strtower04_KAISU_TOUYA</vt:lpstr>
      <vt:lpstr>cst_shinsei_strtower04_KEISAN_X_ROUTE</vt:lpstr>
      <vt:lpstr>cst_shinsei_strtower04_KEISAN_Y_ROUTE</vt:lpstr>
      <vt:lpstr>cst_shinsei_strtower04_KOUJI_TEXT</vt:lpstr>
      <vt:lpstr>cst_shinsei_strtower04_KOUZOU</vt:lpstr>
      <vt:lpstr>cst_shinsei_strtower04_KOUZOU_KEISAN</vt:lpstr>
      <vt:lpstr>cst_shinsei_strtower04_KOUZOU_KEISAN_TEXT</vt:lpstr>
      <vt:lpstr>cst_shinsei_strtower04_KOUZOU_TEXT</vt:lpstr>
      <vt:lpstr>cst_shinsei_strtower04_MAX_NOKI_TAKASA</vt:lpstr>
      <vt:lpstr>cst_shinsei_strtower04_MAX_TAKASA</vt:lpstr>
      <vt:lpstr>cst_shinsei_strtower04_MENJYO</vt:lpstr>
      <vt:lpstr>cst_shinsei_strtower04_MENSEKI</vt:lpstr>
      <vt:lpstr>cst_shinsei_strtower04_MENSEKI__dsp</vt:lpstr>
      <vt:lpstr>cst_shinsei_strtower04_NINTEI</vt:lpstr>
      <vt:lpstr>cst_shinsei_strtower04_prgo01_MAKER__NINTEI_ari</vt:lpstr>
      <vt:lpstr>cst_shinsei_strtower04_prgo01_MAKER__nintei_nasi</vt:lpstr>
      <vt:lpstr>cst_shinsei_strtower04_prgo01_MAKER__NINTEI_non</vt:lpstr>
      <vt:lpstr>cst_shinsei_strtower04_prgo01_NAME</vt:lpstr>
      <vt:lpstr>cst_shinsei_strtower04_prgo01_NAME_VER</vt:lpstr>
      <vt:lpstr>cst_shinsei_strtower04_prgo01_NAME_VER__NINTEI_ari</vt:lpstr>
      <vt:lpstr>cst_shinsei_strtower04_prgo01_NAME_VER__NINTEI_non</vt:lpstr>
      <vt:lpstr>cst_shinsei_strtower04_prgo01_NAME_VER__SP</vt:lpstr>
      <vt:lpstr>cst_shinsei_strtower04_prgo01_NINTEI__nintei_ari</vt:lpstr>
      <vt:lpstr>cst_shinsei_strtower04_prgo01_NINTEI__umu</vt:lpstr>
      <vt:lpstr>cst_shinsei_strtower04_prgo01_NINTEI_DATE</vt:lpstr>
      <vt:lpstr>cst_shinsei_strtower04_prgo01_NINTEI_DATE_dsp</vt:lpstr>
      <vt:lpstr>cst_shinsei_strtower04_prgo01_NINTEI_NO</vt:lpstr>
      <vt:lpstr>cst_shinsei_strtower04_prgo01_PROG__nintei_ari</vt:lpstr>
      <vt:lpstr>cst_shinsei_strtower04_prgo01_PROG__nintei_nasi</vt:lpstr>
      <vt:lpstr>cst_shinsei_strtower04_prgo01_VER</vt:lpstr>
      <vt:lpstr>cst_shinsei_strtower04_prgo01_VER__nintei_ari</vt:lpstr>
      <vt:lpstr>cst_shinsei_strtower04_prgo01_VER__nintei_nasi</vt:lpstr>
      <vt:lpstr>cst_shinsei_strtower04_prgo02_MAKER__NINTEI_ari</vt:lpstr>
      <vt:lpstr>cst_shinsei_strtower04_prgo02_MAKER__NINTEI_non</vt:lpstr>
      <vt:lpstr>cst_shinsei_strtower04_prgo02_NAME_VER</vt:lpstr>
      <vt:lpstr>cst_shinsei_strtower04_prgo02_NAME_VER__NINTEI_ari</vt:lpstr>
      <vt:lpstr>cst_shinsei_strtower04_prgo02_NAME_VER__NINTEI_non</vt:lpstr>
      <vt:lpstr>cst_shinsei_strtower04_prgo02_NAME_VER__SP</vt:lpstr>
      <vt:lpstr>cst_shinsei_strtower04_prgo02_NINTEI__umu</vt:lpstr>
      <vt:lpstr>cst_shinsei_strtower04_prgo02_NINTEI_DATE</vt:lpstr>
      <vt:lpstr>cst_shinsei_strtower04_prgo02_NINTEI_DATE_dsp</vt:lpstr>
      <vt:lpstr>cst_shinsei_strtower04_prgo03_MAKER__NINTEI_ari</vt:lpstr>
      <vt:lpstr>cst_shinsei_strtower04_prgo03_MAKER__NINTEI_non</vt:lpstr>
      <vt:lpstr>cst_shinsei_strtower04_prgo03_NAME_VER</vt:lpstr>
      <vt:lpstr>cst_shinsei_strtower04_prgo03_NAME_VER__NINTEI_ari</vt:lpstr>
      <vt:lpstr>cst_shinsei_strtower04_prgo03_NAME_VER__NINTEI_non</vt:lpstr>
      <vt:lpstr>cst_shinsei_strtower04_prgo03_NAME_VER__SP</vt:lpstr>
      <vt:lpstr>cst_shinsei_strtower04_prgo03_NINTEI__umu</vt:lpstr>
      <vt:lpstr>cst_shinsei_strtower04_prgo03_NINTEI_DATE_dsp</vt:lpstr>
      <vt:lpstr>cst_shinsei_strtower04_prgo04_MAKER__NINTEI_ari</vt:lpstr>
      <vt:lpstr>cst_shinsei_strtower04_prgo04_MAKER__NINTEI_non</vt:lpstr>
      <vt:lpstr>cst_shinsei_strtower04_prgo04_NAME_VER</vt:lpstr>
      <vt:lpstr>cst_shinsei_strtower04_prgo04_NAME_VER__NINTEI_ari</vt:lpstr>
      <vt:lpstr>cst_shinsei_strtower04_prgo04_NAME_VER__NINTEI_non</vt:lpstr>
      <vt:lpstr>cst_shinsei_strtower04_prgo04_NAME_VER__SP</vt:lpstr>
      <vt:lpstr>cst_shinsei_strtower04_prgo04_NINTEI__umu</vt:lpstr>
      <vt:lpstr>cst_shinsei_strtower04_prgo04_NINTEI_DATE_dsp</vt:lpstr>
      <vt:lpstr>cst_shinsei_strtower04_prgo05_MAKER__NINTEI_ari</vt:lpstr>
      <vt:lpstr>cst_shinsei_strtower04_prgo05_MAKER__NINTEI_non</vt:lpstr>
      <vt:lpstr>cst_shinsei_strtower04_prgo05_NAME_VER</vt:lpstr>
      <vt:lpstr>cst_shinsei_strtower04_prgo05_NAME_VER__NINTEI_ari</vt:lpstr>
      <vt:lpstr>cst_shinsei_strtower04_prgo05_NAME_VER__NINTEI_non</vt:lpstr>
      <vt:lpstr>cst_shinsei_strtower04_prgo05_NAME_VER__SP</vt:lpstr>
      <vt:lpstr>cst_shinsei_strtower04_prgo05_NINTEI__umu</vt:lpstr>
      <vt:lpstr>cst_shinsei_strtower04_prgo05_NINTEI_DATE_dsp</vt:lpstr>
      <vt:lpstr>cst_shinsei_strtower04_PROG_MAKER__NINTEI_ari_SP</vt:lpstr>
      <vt:lpstr>cst_shinsei_strtower04_PROG_MAKER__NINTEI_no_SP</vt:lpstr>
      <vt:lpstr>cst_shinsei_strtower04_PROG_NAME_VER__CHAR</vt:lpstr>
      <vt:lpstr>cst_shinsei_strtower04_PROG_NAME_VER__CHAR__SP</vt:lpstr>
      <vt:lpstr>cst_shinsei_strtower04_PROG_NAME_VER__NINTEI_ari_SP</vt:lpstr>
      <vt:lpstr>cst_shinsei_strtower04_PROG_NAME_VER__NINTEI_non_SP</vt:lpstr>
      <vt:lpstr>cst_shinsei_strtower04_PROG_NINTEI_DATE_SP</vt:lpstr>
      <vt:lpstr>cst_shinsei_strtower04_PROGRAM_KIND</vt:lpstr>
      <vt:lpstr>cst_shinsei_strtower04_PROGRAM_KIND_SONOTA</vt:lpstr>
      <vt:lpstr>cst_shinsei_strtower04_REI80_2_KOKUJI</vt:lpstr>
      <vt:lpstr>cst_shinsei_strtower04_STR_TOWER_NAME</vt:lpstr>
      <vt:lpstr>cst_shinsei_strtower04_STR_TOWER_NO</vt:lpstr>
      <vt:lpstr>cst_shinsei_strtower04_STR_TOWER_YOUTO_TEXT</vt:lpstr>
      <vt:lpstr>cst_shinsei_strtower04_TOWER_NO</vt:lpstr>
      <vt:lpstr>cst_shinsei_strtower04_XY_select</vt:lpstr>
      <vt:lpstr>cst_shinsei_strtower05__TOWER_NO_STR_TOWER_NO</vt:lpstr>
      <vt:lpstr>cst_shinsei_strtower05__TOWER_NO_STR_TOWERS</vt:lpstr>
      <vt:lpstr>cst_shinsei_strtower05_BUILD_KUBUN</vt:lpstr>
      <vt:lpstr>cst_shinsei_strtower05_BUILD_KUBUN_NEXT</vt:lpstr>
      <vt:lpstr>cst_shinsei_strtower05_CHARGE</vt:lpstr>
      <vt:lpstr>cst_shinsei_strtower05_CHARGE__dsp</vt:lpstr>
      <vt:lpstr>cst_shinsei_strtower05_CHARGE_KEISAN_NOTE</vt:lpstr>
      <vt:lpstr>cst_shinsei_strtower05_CHARGE_KEISAN_NOTE__alter</vt:lpstr>
      <vt:lpstr>cst_shinsei_strtower05_CHARGE_SANTEI_MENSEKI</vt:lpstr>
      <vt:lpstr>cst_shinsei_strtower05_CHARGE_TOTAL</vt:lpstr>
      <vt:lpstr>cst_shinsei_strtower05_CHARGE_WARIMASHI</vt:lpstr>
      <vt:lpstr>cst_shinsei_strtower05_DISK_FLAG</vt:lpstr>
      <vt:lpstr>cst_shinsei_strtower05_HOU20_2_select</vt:lpstr>
      <vt:lpstr>cst_shinsei_strtower05_HOU20_3_select</vt:lpstr>
      <vt:lpstr>cst_shinsei_strtower05_JUDGE</vt:lpstr>
      <vt:lpstr>cst_shinsei_strtower05_KAISU_TIJYOU</vt:lpstr>
      <vt:lpstr>cst_shinsei_strtower05_KAISU_TIKA</vt:lpstr>
      <vt:lpstr>cst_shinsei_strtower05_KAISU_TOUYA</vt:lpstr>
      <vt:lpstr>cst_shinsei_strtower05_KEISAN_X_ROUTE</vt:lpstr>
      <vt:lpstr>cst_shinsei_strtower05_KEISAN_Y_ROUTE</vt:lpstr>
      <vt:lpstr>cst_shinsei_strtower05_KOUJI_TEXT</vt:lpstr>
      <vt:lpstr>cst_shinsei_strtower05_KOUZOU</vt:lpstr>
      <vt:lpstr>cst_shinsei_strtower05_KOUZOU_KEISAN</vt:lpstr>
      <vt:lpstr>cst_shinsei_strtower05_KOUZOU_KEISAN_TEXT</vt:lpstr>
      <vt:lpstr>cst_shinsei_strtower05_KOUZOU_TEXT</vt:lpstr>
      <vt:lpstr>cst_shinsei_strtower05_MAX_NOKI_TAKASA</vt:lpstr>
      <vt:lpstr>cst_shinsei_strtower05_MAX_TAKASA</vt:lpstr>
      <vt:lpstr>cst_shinsei_strtower05_MENJYO</vt:lpstr>
      <vt:lpstr>cst_shinsei_strtower05_MENSEKI</vt:lpstr>
      <vt:lpstr>cst_shinsei_strtower05_MENSEKI__dsp</vt:lpstr>
      <vt:lpstr>cst_shinsei_strtower05_NINTEI</vt:lpstr>
      <vt:lpstr>cst_shinsei_strtower05_prgo01_MAKER__NINTEI_ari</vt:lpstr>
      <vt:lpstr>cst_shinsei_strtower05_prgo01_MAKER__nintei_nasi</vt:lpstr>
      <vt:lpstr>cst_shinsei_strtower05_prgo01_MAKER__NINTEI_non</vt:lpstr>
      <vt:lpstr>cst_shinsei_strtower05_prgo01_NAME</vt:lpstr>
      <vt:lpstr>cst_shinsei_strtower05_prgo01_NAME_VER</vt:lpstr>
      <vt:lpstr>cst_shinsei_strtower05_prgo01_NAME_VER__NINTEI_ari</vt:lpstr>
      <vt:lpstr>cst_shinsei_strtower05_prgo01_NAME_VER__NINTEI_non</vt:lpstr>
      <vt:lpstr>cst_shinsei_strtower05_prgo01_NAME_VER__SP</vt:lpstr>
      <vt:lpstr>cst_shinsei_strtower05_prgo01_NINTEI__nintei_ari</vt:lpstr>
      <vt:lpstr>cst_shinsei_strtower05_prgo01_NINTEI__umu</vt:lpstr>
      <vt:lpstr>cst_shinsei_strtower05_prgo01_NINTEI_DATE</vt:lpstr>
      <vt:lpstr>cst_shinsei_strtower05_prgo01_NINTEI_DATE_dsp</vt:lpstr>
      <vt:lpstr>cst_shinsei_strtower05_prgo01_NINTEI_NO</vt:lpstr>
      <vt:lpstr>cst_shinsei_strtower05_prgo01_PROG__nintei_ari</vt:lpstr>
      <vt:lpstr>cst_shinsei_strtower05_prgo01_PROG__nintei_nasi</vt:lpstr>
      <vt:lpstr>cst_shinsei_strtower05_prgo01_VER</vt:lpstr>
      <vt:lpstr>cst_shinsei_strtower05_prgo01_VER__nintei_ari</vt:lpstr>
      <vt:lpstr>cst_shinsei_strtower05_prgo01_VER__nintei_nasi</vt:lpstr>
      <vt:lpstr>cst_shinsei_strtower05_prgo02_MAKER__NINTEI_ari</vt:lpstr>
      <vt:lpstr>cst_shinsei_strtower05_prgo02_MAKER__NINTEI_non</vt:lpstr>
      <vt:lpstr>cst_shinsei_strtower05_prgo02_NAME_VER</vt:lpstr>
      <vt:lpstr>cst_shinsei_strtower05_prgo02_NAME_VER__NINTEI_ari</vt:lpstr>
      <vt:lpstr>cst_shinsei_strtower05_prgo02_NAME_VER__NINTEI_non</vt:lpstr>
      <vt:lpstr>cst_shinsei_strtower05_prgo02_NAME_VER__SP</vt:lpstr>
      <vt:lpstr>cst_shinsei_strtower05_prgo02_NINTEI__umu</vt:lpstr>
      <vt:lpstr>cst_shinsei_strtower05_prgo02_NINTEI_DATE</vt:lpstr>
      <vt:lpstr>cst_shinsei_strtower05_prgo02_NINTEI_DATE_dsp</vt:lpstr>
      <vt:lpstr>cst_shinsei_strtower05_prgo03_MAKER__NINTEI_ari</vt:lpstr>
      <vt:lpstr>cst_shinsei_strtower05_prgo03_MAKER__NINTEI_non</vt:lpstr>
      <vt:lpstr>cst_shinsei_strtower05_prgo03_NAME_VER</vt:lpstr>
      <vt:lpstr>cst_shinsei_strtower05_prgo03_NAME_VER__NINTEI_ari</vt:lpstr>
      <vt:lpstr>cst_shinsei_strtower05_prgo03_NAME_VER__NINTEI_non</vt:lpstr>
      <vt:lpstr>cst_shinsei_strtower05_prgo03_NAME_VER__SP</vt:lpstr>
      <vt:lpstr>cst_shinsei_strtower05_prgo03_NINTEI__umu</vt:lpstr>
      <vt:lpstr>cst_shinsei_strtower05_prgo03_NINTEI_DATE_dsp</vt:lpstr>
      <vt:lpstr>cst_shinsei_strtower05_prgo04_MAKER__NINTEI_ari</vt:lpstr>
      <vt:lpstr>cst_shinsei_strtower05_prgo04_MAKER__NINTEI_non</vt:lpstr>
      <vt:lpstr>cst_shinsei_strtower05_prgo04_NAME_VER</vt:lpstr>
      <vt:lpstr>cst_shinsei_strtower05_prgo04_NAME_VER__NINTEI_ari</vt:lpstr>
      <vt:lpstr>cst_shinsei_strtower05_prgo04_NAME_VER__NINTEI_non</vt:lpstr>
      <vt:lpstr>cst_shinsei_strtower05_prgo04_NAME_VER__SP</vt:lpstr>
      <vt:lpstr>cst_shinsei_strtower05_prgo04_NINTEI__umu</vt:lpstr>
      <vt:lpstr>cst_shinsei_strtower05_prgo04_NINTEI_DATE_dsp</vt:lpstr>
      <vt:lpstr>cst_shinsei_strtower05_prgo05_MAKER__NINTEI_ari</vt:lpstr>
      <vt:lpstr>cst_shinsei_strtower05_prgo05_MAKER__NINTEI_non</vt:lpstr>
      <vt:lpstr>cst_shinsei_strtower05_prgo05_NAME_VER</vt:lpstr>
      <vt:lpstr>cst_shinsei_strtower05_prgo05_NAME_VER__NINTEI_ari</vt:lpstr>
      <vt:lpstr>cst_shinsei_strtower05_prgo05_NAME_VER__NINTEI_non</vt:lpstr>
      <vt:lpstr>cst_shinsei_strtower05_prgo05_NAME_VER__SP</vt:lpstr>
      <vt:lpstr>cst_shinsei_strtower05_prgo05_NINTEI__umu</vt:lpstr>
      <vt:lpstr>cst_shinsei_strtower05_prgo05_NINTEI_DATE_dsp</vt:lpstr>
      <vt:lpstr>cst_shinsei_strtower05_PROG_MAKER__NINTEI_ari_SP</vt:lpstr>
      <vt:lpstr>cst_shinsei_strtower05_PROG_MAKER__NINTEI_no_SP</vt:lpstr>
      <vt:lpstr>cst_shinsei_strtower05_PROG_NAME_VER__CHAR</vt:lpstr>
      <vt:lpstr>cst_shinsei_strtower05_PROG_NAME_VER__CHAR__SP</vt:lpstr>
      <vt:lpstr>cst_shinsei_strtower05_PROG_NAME_VER__NINTEI_ari_SP</vt:lpstr>
      <vt:lpstr>cst_shinsei_strtower05_PROG_NAME_VER__NINTEI_non_SP</vt:lpstr>
      <vt:lpstr>cst_shinsei_strtower05_PROG_NINTEI_DATE_SP</vt:lpstr>
      <vt:lpstr>cst_shinsei_strtower05_PROGRAM_KIND</vt:lpstr>
      <vt:lpstr>cst_shinsei_strtower05_PROGRAM_KIND_SONOTA</vt:lpstr>
      <vt:lpstr>cst_shinsei_strtower05_REI80_2_KOKUJI</vt:lpstr>
      <vt:lpstr>cst_shinsei_strtower05_STR_TOWER_NAME</vt:lpstr>
      <vt:lpstr>cst_shinsei_strtower05_STR_TOWER_NO</vt:lpstr>
      <vt:lpstr>cst_shinsei_strtower05_STR_TOWER_YOUTO_TEXT</vt:lpstr>
      <vt:lpstr>cst_shinsei_strtower05_TOWER_NO</vt:lpstr>
      <vt:lpstr>cst_shinsei_strtower05_XY_select</vt:lpstr>
      <vt:lpstr>cst_shinsei_strtuikaimposs1_STRUCT_NOTIFT_DATE</vt:lpstr>
      <vt:lpstr>cst_shinsei_strtuikaimposs1_STRUCT_NOTIFT_NO</vt:lpstr>
      <vt:lpstr>cst_shinsei_strtuikaimposs1_STRUCT_TUIKA_DATE</vt:lpstr>
      <vt:lpstr>cst_shinsei_strtuikaimposs1_STRUCTTUIKA_NOTIFT_DATE</vt:lpstr>
      <vt:lpstr>cst_shinsei_strtuikaimposs2_STRUCT_NOTIFT_DATE</vt:lpstr>
      <vt:lpstr>cst_shinsei_strtuikaimposs2_STRUCT_NOTIFT_NO</vt:lpstr>
      <vt:lpstr>cst_shinsei_strtuikaimposs2_STRUCT_TUIKA_DATE</vt:lpstr>
      <vt:lpstr>cst_shinsei_strtuikaimposs2_STRUCTTUIKA_NOTIFT_DATE</vt:lpstr>
      <vt:lpstr>cst_shinsei_strtuikaimposs3_STRUCT_NOTIFT_DATE</vt:lpstr>
      <vt:lpstr>cst_shinsei_strtuikaimposs3_STRUCT_NOTIFT_NO</vt:lpstr>
      <vt:lpstr>cst_shinsei_strtuikaimposs3_STRUCT_TUIKA_DATE</vt:lpstr>
      <vt:lpstr>cst_shinsei_strtuikaimposs3_STRUCTTUIKA_NOTIFT_DATE</vt:lpstr>
      <vt:lpstr>cst_shinsei_strtuikaimposs4_STRUCT_NOTIFT_DATE</vt:lpstr>
      <vt:lpstr>cst_shinsei_strtuikaimposs4_STRUCT_NOTIFT_NO</vt:lpstr>
      <vt:lpstr>cst_shinsei_strtuikaimposs4_STRUCT_TUIKA_DATE</vt:lpstr>
      <vt:lpstr>cst_shinsei_strtuikaimposs4_STRUCTTUIKA_NOTIFT_DATE</vt:lpstr>
      <vt:lpstr>cst_shinsei_strtuikaimposs5_STRUCT_NOTIFT_DATE</vt:lpstr>
      <vt:lpstr>cst_shinsei_strtuikaimposs5_STRUCT_NOTIFT_NO</vt:lpstr>
      <vt:lpstr>cst_shinsei_strtuikaimposs5_STRUCT_TUIKA_DATE</vt:lpstr>
      <vt:lpstr>cst_shinsei_strtuikaimposs5_STRUCTTUIKA_NOTIFT_DATE</vt:lpstr>
      <vt:lpstr>cst_shinsei_strtuikaimposs6_STRUCT_NOTIFT_DATE</vt:lpstr>
      <vt:lpstr>cst_shinsei_strtuikaimposs6_STRUCT_NOTIFT_NO</vt:lpstr>
      <vt:lpstr>cst_shinsei_strtuikaimposs6_STRUCT_TUIKA_DATE</vt:lpstr>
      <vt:lpstr>cst_shinsei_strtuikaimposs6_STRUCTTUIKA_NOTIFT_DATE</vt:lpstr>
      <vt:lpstr>cst_shinsei_strtuikaimpossx_STRUCT_NOTIFT_DATE</vt:lpstr>
      <vt:lpstr>cst_shinsei_strtuikaimpossx_STRUCT_NOTIFT_NO</vt:lpstr>
      <vt:lpstr>cst_shinsei_strtuikaimpossx_STRUCT_TUIKA_DATE</vt:lpstr>
      <vt:lpstr>cst_shinsei_strtuikaimpossx_STRUCTTUIKA_NOTIFT_DATE</vt:lpstr>
      <vt:lpstr>cst_shinsei_strtuikang1_STRUCT_NOTIFT_DATE</vt:lpstr>
      <vt:lpstr>cst_shinsei_strtuikang1_STRUCT_NOTIFT_NO</vt:lpstr>
      <vt:lpstr>cst_shinsei_strtuikang1_STRUCT_TUIKA_DATE</vt:lpstr>
      <vt:lpstr>cst_shinsei_strtuikang1_STRUCTTUIKA_NOTIFT_DATE</vt:lpstr>
      <vt:lpstr>cst_shinsei_STRUCT_NOTIFT_DATE</vt:lpstr>
      <vt:lpstr>cst_shinsei_STRUCT_NOTIFT_DATE__add_shosiki</vt:lpstr>
      <vt:lpstr>cst_shinsei_STRUCT_NOTIFT_DATE__day</vt:lpstr>
      <vt:lpstr>cst_shinsei_STRUCT_NOTIFT_DATE__dsp</vt:lpstr>
      <vt:lpstr>cst_shinsei_STRUCT_NOTIFT_DATE__month</vt:lpstr>
      <vt:lpstr>cst_shinsei_STRUCTRESULT_NOTIFY_DATE</vt:lpstr>
      <vt:lpstr>cst_shinsei_STRUCTRESULT_NOTIFY_KOUFU_NAME</vt:lpstr>
      <vt:lpstr>cst_shinsei_STRUCTRESULT_NOTIFY_NO</vt:lpstr>
      <vt:lpstr>cst_shinsei_STRUCTRESULT_NOTIFY_RESULT</vt:lpstr>
      <vt:lpstr>cst_shinsei_STRUCTTUIKA_NOTIFT_DATE</vt:lpstr>
      <vt:lpstr>cst_shinsei_STRUCTTUIKA_NOTIFT_DATE__dsp</vt:lpstr>
      <vt:lpstr>cst_shinsei_TARGET_KIND</vt:lpstr>
      <vt:lpstr>cst_shinsei_TOKKI_JIKOU</vt:lpstr>
      <vt:lpstr>cst_shinsei_TOKKI_JIKOU__dsp</vt:lpstr>
      <vt:lpstr>cst_shinsei_TOKKI_JIKOU__dsp2</vt:lpstr>
      <vt:lpstr>cst_shinsei_UKETUKE_NO</vt:lpstr>
      <vt:lpstr>cst_shinsei_UKETUKE_NO__change_disp</vt:lpstr>
      <vt:lpstr>cst_shinsei_UKETUKE_NO__disp</vt:lpstr>
      <vt:lpstr>cst_shinsei_UKETUKE_NO_serial</vt:lpstr>
      <vt:lpstr>cst_shinsei_UKETUKE_NO_serial_dsp</vt:lpstr>
      <vt:lpstr>cst_shinsei_UKETUKE_NO_sign</vt:lpstr>
      <vt:lpstr>cst_shinsei_UKETUKE_OFFICE_ID__ADDRESS</vt:lpstr>
      <vt:lpstr>cst_shinsei_UKETUKE_OFFICE_ID__ADDRESS__1_2</vt:lpstr>
      <vt:lpstr>cst_shinsei_UKETUKE_OFFICE_ID__ADDRESS2</vt:lpstr>
      <vt:lpstr>cst_shinsei_UKETUKE_OFFICE_ID__FAX</vt:lpstr>
      <vt:lpstr>cst_shinsei_UKETUKE_OFFICE_ID__ID</vt:lpstr>
      <vt:lpstr>cst_shinsei_UKETUKE_OFFICE_ID__OFFICE_NAME</vt:lpstr>
      <vt:lpstr>cst_shinsei_UKETUKE_OFFICE_ID__POST_CODE</vt:lpstr>
      <vt:lpstr>cst_shinsei_UKETUKE_OFFICE_ID__TEL</vt:lpstr>
      <vt:lpstr>cst_shinsei_UNIT_COUNT</vt:lpstr>
      <vt:lpstr>cst_shinsei_WORK_88</vt:lpstr>
      <vt:lpstr>cst_shinsei_WORK_TYPE</vt:lpstr>
      <vt:lpstr>cst_shinsei_xx_BIKO</vt:lpstr>
      <vt:lpstr>cst_shinsei_xx_CAUSE</vt:lpstr>
      <vt:lpstr>cst_shinsei_xx_NOTIFY_ANSWER_DATE</vt:lpstr>
      <vt:lpstr>cst_shinsei_xx_NOTIFY_CAUSE</vt:lpstr>
      <vt:lpstr>cst_shinsei_xx_NOTIFY_DATE</vt:lpstr>
      <vt:lpstr>cst_shinsei_xx_NOTIFY_DATE__disp</vt:lpstr>
      <vt:lpstr>cst_shinsei_xx_NOTIFY_DOCNO</vt:lpstr>
      <vt:lpstr>cst_shinsei_xx_NOTIFY_KENSA_DATE</vt:lpstr>
      <vt:lpstr>cst_shinsei_xx_NOTIFY_KENSA_DATE__text</vt:lpstr>
      <vt:lpstr>cst_shinsei_xx_NOTIFY_LIMIT_DATE</vt:lpstr>
      <vt:lpstr>cst_shinsei_xx_NOTIFY_NG_JIYU</vt:lpstr>
      <vt:lpstr>cst_shinsei_xx_NOTIFY_NOTE</vt:lpstr>
      <vt:lpstr>cst_shinsei_xx_NOTIFY_SOUFU_SAKI</vt:lpstr>
      <vt:lpstr>cst_shinsei_xx_NOTIFY_TANTOU</vt:lpstr>
      <vt:lpstr>cst_shinsei_xx_NOTIFY_USER</vt:lpstr>
      <vt:lpstr>cst_shinsei_xx_REPORT_DATE</vt:lpstr>
      <vt:lpstr>cst_shinsei_xx_STRUCT_HENKOU_LIMIT_DATE</vt:lpstr>
      <vt:lpstr>cst_shinsei_xx_STRUCT_HENKOU_NOTIFT_DATE</vt:lpstr>
      <vt:lpstr>cst_shinsei_xx_STRUCT_NOTIFT_BIKO</vt:lpstr>
      <vt:lpstr>cst_shinsei_xx_STRUCT_NOTIFT_DATE</vt:lpstr>
      <vt:lpstr>cst_shinsei_xx_STRUCT_NOTIFT_DOCNO</vt:lpstr>
      <vt:lpstr>cst_shinsei_xx_STRUCT_NOTIFT_NO</vt:lpstr>
      <vt:lpstr>cst_shinsei_xx_STRUCT_NOTIFT_TOUTYAKU_MEMO</vt:lpstr>
      <vt:lpstr>cst_shinsei_xx_STRUCT_NOTIFT_TUIKA_DATE</vt:lpstr>
      <vt:lpstr>cst_shinsei_xx_STRUCT_NOTIFT_USE</vt:lpstr>
      <vt:lpstr>cst_shinsei_xx_STRUCT_TUIKA_DOCNO</vt:lpstr>
      <vt:lpstr>cst_shinsei_xx_STRUCT_TUIKA_NOTIFT_DATE</vt:lpstr>
      <vt:lpstr>cst_shinsei_xy_REPORT_DATE</vt:lpstr>
      <vt:lpstr>cst_shinsei_xy_REPORT_DATE__text</vt:lpstr>
      <vt:lpstr>cst_shinseijudgehist_provo_isyou1_TANTO_USER_ID</vt:lpstr>
      <vt:lpstr>cst_shinseijudgehist_provo_isyou2_TANTO_USER_ID</vt:lpstr>
      <vt:lpstr>cst_STRUCTNOTIFT_ctrl</vt:lpstr>
      <vt:lpstr>cst_STRUCTNOTIFT_NOTIFT_ctrl</vt:lpstr>
      <vt:lpstr>cst_TOKUREI_56</vt:lpstr>
      <vt:lpstr>cyokuzen_shinsei_FIRE_SUBMIT_DATE</vt:lpstr>
      <vt:lpstr>cyokuzen_shinsei_ISSUE_DATE</vt:lpstr>
      <vt:lpstr>cyokuzen_shinsei_ISSUE_KOUFU_NAME</vt:lpstr>
      <vt:lpstr>cyokuzen_shinsei_ISSUE_NO</vt:lpstr>
      <vt:lpstr>cyokuzen_shinsei_KAKUNINZUMI_HOUKOKU_GYOSEI_NO</vt:lpstr>
      <vt:lpstr>disp_CHARGE_DETAIL_ecoteki_fee</vt:lpstr>
      <vt:lpstr>disp_CHARGE_DETAIL_fd_fee</vt:lpstr>
      <vt:lpstr>disp_CHARGE_DETAIL_fukusuutou_fee</vt:lpstr>
      <vt:lpstr>disp_CHARGE_DETAIL_genkaitairyoku_fee</vt:lpstr>
      <vt:lpstr>disp_CHARGE_DETAIL_hinananzen_fee</vt:lpstr>
      <vt:lpstr>disp_CHARGE_DETAIL_kensa_shuchou_fee</vt:lpstr>
      <vt:lpstr>disp_CHARGE_DETAIL_shoukouki_heigan_fee</vt:lpstr>
      <vt:lpstr>disp_CHARGE_DETAIL_shoukouki_kouzou_kentou_fee</vt:lpstr>
      <vt:lpstr>disp_CHARGE_DETAIL_sonotakasan_fee</vt:lpstr>
      <vt:lpstr>disp_CHARGE_DETAIL_taikabouka_fee</vt:lpstr>
      <vt:lpstr>disp_CHARGE_DETAIL_waribiki_fee</vt:lpstr>
      <vt:lpstr>don_BasePoint1_CIAS</vt:lpstr>
      <vt:lpstr>don_BasePoint2_CIAS</vt:lpstr>
      <vt:lpstr>don_BasePoint3_CIAS</vt:lpstr>
      <vt:lpstr>don_BasePoint4_CIAS</vt:lpstr>
      <vt:lpstr>don_BasePoint5_CIAS</vt:lpstr>
      <vt:lpstr>don_BasePointX</vt:lpstr>
      <vt:lpstr>don_OFFICE__code_CIAS</vt:lpstr>
      <vt:lpstr>don_OFFICE__search_erea_CIAS</vt:lpstr>
      <vt:lpstr>don_OFFICE_ACCOUNT_01__print_time</vt:lpstr>
      <vt:lpstr>don_OFFICE_ACCOUNT_02__print_time</vt:lpstr>
      <vt:lpstr>don_OFFICE_ACCOUNT_03__print_time</vt:lpstr>
      <vt:lpstr>don_OFFICE_ACCOUNT_LIST__print_time</vt:lpstr>
      <vt:lpstr>don_OFFICE_ACCOUNT_LIST_MES__print_time</vt:lpstr>
      <vt:lpstr>don_OFFICE_ADDRESS1__charge_base_date</vt:lpstr>
      <vt:lpstr>don_OFFICE_ADDRESS1__fire_notify_date</vt:lpstr>
      <vt:lpstr>don_OFFICE_ADDRESS1__fire_submit_date</vt:lpstr>
      <vt:lpstr>don_OFFICE_ADDRESS1__health_notify_date</vt:lpstr>
      <vt:lpstr>don_OFFICE_ADDRESS1__hikiuke_date</vt:lpstr>
      <vt:lpstr>don_OFFICE_ADDRESS1__hikiuke_tuuti_date</vt:lpstr>
      <vt:lpstr>don_OFFICE_ADDRESS1__income_date</vt:lpstr>
      <vt:lpstr>don_OFFICE_ADDRESS1__issue_date</vt:lpstr>
      <vt:lpstr>don_OFFICE_ADDRESS1__notify_date</vt:lpstr>
      <vt:lpstr>don_OFFICE_ADDRESS1__print_time</vt:lpstr>
      <vt:lpstr>don_OFFICE_ADDRESS1__provo_date</vt:lpstr>
      <vt:lpstr>don_OFFICE_ADDRESS1__report_date</vt:lpstr>
      <vt:lpstr>don_OFFICE_ADDRESS1__str_encyou_tuuti_date</vt:lpstr>
      <vt:lpstr>don_OFFICE_ADDRESS1__str_irai_date</vt:lpstr>
      <vt:lpstr>don_OFFICE_ADDRESS1__str_prove_notify_date</vt:lpstr>
      <vt:lpstr>don_OFFICE_ADDRESS2__charge_base_date</vt:lpstr>
      <vt:lpstr>don_OFFICE_ADDRESS2__fire_notify_date</vt:lpstr>
      <vt:lpstr>don_OFFICE_ADDRESS2__fire_submit_date</vt:lpstr>
      <vt:lpstr>don_OFFICE_ADDRESS2__health_notify_date</vt:lpstr>
      <vt:lpstr>don_OFFICE_ADDRESS2__hikiuke_date</vt:lpstr>
      <vt:lpstr>don_OFFICE_ADDRESS2__hikiuke_tuuti_date</vt:lpstr>
      <vt:lpstr>don_OFFICE_ADDRESS2__income_date</vt:lpstr>
      <vt:lpstr>don_OFFICE_ADDRESS2__issue_date</vt:lpstr>
      <vt:lpstr>don_OFFICE_ADDRESS2__notify_date</vt:lpstr>
      <vt:lpstr>don_OFFICE_ADDRESS2__print_time</vt:lpstr>
      <vt:lpstr>don_OFFICE_ADDRESS2__provo_date</vt:lpstr>
      <vt:lpstr>don_OFFICE_ADDRESS2__report_date</vt:lpstr>
      <vt:lpstr>don_OFFICE_ADDRESS2__str_encyou_tuuti_date</vt:lpstr>
      <vt:lpstr>don_OFFICE_ADDRESS2__str_irai_date</vt:lpstr>
      <vt:lpstr>don_OFFICE_ADDRESS2__str_prove_notify_date</vt:lpstr>
      <vt:lpstr>don_OFFICE_cst_ADDRESS__charge_base_date</vt:lpstr>
      <vt:lpstr>don_OFFICE_cst_ADDRESS__fire_notify_date</vt:lpstr>
      <vt:lpstr>don_OFFICE_cst_ADDRESS__fire_submit_date</vt:lpstr>
      <vt:lpstr>don_OFFICE_cst_ADDRESS__health_notify_date</vt:lpstr>
      <vt:lpstr>don_OFFICE_cst_ADDRESS__hikiuke_date</vt:lpstr>
      <vt:lpstr>don_OFFICE_cst_ADDRESS__hikiuke_tuuti_date</vt:lpstr>
      <vt:lpstr>don_OFFICE_cst_ADDRESS__income_date</vt:lpstr>
      <vt:lpstr>don_OFFICE_cst_ADDRESS__issue_date</vt:lpstr>
      <vt:lpstr>don_OFFICE_cst_ADDRESS__notify_date</vt:lpstr>
      <vt:lpstr>don_OFFICE_cst_ADDRESS__print_time</vt:lpstr>
      <vt:lpstr>don_OFFICE_cst_ADDRESS__provo_date</vt:lpstr>
      <vt:lpstr>don_OFFICE_cst_ADDRESS__report_date</vt:lpstr>
      <vt:lpstr>don_OFFICE_cst_ADDRESS__str_encyou_tuuti_date</vt:lpstr>
      <vt:lpstr>don_OFFICE_cst_ADDRESS__str_irai_date</vt:lpstr>
      <vt:lpstr>don_OFFICE_cst_ADDRESS__str_prove_notify_date</vt:lpstr>
      <vt:lpstr>don_OFFICE_DAIHYOUSYA__charge_base_date</vt:lpstr>
      <vt:lpstr>don_OFFICE_DAIHYOUSYA__fire_notify_date</vt:lpstr>
      <vt:lpstr>don_OFFICE_DAIHYOUSYA__fire_submit_date</vt:lpstr>
      <vt:lpstr>don_OFFICE_DAIHYOUSYA__health_notify_date</vt:lpstr>
      <vt:lpstr>don_OFFICE_DAIHYOUSYA__hikiuke_date</vt:lpstr>
      <vt:lpstr>don_OFFICE_DAIHYOUSYA__hikiuke_tuuti_date</vt:lpstr>
      <vt:lpstr>don_OFFICE_DAIHYOUSYA__income_date</vt:lpstr>
      <vt:lpstr>don_OFFICE_DAIHYOUSYA__issue_date</vt:lpstr>
      <vt:lpstr>don_OFFICE_DAIHYOUSYA__notify_date</vt:lpstr>
      <vt:lpstr>don_OFFICE_DAIHYOUSYA__print_time</vt:lpstr>
      <vt:lpstr>don_OFFICE_DAIHYOUSYA__provo_date</vt:lpstr>
      <vt:lpstr>don_OFFICE_DAIHYOUSYA__report_date</vt:lpstr>
      <vt:lpstr>don_OFFICE_DAIHYOUSYA__str_encyou_tuuti_date</vt:lpstr>
      <vt:lpstr>don_OFFICE_DAIHYOUSYA__str_irai_date</vt:lpstr>
      <vt:lpstr>don_OFFICE_DAIHYOUSYA__str_prove_notify_date</vt:lpstr>
      <vt:lpstr>don_OFFICE_EMAIL__charge_base_date</vt:lpstr>
      <vt:lpstr>don_OFFICE_EMAIL__fire_notify_date</vt:lpstr>
      <vt:lpstr>don_OFFICE_EMAIL__fire_submit_date</vt:lpstr>
      <vt:lpstr>don_OFFICE_EMAIL__health_notify_date</vt:lpstr>
      <vt:lpstr>don_OFFICE_EMAIL__hikiuke_date</vt:lpstr>
      <vt:lpstr>don_OFFICE_EMAIL__hikiuke_tuuti_date</vt:lpstr>
      <vt:lpstr>don_OFFICE_EMAIL__income_date</vt:lpstr>
      <vt:lpstr>don_OFFICE_EMAIL__issue_date</vt:lpstr>
      <vt:lpstr>don_OFFICE_EMAIL__notify_date</vt:lpstr>
      <vt:lpstr>don_OFFICE_EMAIL__print_time</vt:lpstr>
      <vt:lpstr>don_OFFICE_EMAIL__provo_date</vt:lpstr>
      <vt:lpstr>don_OFFICE_EMAIL__report_date</vt:lpstr>
      <vt:lpstr>don_OFFICE_EMAIL__str_encyou_tuuti_date</vt:lpstr>
      <vt:lpstr>don_OFFICE_EMAIL__str_irai_date</vt:lpstr>
      <vt:lpstr>don_OFFICE_EMAIL__str_prove_notify_date</vt:lpstr>
      <vt:lpstr>don_OFFICE_FAX__charge_base_date</vt:lpstr>
      <vt:lpstr>don_OFFICE_FAX__fire_notify_date</vt:lpstr>
      <vt:lpstr>don_OFFICE_FAX__fire_submit_date</vt:lpstr>
      <vt:lpstr>don_OFFICE_FAX__health_notify_date</vt:lpstr>
      <vt:lpstr>don_OFFICE_FAX__hikiuke_date</vt:lpstr>
      <vt:lpstr>don_OFFICE_FAX__hikiuke_tuuti_date</vt:lpstr>
      <vt:lpstr>don_OFFICE_FAX__income_date</vt:lpstr>
      <vt:lpstr>don_OFFICE_FAX__issue_date</vt:lpstr>
      <vt:lpstr>don_OFFICE_FAX__notify_date</vt:lpstr>
      <vt:lpstr>don_OFFICE_FAX__print_time</vt:lpstr>
      <vt:lpstr>don_OFFICE_FAX__provo_date</vt:lpstr>
      <vt:lpstr>don_OFFICE_FAX__report_date</vt:lpstr>
      <vt:lpstr>don_OFFICE_FAX__str_encyou_tuuti_date</vt:lpstr>
      <vt:lpstr>don_OFFICE_FAX__str_irai_date</vt:lpstr>
      <vt:lpstr>don_OFFICE_FAX__str_prove_notify_date</vt:lpstr>
      <vt:lpstr>don_OFFICE_FAX_tokyo_sinsa__print_time</vt:lpstr>
      <vt:lpstr>don_OFFICE_NAME_CORP_TYPE__charge_base_date</vt:lpstr>
      <vt:lpstr>don_OFFICE_NAME_CORP_TYPE__fire_notify_date</vt:lpstr>
      <vt:lpstr>don_OFFICE_NAME_CORP_TYPE__fire_submit_date</vt:lpstr>
      <vt:lpstr>don_OFFICE_NAME_CORP_TYPE__health_notify_date</vt:lpstr>
      <vt:lpstr>don_OFFICE_NAME_CORP_TYPE__hikiuke_date</vt:lpstr>
      <vt:lpstr>don_OFFICE_NAME_CORP_TYPE__hikiuke_tuuti_date</vt:lpstr>
      <vt:lpstr>don_OFFICE_NAME_CORP_TYPE__income_date</vt:lpstr>
      <vt:lpstr>don_OFFICE_NAME_CORP_TYPE__issue_date</vt:lpstr>
      <vt:lpstr>don_OFFICE_NAME_CORP_TYPE__notify_date</vt:lpstr>
      <vt:lpstr>don_OFFICE_NAME_CORP_TYPE__print_time</vt:lpstr>
      <vt:lpstr>don_OFFICE_NAME_CORP_TYPE__provo_date</vt:lpstr>
      <vt:lpstr>don_OFFICE_NAME_CORP_TYPE__report_date</vt:lpstr>
      <vt:lpstr>don_OFFICE_NAME_CORP_TYPE__str_encyou_tuuti_date</vt:lpstr>
      <vt:lpstr>don_OFFICE_NAME_CORP_TYPE__str_irai_date</vt:lpstr>
      <vt:lpstr>don_OFFICE_NAME_CORP_TYPE__str_prove_notify_date</vt:lpstr>
      <vt:lpstr>don_OFFICE_NAME_kakko__print_time</vt:lpstr>
      <vt:lpstr>don_OFFICE_OFFICE_CORP_NAME__charge_base_date</vt:lpstr>
      <vt:lpstr>don_OFFICE_OFFICE_CORP_NAME__fire_notify_date</vt:lpstr>
      <vt:lpstr>don_OFFICE_OFFICE_CORP_NAME__fire_submit_date</vt:lpstr>
      <vt:lpstr>don_OFFICE_OFFICE_CORP_NAME__health_notify_date</vt:lpstr>
      <vt:lpstr>don_OFFICE_OFFICE_CORP_NAME__hikiuke_date</vt:lpstr>
      <vt:lpstr>don_OFFICE_OFFICE_CORP_NAME__hikiuke_tuuti_date</vt:lpstr>
      <vt:lpstr>don_OFFICE_OFFICE_CORP_NAME__income_date</vt:lpstr>
      <vt:lpstr>don_OFFICE_OFFICE_CORP_NAME__issue_date</vt:lpstr>
      <vt:lpstr>don_OFFICE_OFFICE_CORP_NAME__notify_date</vt:lpstr>
      <vt:lpstr>don_OFFICE_OFFICE_CORP_NAME__print_time</vt:lpstr>
      <vt:lpstr>don_OFFICE_OFFICE_CORP_NAME__provo_date</vt:lpstr>
      <vt:lpstr>don_OFFICE_OFFICE_CORP_NAME__report_date</vt:lpstr>
      <vt:lpstr>don_OFFICE_OFFICE_CORP_NAME__str_encyou_tuuti_date</vt:lpstr>
      <vt:lpstr>don_OFFICE_OFFICE_CORP_NAME__str_irai_date</vt:lpstr>
      <vt:lpstr>don_OFFICE_OFFICE_CORP_NAME__str_prove_notify_date</vt:lpstr>
      <vt:lpstr>don_OFFICE_POST__charge_base_date</vt:lpstr>
      <vt:lpstr>don_OFFICE_POST__fire_notify_date</vt:lpstr>
      <vt:lpstr>don_OFFICE_POST__fire_submit_date</vt:lpstr>
      <vt:lpstr>don_OFFICE_POST__health_notify_date</vt:lpstr>
      <vt:lpstr>don_OFFICE_POST__hikiuke_date</vt:lpstr>
      <vt:lpstr>don_OFFICE_POST__hikiuke_tuuti_date</vt:lpstr>
      <vt:lpstr>don_OFFICE_POST__income_date</vt:lpstr>
      <vt:lpstr>don_OFFICE_POST__issue_date</vt:lpstr>
      <vt:lpstr>don_OFFICE_POST__notify_date</vt:lpstr>
      <vt:lpstr>don_OFFICE_POST__print_time</vt:lpstr>
      <vt:lpstr>don_OFFICE_POST__provo_date</vt:lpstr>
      <vt:lpstr>don_OFFICE_POST__report_date</vt:lpstr>
      <vt:lpstr>don_OFFICE_POST__str_encyou_tuuti_date</vt:lpstr>
      <vt:lpstr>don_OFFICE_POST__str_irai_date</vt:lpstr>
      <vt:lpstr>don_OFFICE_POST__str_prove_notify_date</vt:lpstr>
      <vt:lpstr>don_OFFICE_TANTOU__charge_base_date</vt:lpstr>
      <vt:lpstr>don_OFFICE_TANTOU__fire_notify_date</vt:lpstr>
      <vt:lpstr>don_OFFICE_TANTOU__fire_submit_date</vt:lpstr>
      <vt:lpstr>don_OFFICE_TANTOU__health_notify_date</vt:lpstr>
      <vt:lpstr>don_OFFICE_TANTOU__hikiuke_date</vt:lpstr>
      <vt:lpstr>don_OFFICE_TANTOU__hikiuke_tuuti_date</vt:lpstr>
      <vt:lpstr>don_OFFICE_TANTOU__income_date</vt:lpstr>
      <vt:lpstr>don_OFFICE_TANTOU__issue_date</vt:lpstr>
      <vt:lpstr>don_OFFICE_TANTOU__notify_date</vt:lpstr>
      <vt:lpstr>don_OFFICE_TANTOU__print_time</vt:lpstr>
      <vt:lpstr>don_OFFICE_TANTOU__provo_date</vt:lpstr>
      <vt:lpstr>don_OFFICE_TANTOU__report_date</vt:lpstr>
      <vt:lpstr>don_OFFICE_TANTOU__str_encyou_tuuti_date</vt:lpstr>
      <vt:lpstr>don_OFFICE_TANTOU__str_irai_date</vt:lpstr>
      <vt:lpstr>don_OFFICE_TANTOU__str_prove_notify_date</vt:lpstr>
      <vt:lpstr>don_OFFICE_TEL__charge_base_date</vt:lpstr>
      <vt:lpstr>don_OFFICE_TEL__fire_notify_date</vt:lpstr>
      <vt:lpstr>don_OFFICE_TEL__fire_submit_date</vt:lpstr>
      <vt:lpstr>don_OFFICE_TEL__health_notify_date</vt:lpstr>
      <vt:lpstr>don_OFFICE_TEL__hikiuke_date</vt:lpstr>
      <vt:lpstr>don_OFFICE_TEL__hikiuke_tuuti_date</vt:lpstr>
      <vt:lpstr>don_OFFICE_TEL__income_date</vt:lpstr>
      <vt:lpstr>don_OFFICE_TEL__issue_date</vt:lpstr>
      <vt:lpstr>don_OFFICE_TEL__notify_date</vt:lpstr>
      <vt:lpstr>don_OFFICE_TEL__print_time</vt:lpstr>
      <vt:lpstr>don_OFFICE_TEL__provo_date</vt:lpstr>
      <vt:lpstr>don_OFFICE_TEL__report_date</vt:lpstr>
      <vt:lpstr>don_OFFICE_TEL__str_encyou_tuuti_date</vt:lpstr>
      <vt:lpstr>don_OFFICE_TEL__str_irai_date</vt:lpstr>
      <vt:lpstr>don_OFFICE_TEL__str_prove_notify_date</vt:lpstr>
      <vt:lpstr>don_OFFICE_TEL_tokyo_sinsa__print_time</vt:lpstr>
      <vt:lpstr>don_OFFICE_WORD1__print_time</vt:lpstr>
      <vt:lpstr>don_OFFICE_WORD2__print_time</vt:lpstr>
      <vt:lpstr>don_SEARCH_DATE__charge_base_date</vt:lpstr>
      <vt:lpstr>don_SEARCH_DATE__fire_notify_date</vt:lpstr>
      <vt:lpstr>don_SEARCH_DATE__fire_submit_date</vt:lpstr>
      <vt:lpstr>don_SEARCH_DATE__health_notify_date</vt:lpstr>
      <vt:lpstr>don_SEARCH_DATE__hikiuke_date</vt:lpstr>
      <vt:lpstr>don_SEARCH_DATE__hikiuke_tuuti_date</vt:lpstr>
      <vt:lpstr>don_SEARCH_DATE__income_date</vt:lpstr>
      <vt:lpstr>don_SEARCH_DATE__issue_date</vt:lpstr>
      <vt:lpstr>don_SEARCH_DATE__notify_date</vt:lpstr>
      <vt:lpstr>don_SEARCH_DATE__print_time</vt:lpstr>
      <vt:lpstr>don_SEARCH_DATE__provo_date</vt:lpstr>
      <vt:lpstr>don_SEARCH_DATE__report_date</vt:lpstr>
      <vt:lpstr>don_SEARCH_DATE__str_encyou_tuuti_date</vt:lpstr>
      <vt:lpstr>don_SEARCH_DATE__str_irai_date</vt:lpstr>
      <vt:lpstr>don_SEARCH_DATE__str_prove_notify_date</vt:lpstr>
      <vt:lpstr>don_SEARCH_RESOLT__charge_base_date</vt:lpstr>
      <vt:lpstr>don_SEARCH_RESOLT__fire_notify_date</vt:lpstr>
      <vt:lpstr>don_SEARCH_RESOLT__fire_submit_date</vt:lpstr>
      <vt:lpstr>don_SEARCH_RESOLT__health_notify_date</vt:lpstr>
      <vt:lpstr>don_SEARCH_RESOLT__hikiuke_date</vt:lpstr>
      <vt:lpstr>don_SEARCH_RESOLT__hikiuke_tuuti_date</vt:lpstr>
      <vt:lpstr>don_SEARCH_RESOLT__income_date</vt:lpstr>
      <vt:lpstr>don_SEARCH_RESOLT__issue_date</vt:lpstr>
      <vt:lpstr>don_SEARCH_RESOLT__notify_date</vt:lpstr>
      <vt:lpstr>don_SEARCH_RESOLT__print_time</vt:lpstr>
      <vt:lpstr>don_SEARCH_RESOLT__provo_date</vt:lpstr>
      <vt:lpstr>don_SEARCH_RESOLT__report_date</vt:lpstr>
      <vt:lpstr>don_SEARCH_RESOLT__str_encyou_tuuti_date</vt:lpstr>
      <vt:lpstr>don_SEARCH_RESOLT__str_irai_date</vt:lpstr>
      <vt:lpstr>don_SEARCH_RESOLT__str_prove_notify_date</vt:lpstr>
      <vt:lpstr>don_SearchErea1_CIAS</vt:lpstr>
      <vt:lpstr>don_SearchErea2_CIAS</vt:lpstr>
      <vt:lpstr>don_SearchErea3_CIAS</vt:lpstr>
      <vt:lpstr>don_SearchErea4_CIAS</vt:lpstr>
      <vt:lpstr>don_SearchErea5_CIAS</vt:lpstr>
      <vt:lpstr>don_SearchEreaX</vt:lpstr>
      <vt:lpstr>erea_CHARGE_DETAIL</vt:lpstr>
      <vt:lpstr>erea_CHARGE_DETAIL_vlookup</vt:lpstr>
      <vt:lpstr>erea_check_BUTTON_KIND</vt:lpstr>
      <vt:lpstr>erea_check_INSPECTION_TYPE</vt:lpstr>
      <vt:lpstr>erea_check_TARGET_KIND</vt:lpstr>
      <vt:lpstr>firstconf_shinsei_strtower01_JUDGE</vt:lpstr>
      <vt:lpstr>flat35_ACCEPT_NO</vt:lpstr>
      <vt:lpstr>flat35_DI_ACCEPT_DATE</vt:lpstr>
      <vt:lpstr>flat35_DI_ISSUE_DATE</vt:lpstr>
      <vt:lpstr>flg_NOTIFY_DATE</vt:lpstr>
      <vt:lpstr>flg_NOTIFY_DATE__1506</vt:lpstr>
      <vt:lpstr>hiderowsflag_建築物_確認済証_1506</vt:lpstr>
      <vt:lpstr>hiderowsflag_建築物_審査報告書_1506</vt:lpstr>
      <vt:lpstr>kakaru_shinsei_ACCEPT_DATE</vt:lpstr>
      <vt:lpstr>kakaru_shinsei_FIRE_SUBMIT_DATE</vt:lpstr>
      <vt:lpstr>kakaru_shinsei_HIKIUKE_DATE</vt:lpstr>
      <vt:lpstr>kakaru_shinsei_INSPECTION_TYPE</vt:lpstr>
      <vt:lpstr>kakaru_shinsei_ISSUE_DATE</vt:lpstr>
      <vt:lpstr>kakaru_shinsei_ISSUE_KOUFU_NAME</vt:lpstr>
      <vt:lpstr>kakaru_shinsei_ISSUE_NO</vt:lpstr>
      <vt:lpstr>kakaru_shinsei_UKETUKE_NO</vt:lpstr>
      <vt:lpstr>label_GYOUSEI_NO</vt:lpstr>
      <vt:lpstr>lastinter_shinsei_intermediate_SPECIFIC_KOUTEI</vt:lpstr>
      <vt:lpstr>lastinter_shinsei_ISSUE_DATE</vt:lpstr>
      <vt:lpstr>lastinter_shinsei_ISSUE_NO</vt:lpstr>
      <vt:lpstr>lnk_OFFICE_SELECT</vt:lpstr>
      <vt:lpstr>output_CHARGE_DETAIL_kakunin_fee</vt:lpstr>
      <vt:lpstr>output_CHARGE_DETAIL_kanryou_fee</vt:lpstr>
      <vt:lpstr>output_CHARGE_DETAIL_shuchou_fee</vt:lpstr>
      <vt:lpstr>owner_count</vt:lpstr>
      <vt:lpstr>owner_name1</vt:lpstr>
      <vt:lpstr>owner_name2</vt:lpstr>
      <vt:lpstr>owner_name3</vt:lpstr>
      <vt:lpstr>owner_name4</vt:lpstr>
      <vt:lpstr>owner_name5</vt:lpstr>
      <vt:lpstr>owner_name6</vt:lpstr>
      <vt:lpstr>p2_shinsei_HEN_SUMI_KOUFU_DATE</vt:lpstr>
      <vt:lpstr>p2_shinsei_HEN_SUMI_KOUFU_NAME</vt:lpstr>
      <vt:lpstr>p2_shinsei_HEN_SUMI_NO</vt:lpstr>
      <vt:lpstr>p2_shinsei_ISSUE_DATE</vt:lpstr>
      <vt:lpstr>p2_shinsei_ISSUE_NO</vt:lpstr>
      <vt:lpstr>p2_shinsei_KAKUNINZUMI_KENSAIN</vt:lpstr>
      <vt:lpstr>建_請求書_大阪!Print_Area</vt:lpstr>
      <vt:lpstr>prule_cells</vt:lpstr>
      <vt:lpstr>prule_printer</vt:lpstr>
      <vt:lpstr>prule_printer_default</vt:lpstr>
      <vt:lpstr>prule_sheetname</vt:lpstr>
      <vt:lpstr>search_CHARGE_DETAIL_ecoteki</vt:lpstr>
      <vt:lpstr>search_CHARGE_DETAIL_ecoteki_fee</vt:lpstr>
      <vt:lpstr>search_CHARGE_DETAIL_fd</vt:lpstr>
      <vt:lpstr>search_CHARGE_DETAIL_fd_fee</vt:lpstr>
      <vt:lpstr>search_CHARGE_DETAIL_fukusuutou</vt:lpstr>
      <vt:lpstr>search_CHARGE_DETAIL_fukusuutou_fee</vt:lpstr>
      <vt:lpstr>search_CHARGE_DETAIL_genkaitairyoku</vt:lpstr>
      <vt:lpstr>search_CHARGE_DETAIL_genkaitairyoku_fee</vt:lpstr>
      <vt:lpstr>search_CHARGE_DETAIL_hinananzen</vt:lpstr>
      <vt:lpstr>search_CHARGE_DETAIL_hinananzen_fee</vt:lpstr>
      <vt:lpstr>search_CHARGE_DETAIL_kakunin_fee</vt:lpstr>
      <vt:lpstr>search_CHARGE_DETAIL_kanryou_fee</vt:lpstr>
      <vt:lpstr>search_CHARGE_DETAIL_kensa_shuchou</vt:lpstr>
      <vt:lpstr>search_CHARGE_DETAIL_kensa_shuchou_fee</vt:lpstr>
      <vt:lpstr>search_CHARGE_DETAIL_shoukouki_heigan</vt:lpstr>
      <vt:lpstr>search_CHARGE_DETAIL_shoukouki_heigan_fee</vt:lpstr>
      <vt:lpstr>search_CHARGE_DETAIL_shoukouki_kouzou_kentou</vt:lpstr>
      <vt:lpstr>search_CHARGE_DETAIL_shoukouki_kouzou_kentou_fee</vt:lpstr>
      <vt:lpstr>search_CHARGE_DETAIL_shuchou</vt:lpstr>
      <vt:lpstr>search_CHARGE_DETAIL_shuchou_fee</vt:lpstr>
      <vt:lpstr>search_CHARGE_DETAIL_sonotakasan</vt:lpstr>
      <vt:lpstr>search_CHARGE_DETAIL_sonotakasan_fee</vt:lpstr>
      <vt:lpstr>search_CHARGE_DETAIL_taikabouka</vt:lpstr>
      <vt:lpstr>search_CHARGE_DETAIL_taikabouka_fee</vt:lpstr>
      <vt:lpstr>search_CHARGE_DETAIL_waribiki</vt:lpstr>
      <vt:lpstr>search_CHARGE_DETAIL_waribiki_fee</vt:lpstr>
      <vt:lpstr>search_CHARGE_DETAIL_waribiki_fee_plus</vt:lpstr>
      <vt:lpstr>select_KESSAI_text01</vt:lpstr>
      <vt:lpstr>select_KESSAI_text02</vt:lpstr>
      <vt:lpstr>select_KESSAI_text03</vt:lpstr>
      <vt:lpstr>separate01</vt:lpstr>
      <vt:lpstr>separate02</vt:lpstr>
      <vt:lpstr>separate03</vt:lpstr>
      <vt:lpstr>separate04</vt:lpstr>
      <vt:lpstr>separate05</vt:lpstr>
      <vt:lpstr>separate06</vt:lpstr>
      <vt:lpstr>separate27</vt:lpstr>
      <vt:lpstr>set_output_finished</vt:lpstr>
      <vt:lpstr>set_output_finished__NEXT</vt:lpstr>
      <vt:lpstr>shinsei_ACCEPT_DATE</vt:lpstr>
      <vt:lpstr>shinsei_ACCEPT_JUDGE_STRUCT_TAIOUDO</vt:lpstr>
      <vt:lpstr>shinsei_ACCEPT_NOTE</vt:lpstr>
      <vt:lpstr>shinsei_ACCEPT_TOKKI_JIKOU</vt:lpstr>
      <vt:lpstr>shinsei_ANZEN_SHINSA_FLAG</vt:lpstr>
      <vt:lpstr>shinsei_APPLICANT__address</vt:lpstr>
      <vt:lpstr>shinsei_APPLICANT_CORP</vt:lpstr>
      <vt:lpstr>shinsei_APPLICANT_NAME</vt:lpstr>
      <vt:lpstr>shinsei_APPLICANT_NAME_KANA</vt:lpstr>
      <vt:lpstr>shinsei_APPLICANT_POST</vt:lpstr>
      <vt:lpstr>shinsei_APPLICANT_TEL</vt:lpstr>
      <vt:lpstr>shinsei_APPLICANT_ZIP</vt:lpstr>
      <vt:lpstr>shinsei_applicant02__address</vt:lpstr>
      <vt:lpstr>shinsei_applicant02_JIMU_NAME</vt:lpstr>
      <vt:lpstr>shinsei_applicant02_NAME</vt:lpstr>
      <vt:lpstr>shinsei_applicant02_POST</vt:lpstr>
      <vt:lpstr>shinsei_applicant02_TEL</vt:lpstr>
      <vt:lpstr>shinsei_applicant02_ZIP</vt:lpstr>
      <vt:lpstr>shinsei_applicant03__address</vt:lpstr>
      <vt:lpstr>shinsei_applicant03_JIMU_NAME</vt:lpstr>
      <vt:lpstr>shinsei_applicant03_NAME</vt:lpstr>
      <vt:lpstr>shinsei_applicant03_POST</vt:lpstr>
      <vt:lpstr>shinsei_applicant03_TEL</vt:lpstr>
      <vt:lpstr>shinsei_applicant03_ZIP</vt:lpstr>
      <vt:lpstr>shinsei_applicant04__address</vt:lpstr>
      <vt:lpstr>shinsei_applicant04_JIMU_NAME</vt:lpstr>
      <vt:lpstr>shinsei_applicant04_NAME</vt:lpstr>
      <vt:lpstr>shinsei_applicant04_POST</vt:lpstr>
      <vt:lpstr>shinsei_applicant04_TEL</vt:lpstr>
      <vt:lpstr>shinsei_applicant04_ZIP</vt:lpstr>
      <vt:lpstr>shinsei_applicant05__address</vt:lpstr>
      <vt:lpstr>shinsei_applicant05_JIMU_NAME</vt:lpstr>
      <vt:lpstr>shinsei_applicant05_NAME</vt:lpstr>
      <vt:lpstr>shinsei_applicant05_POST</vt:lpstr>
      <vt:lpstr>shinsei_applicant05_TEL</vt:lpstr>
      <vt:lpstr>shinsei_applicant05_ZIP</vt:lpstr>
      <vt:lpstr>shinsei_applicant06__address</vt:lpstr>
      <vt:lpstr>shinsei_applicant06_JIMU_NAME</vt:lpstr>
      <vt:lpstr>shinsei_applicant06_NAME</vt:lpstr>
      <vt:lpstr>shinsei_applicant06_POST</vt:lpstr>
      <vt:lpstr>shinsei_applicant06_TEL</vt:lpstr>
      <vt:lpstr>shinsei_applicant06_ZIP</vt:lpstr>
      <vt:lpstr>shinsei_applicant07__address</vt:lpstr>
      <vt:lpstr>shinsei_applicant07_JIMU_NAME</vt:lpstr>
      <vt:lpstr>shinsei_applicant07_NAME</vt:lpstr>
      <vt:lpstr>shinsei_applicant07_POST</vt:lpstr>
      <vt:lpstr>shinsei_applicant07_TEL</vt:lpstr>
      <vt:lpstr>shinsei_applicant07_ZIP</vt:lpstr>
      <vt:lpstr>shinsei_BILL_NAME</vt:lpstr>
      <vt:lpstr>shinsei_BIRUKAN_HEALTH_CENTER_NAME</vt:lpstr>
      <vt:lpstr>shinsei_BIRUKAN_NOTIFY_DATE</vt:lpstr>
      <vt:lpstr>shinsei_BIRUKAN_NOTIFY_SONOTA</vt:lpstr>
      <vt:lpstr>shinsei_build_address</vt:lpstr>
      <vt:lpstr>shinsei_build_BETU_KIKAN_FLAG</vt:lpstr>
      <vt:lpstr>shinsei_build_BILL_SHINSEI_COUNT</vt:lpstr>
      <vt:lpstr>shinsei_build_BILL_SONOTA_COUNT</vt:lpstr>
      <vt:lpstr>shinsei_build_BOUKA_BOUKA</vt:lpstr>
      <vt:lpstr>shinsei_build_BOUKA_JYUN_BOUKA</vt:lpstr>
      <vt:lpstr>shinsei_build_BOUKA_NASI</vt:lpstr>
      <vt:lpstr>shinsei_build_DOURO_SIKITI_HASSO_DATE</vt:lpstr>
      <vt:lpstr>shinsei_build_GENTI_CYOUSA_DATE</vt:lpstr>
      <vt:lpstr>shinsei_build_HIKIUKE_MIKOMI_DATE</vt:lpstr>
      <vt:lpstr>shinsei_build_ISYOU_SHINSA_COMMENT</vt:lpstr>
      <vt:lpstr>shinsei_build_ISYOU_SYUURYOU_DATE</vt:lpstr>
      <vt:lpstr>shinsei_build_JYUKYO__address</vt:lpstr>
      <vt:lpstr>shinsei_build_KAISU_TIJYOU_SHINSEI</vt:lpstr>
      <vt:lpstr>shinsei_build_KAISU_TIKA_SHINSEI__zero</vt:lpstr>
      <vt:lpstr>shinsei_build_KARI_UKETUKE_KIBOU_DATE</vt:lpstr>
      <vt:lpstr>shinsei_build_KENPEI_RITU</vt:lpstr>
      <vt:lpstr>shinsei_build_KENPEI_RITU_A</vt:lpstr>
      <vt:lpstr>shinsei_build_kouji</vt:lpstr>
      <vt:lpstr>shinsei_build_KOUJI_DAI_MOYOUGAE</vt:lpstr>
      <vt:lpstr>shinsei_build_KOUJI_DAI_SYUUZEN</vt:lpstr>
      <vt:lpstr>shinsei_build_KOUJI_ITEN</vt:lpstr>
      <vt:lpstr>shinsei_build_KOUJI_KAITIKU</vt:lpstr>
      <vt:lpstr>shinsei_build_KOUJI_SINTIKU</vt:lpstr>
      <vt:lpstr>shinsei_build_KOUJI_YOUTOHENKOU</vt:lpstr>
      <vt:lpstr>shinsei_build_KOUJI_ZOUTIKU</vt:lpstr>
      <vt:lpstr>shinsei_build_kouzou</vt:lpstr>
      <vt:lpstr>shinsei_build_KOUZOU_SHINSA_COMMENT</vt:lpstr>
      <vt:lpstr>shinsei_build_KOUZOU_SYUURYOU_DATE</vt:lpstr>
      <vt:lpstr>shinsei_build_KOUZOU1</vt:lpstr>
      <vt:lpstr>shinsei_build_KOUZOU2</vt:lpstr>
      <vt:lpstr>shinsei_BUILD_NAME</vt:lpstr>
      <vt:lpstr>shinsei_BUILD_NAME_COMP</vt:lpstr>
      <vt:lpstr>shinsei_build_NOBE_MENSEKI_BILL_SHINSEI</vt:lpstr>
      <vt:lpstr>shinsei_build_NOBE_MENSEKI_BILL_SHINSEI_IGAI__zero</vt:lpstr>
      <vt:lpstr>shinsei_build_NOBE_MENSEKI_BILL_SHINSEI_TOTAL</vt:lpstr>
      <vt:lpstr>shinsei_build_p4_TAIKA_KENTIKU</vt:lpstr>
      <vt:lpstr>shinsei_build_p4_TAKASA_KEN_MAX</vt:lpstr>
      <vt:lpstr>shinsei_build_p4_TAKASA_MAX</vt:lpstr>
      <vt:lpstr>shinsei_build_PAGE2_KENTIKUSI_BIKO</vt:lpstr>
      <vt:lpstr>shinsei_build_PAGE3_BIKOU</vt:lpstr>
      <vt:lpstr>shinsei_build_PAGE3_SONOTA</vt:lpstr>
      <vt:lpstr>shinsei_build_SHIKITI_MENSEKI_1_TOTAL</vt:lpstr>
      <vt:lpstr>shinsei_build_SONOTA_KUIKI</vt:lpstr>
      <vt:lpstr>shinsei_build_STAT_HOU6_1</vt:lpstr>
      <vt:lpstr>shinsei_build_STAT_KOUHOU</vt:lpstr>
      <vt:lpstr>shinsei_build_STAT_SEPTICTANK_CAPACITY</vt:lpstr>
      <vt:lpstr>shinsei_build_STAT_SEPTICTANK_SYORI</vt:lpstr>
      <vt:lpstr>shinsei_build_TOKUREI_56_7</vt:lpstr>
      <vt:lpstr>shinsei_build_TOKUREI_56_7_DOURO_KITA</vt:lpstr>
      <vt:lpstr>shinsei_build_TOKUREI_56_7_DOURO_RINTI</vt:lpstr>
      <vt:lpstr>shinsei_build_TOKUREI_56_7_DOURO_TAKASA</vt:lpstr>
      <vt:lpstr>shinsei_build_YOUSEKI_RITU</vt:lpstr>
      <vt:lpstr>shinsei_build_YOUSEKI_RITU_A</vt:lpstr>
      <vt:lpstr>shinsei_build_YOUTO</vt:lpstr>
      <vt:lpstr>shinsei_build_YOUTO_CODE</vt:lpstr>
      <vt:lpstr>shinsei_build_YOUTO_PRINT</vt:lpstr>
      <vt:lpstr>shinsei_build_YOUTO_TIIKI_A</vt:lpstr>
      <vt:lpstr>shinsei_build_ZUMISYOU_KIBOU_DATE</vt:lpstr>
      <vt:lpstr>shinsei_BUILDSHINSEI_ISSUE_NO</vt:lpstr>
      <vt:lpstr>shinsei_CHARGE_ID__BASE_DATE</vt:lpstr>
      <vt:lpstr>shinsei_CHARGE_ID__BASIC_CHARGE</vt:lpstr>
      <vt:lpstr>shinsei_CHARGE_ID__bill__date</vt:lpstr>
      <vt:lpstr>shinsei_CHARGE_ID__BILL_TYPE</vt:lpstr>
      <vt:lpstr>shinsei_CHARGE_ID__cust__address</vt:lpstr>
      <vt:lpstr>shinsei_CHARGE_ID__cust__caption</vt:lpstr>
      <vt:lpstr>shinsei_CHARGE_ID__cust__tel</vt:lpstr>
      <vt:lpstr>shinsei_CHARGE_ID__cust__zip</vt:lpstr>
      <vt:lpstr>shinsei_CHARGE_ID__DENPYOU_NO</vt:lpstr>
      <vt:lpstr>shinsei_CHARGE_ID__income01_INCOME_DATE</vt:lpstr>
      <vt:lpstr>shinsei_CHARGE_ID__income01_INCOME_MONEY</vt:lpstr>
      <vt:lpstr>shinsei_CHARGE_ID__income02_INCOME_DATE</vt:lpstr>
      <vt:lpstr>shinsei_CHARGE_ID__income02_INCOME_MONEY</vt:lpstr>
      <vt:lpstr>shinsei_CHARGE_ID__income03_INCOME_DATE</vt:lpstr>
      <vt:lpstr>shinsei_CHARGE_ID__income03_INCOME_MONEY</vt:lpstr>
      <vt:lpstr>shinsei_CHARGE_ID__meisai01_ITEM_NAME</vt:lpstr>
      <vt:lpstr>shinsei_CHARGE_ID__meisai01_SURYOU</vt:lpstr>
      <vt:lpstr>shinsei_CHARGE_ID__meisai01_SYOUKEI</vt:lpstr>
      <vt:lpstr>shinsei_CHARGE_ID__meisai01_TANKA</vt:lpstr>
      <vt:lpstr>shinsei_CHARGE_ID__meisai02_ITEM_NAME</vt:lpstr>
      <vt:lpstr>shinsei_CHARGE_ID__meisai02_SURYOU</vt:lpstr>
      <vt:lpstr>shinsei_CHARGE_ID__meisai02_SYOUKEI</vt:lpstr>
      <vt:lpstr>shinsei_CHARGE_ID__meisai02_TANKA</vt:lpstr>
      <vt:lpstr>shinsei_CHARGE_ID__meisai03_ITEM_NAME</vt:lpstr>
      <vt:lpstr>shinsei_CHARGE_ID__meisai03_SURYOU</vt:lpstr>
      <vt:lpstr>shinsei_CHARGE_ID__meisai03_SYOUKEI</vt:lpstr>
      <vt:lpstr>shinsei_CHARGE_ID__meisai03_TANKA</vt:lpstr>
      <vt:lpstr>shinsei_CHARGE_ID__meisai04_ITEM_NAME</vt:lpstr>
      <vt:lpstr>shinsei_CHARGE_ID__meisai04_SURYOU</vt:lpstr>
      <vt:lpstr>shinsei_CHARGE_ID__meisai04_SYOUKEI</vt:lpstr>
      <vt:lpstr>shinsei_CHARGE_ID__meisai04_TANKA</vt:lpstr>
      <vt:lpstr>shinsei_CHARGE_ID__meisai05_ITEM_NAME</vt:lpstr>
      <vt:lpstr>shinsei_CHARGE_ID__meisai05_SURYOU</vt:lpstr>
      <vt:lpstr>shinsei_CHARGE_ID__meisai05_SYOUKEI</vt:lpstr>
      <vt:lpstr>shinsei_CHARGE_ID__meisai05_TANKA</vt:lpstr>
      <vt:lpstr>shinsei_CHARGE_ID__meisai06_ITEM_NAME</vt:lpstr>
      <vt:lpstr>shinsei_CHARGE_ID__meisai06_SURYOU</vt:lpstr>
      <vt:lpstr>shinsei_CHARGE_ID__meisai06_SYOUKEI</vt:lpstr>
      <vt:lpstr>shinsei_CHARGE_ID__meisai06_TANKA</vt:lpstr>
      <vt:lpstr>shinsei_CHARGE_ID__meisai07_ITEM_NAME</vt:lpstr>
      <vt:lpstr>shinsei_CHARGE_ID__meisai07_SURYOU</vt:lpstr>
      <vt:lpstr>shinsei_CHARGE_ID__meisai07_SYOUKEI</vt:lpstr>
      <vt:lpstr>shinsei_CHARGE_ID__meisai07_TANKA</vt:lpstr>
      <vt:lpstr>shinsei_CHARGE_ID__meisai08_ITEM_NAME</vt:lpstr>
      <vt:lpstr>shinsei_CHARGE_ID__meisai08_SURYOU</vt:lpstr>
      <vt:lpstr>shinsei_CHARGE_ID__meisai08_SYOUKEI</vt:lpstr>
      <vt:lpstr>shinsei_CHARGE_ID__meisai08_TANKA</vt:lpstr>
      <vt:lpstr>shinsei_CHARGE_ID__meisai09_ITEM_NAME</vt:lpstr>
      <vt:lpstr>shinsei_CHARGE_ID__meisai09_SURYOU</vt:lpstr>
      <vt:lpstr>shinsei_CHARGE_ID__meisai09_SYOUKEI</vt:lpstr>
      <vt:lpstr>shinsei_CHARGE_ID__meisai09_TANKA</vt:lpstr>
      <vt:lpstr>shinsei_CHARGE_ID__meisai10_ITEM_NAME</vt:lpstr>
      <vt:lpstr>shinsei_CHARGE_ID__meisai10_SURYOU</vt:lpstr>
      <vt:lpstr>shinsei_CHARGE_ID__meisai10_SYOUKEI</vt:lpstr>
      <vt:lpstr>shinsei_CHARGE_ID__meisai10_TANKA</vt:lpstr>
      <vt:lpstr>shinsei_CHARGE_ID__meisai11_ITEM_NAME</vt:lpstr>
      <vt:lpstr>shinsei_CHARGE_ID__meisai11_SURYOU</vt:lpstr>
      <vt:lpstr>shinsei_CHARGE_ID__meisai11_SYOUKEI</vt:lpstr>
      <vt:lpstr>shinsei_CHARGE_ID__meisai11_TANKA</vt:lpstr>
      <vt:lpstr>shinsei_CHARGE_ID__NOTE</vt:lpstr>
      <vt:lpstr>shinsei_CHARGE_ID__PRICE__tekihan</vt:lpstr>
      <vt:lpstr>shinsei_CHARGE_ID__PRICE__tekihannozoku</vt:lpstr>
      <vt:lpstr>shinsei_CHARGE_ID__RECEIPT_DATE</vt:lpstr>
      <vt:lpstr>shinsei_CHARGE_ID__RECEIPT_PRICE</vt:lpstr>
      <vt:lpstr>shinsei_CHARGE_ID__RECEIPT_TO</vt:lpstr>
      <vt:lpstr>shinsei_CHARGE_ID__STR_CHARGE</vt:lpstr>
      <vt:lpstr>shinsei_CHARGE_ID__STR_CHARGE_WARIMASHI</vt:lpstr>
      <vt:lpstr>shinsei_CHARGE_ID__TIIKIWARIMASHI_CHARGE</vt:lpstr>
      <vt:lpstr>shinsei_CHARGE_ID__TIIKIWARIMASHI_SURYOU</vt:lpstr>
      <vt:lpstr>shinsei_CHARGE_ID__TIIKIWARIMASHI_TANKA</vt:lpstr>
      <vt:lpstr>shinsei_CHARGE_ID2__BASE_DATE</vt:lpstr>
      <vt:lpstr>shinsei_CHARGE_ID2__BASIC_CHARGE</vt:lpstr>
      <vt:lpstr>shinsei_CHARGE_ID2__bill__date</vt:lpstr>
      <vt:lpstr>shinsei_CHARGE_ID2__bill__no</vt:lpstr>
      <vt:lpstr>shinsei_CHARGE_ID2__CASH_FLAG</vt:lpstr>
      <vt:lpstr>shinsei_CHARGE_ID2__DENPYOU_NO</vt:lpstr>
      <vt:lpstr>shinsei_CHARGE_ID2__DENPYOU_PRICE</vt:lpstr>
      <vt:lpstr>shinsei_CHARGE_ID2__ENABLED</vt:lpstr>
      <vt:lpstr>shinsei_CHARGE_ID2__meisai01_ITEM_NAME</vt:lpstr>
      <vt:lpstr>shinsei_CHARGE_ID2__meisai01_SYOUKEI</vt:lpstr>
      <vt:lpstr>shinsei_CHARGE_ID2__meisai02_ITEM_NAME</vt:lpstr>
      <vt:lpstr>shinsei_CHARGE_ID2__meisai02_SYOUKEI</vt:lpstr>
      <vt:lpstr>shinsei_CHARGE_ID2__meisai03_ITEM_NAME</vt:lpstr>
      <vt:lpstr>shinsei_CHARGE_ID2__meisai03_SYOUKEI</vt:lpstr>
      <vt:lpstr>shinsei_CHARGE_ID2__meisai04_ITEM_NAME</vt:lpstr>
      <vt:lpstr>shinsei_CHARGE_ID2__meisai04_SYOUKEI</vt:lpstr>
      <vt:lpstr>shinsei_CHARGE_ID2__meisai05_ITEM_NAME</vt:lpstr>
      <vt:lpstr>shinsei_CHARGE_ID2__meisai05_SYOUKEI</vt:lpstr>
      <vt:lpstr>shinsei_CHARGE_ID2__meisai06_ITEM_NAME</vt:lpstr>
      <vt:lpstr>shinsei_CHARGE_ID2__meisai06_SYOUKEI</vt:lpstr>
      <vt:lpstr>shinsei_CHARGE_ID2__meisai07_ITEM_NAME</vt:lpstr>
      <vt:lpstr>shinsei_CHARGE_ID2__meisai07_SYOUKEI</vt:lpstr>
      <vt:lpstr>shinsei_CHARGE_ID2__meisai08_ITEM_NAME</vt:lpstr>
      <vt:lpstr>shinsei_CHARGE_ID2__meisai08_SYOUKEI</vt:lpstr>
      <vt:lpstr>shinsei_CHARGE_ID2__meisai09_ITEM_NAME</vt:lpstr>
      <vt:lpstr>shinsei_CHARGE_ID2__meisai09_SYOUKEI</vt:lpstr>
      <vt:lpstr>shinsei_CHARGE_ID2__meisai10_ITEM_NAME</vt:lpstr>
      <vt:lpstr>shinsei_CHARGE_ID2__meisai10_SYOUKEI</vt:lpstr>
      <vt:lpstr>shinsei_CHARGE_ID2__meisai11_ITEM_NAME</vt:lpstr>
      <vt:lpstr>shinsei_CHARGE_ID2__meisai11_SYOUKEI</vt:lpstr>
      <vt:lpstr>shinsei_CHARGE_ID2__NOTE</vt:lpstr>
      <vt:lpstr>shinsei_CHARGE_ID2__RECEIPT_AREA</vt:lpstr>
      <vt:lpstr>shinsei_CHARGE_ID2__RECEIPT_DATE</vt:lpstr>
      <vt:lpstr>shinsei_CHARGE_ID2__RECEIPT_PRICE</vt:lpstr>
      <vt:lpstr>shinsei_CHARGE_ID2__RECEIPT_TO</vt:lpstr>
      <vt:lpstr>shinsei_CHARGE_ID2__STR_CHARGE</vt:lpstr>
      <vt:lpstr>shinsei_CHARGE_ID2__TIIKIWARIMASHI_CHARGE</vt:lpstr>
      <vt:lpstr>shinsei_CHARGE_ID3__BASE_DATE</vt:lpstr>
      <vt:lpstr>shinsei_CHARGE_ID3__BASIC_CHARGE</vt:lpstr>
      <vt:lpstr>shinsei_CHARGE_ID3__bill__date</vt:lpstr>
      <vt:lpstr>shinsei_CHARGE_ID3__bill__no</vt:lpstr>
      <vt:lpstr>shinsei_CHARGE_ID3__CASH_FLAG</vt:lpstr>
      <vt:lpstr>shinsei_CHARGE_ID3__DENPYOU_NO</vt:lpstr>
      <vt:lpstr>shinsei_CHARGE_ID3__DENPYOU_PRICE</vt:lpstr>
      <vt:lpstr>shinsei_CHARGE_ID3__meisai01_ITEM_NAME</vt:lpstr>
      <vt:lpstr>shinsei_CHARGE_ID3__meisai01_SYOUKEI</vt:lpstr>
      <vt:lpstr>shinsei_CHARGE_ID3__meisai02_ITEM_NAME</vt:lpstr>
      <vt:lpstr>shinsei_CHARGE_ID3__meisai02_SYOUKEI</vt:lpstr>
      <vt:lpstr>shinsei_CHARGE_ID3__meisai03_ITEM_NAME</vt:lpstr>
      <vt:lpstr>shinsei_CHARGE_ID3__meisai03_SYOUKEI</vt:lpstr>
      <vt:lpstr>shinsei_CHARGE_ID3__meisai04_ITEM_NAME</vt:lpstr>
      <vt:lpstr>shinsei_CHARGE_ID3__meisai04_SYOUKEI</vt:lpstr>
      <vt:lpstr>shinsei_CHARGE_ID3__meisai05_ITEM_NAME</vt:lpstr>
      <vt:lpstr>shinsei_CHARGE_ID3__meisai05_SYOUKEI</vt:lpstr>
      <vt:lpstr>shinsei_CHARGE_ID3__meisai06_ITEM_NAME</vt:lpstr>
      <vt:lpstr>shinsei_CHARGE_ID3__meisai06_SYOUKEI</vt:lpstr>
      <vt:lpstr>shinsei_CHARGE_ID3__meisai07_ITEM_NAME</vt:lpstr>
      <vt:lpstr>shinsei_CHARGE_ID3__meisai07_SYOUKEI</vt:lpstr>
      <vt:lpstr>shinsei_CHARGE_ID3__meisai08_ITEM_NAME</vt:lpstr>
      <vt:lpstr>shinsei_CHARGE_ID3__meisai08_SYOUKEI</vt:lpstr>
      <vt:lpstr>shinsei_CHARGE_ID3__meisai09_ITEM_NAME</vt:lpstr>
      <vt:lpstr>shinsei_CHARGE_ID3__meisai09_SYOUKEI</vt:lpstr>
      <vt:lpstr>shinsei_CHARGE_ID3__meisai10_ITEM_NAME</vt:lpstr>
      <vt:lpstr>shinsei_CHARGE_ID3__meisai10_SYOUKEI</vt:lpstr>
      <vt:lpstr>shinsei_CHARGE_ID3__meisai11_ITEM_NAME</vt:lpstr>
      <vt:lpstr>shinsei_CHARGE_ID3__meisai11_SYOUKEI</vt:lpstr>
      <vt:lpstr>shinsei_CHARGE_ID3__NOTE</vt:lpstr>
      <vt:lpstr>shinsei_CHARGE_ID3__RECEIPT_AREA</vt:lpstr>
      <vt:lpstr>shinsei_CHARGE_ID3__RECEIPT_DATE</vt:lpstr>
      <vt:lpstr>shinsei_CHARGE_ID3__RECEIPT_PRICE</vt:lpstr>
      <vt:lpstr>shinsei_CHARGE_ID3__RECEIPT_TO</vt:lpstr>
      <vt:lpstr>shinsei_CHARGE_ID3__STR_CHARGE</vt:lpstr>
      <vt:lpstr>shinsei_CHARGE_ID3__TIIKIWARIMASHI_CHARGE</vt:lpstr>
      <vt:lpstr>shinsei_CHARGE_ID3__ZERO_FLAG</vt:lpstr>
      <vt:lpstr>shinsei_CITY_ID__city</vt:lpstr>
      <vt:lpstr>shinsei_CITY_ID__ken</vt:lpstr>
      <vt:lpstr>shinsei_CITY_ID__street</vt:lpstr>
      <vt:lpstr>shinsei_CITY_ID__town</vt:lpstr>
      <vt:lpstr>shinsei_DAIRI__address</vt:lpstr>
      <vt:lpstr>shinsei_DAIRI_FAX</vt:lpstr>
      <vt:lpstr>shinsei_DAIRI_JIMU_NAME</vt:lpstr>
      <vt:lpstr>shinsei_DAIRI_JIMU_NO</vt:lpstr>
      <vt:lpstr>shinsei_DAIRI_JIMU_SIKAKU</vt:lpstr>
      <vt:lpstr>shinsei_DAIRI_JIMU_TOUROKU_KIKAN</vt:lpstr>
      <vt:lpstr>shinsei_DAIRI_KENSETUSI_NO</vt:lpstr>
      <vt:lpstr>shinsei_DAIRI_NAME</vt:lpstr>
      <vt:lpstr>shinsei_DAIRI_POST_CODE</vt:lpstr>
      <vt:lpstr>shinsei_DAIRI_SIKAKU</vt:lpstr>
      <vt:lpstr>shinsei_DAIRI_TEL</vt:lpstr>
      <vt:lpstr>shinsei_DAIRI_TOUROKU_KIKAN</vt:lpstr>
      <vt:lpstr>shinsei_dairi02__address</vt:lpstr>
      <vt:lpstr>shinsei_dairi02_FAX</vt:lpstr>
      <vt:lpstr>shinsei_dairi02_JIMU_NAME</vt:lpstr>
      <vt:lpstr>shinsei_dairi02_JIMU_NO</vt:lpstr>
      <vt:lpstr>shinsei_dairi02_JIMU_SIKAKU</vt:lpstr>
      <vt:lpstr>shinsei_dairi02_JIMU_TOUROKU_KIKAN</vt:lpstr>
      <vt:lpstr>shinsei_dairi02_KENSETUSI_NO</vt:lpstr>
      <vt:lpstr>shinsei_dairi02_NAME</vt:lpstr>
      <vt:lpstr>shinsei_dairi02_POST_CODE</vt:lpstr>
      <vt:lpstr>shinsei_dairi02_SIKAKU</vt:lpstr>
      <vt:lpstr>shinsei_dairi02_TEL</vt:lpstr>
      <vt:lpstr>shinsei_dairi02_TOUROKU_KIKAN</vt:lpstr>
      <vt:lpstr>shinsei_dairi03__address</vt:lpstr>
      <vt:lpstr>shinsei_dairi03_FAX</vt:lpstr>
      <vt:lpstr>shinsei_dairi03_JIMU_NAME</vt:lpstr>
      <vt:lpstr>shinsei_dairi03_JIMU_NO</vt:lpstr>
      <vt:lpstr>shinsei_dairi03_JIMU_SIKAKU</vt:lpstr>
      <vt:lpstr>shinsei_dairi03_JIMU_TOUROKU_KIKAN</vt:lpstr>
      <vt:lpstr>shinsei_dairi03_KENSETUSI_NO</vt:lpstr>
      <vt:lpstr>shinsei_dairi03_NAME</vt:lpstr>
      <vt:lpstr>shinsei_dairi03_POST_CODE</vt:lpstr>
      <vt:lpstr>shinsei_dairi03_SIKAKU</vt:lpstr>
      <vt:lpstr>shinsei_dairi03_TEL</vt:lpstr>
      <vt:lpstr>shinsei_dairi03_TOUROKU_KIKAN</vt:lpstr>
      <vt:lpstr>shinsei_dairi04__address</vt:lpstr>
      <vt:lpstr>shinsei_dairi04_FAX</vt:lpstr>
      <vt:lpstr>shinsei_dairi04_JIMU_NAME</vt:lpstr>
      <vt:lpstr>shinsei_dairi04_JIMU_NO</vt:lpstr>
      <vt:lpstr>shinsei_dairi04_JIMU_SIKAKU</vt:lpstr>
      <vt:lpstr>shinsei_dairi04_JIMU_TOUROKU_KIKAN</vt:lpstr>
      <vt:lpstr>shinsei_dairi04_KENSETUSI_NO</vt:lpstr>
      <vt:lpstr>shinsei_dairi04_NAME</vt:lpstr>
      <vt:lpstr>shinsei_dairi04_POST_CODE</vt:lpstr>
      <vt:lpstr>shinsei_dairi04_SIKAKU</vt:lpstr>
      <vt:lpstr>shinsei_dairi04_TEL</vt:lpstr>
      <vt:lpstr>shinsei_dairi04_TOUROKU_KIKAN</vt:lpstr>
      <vt:lpstr>shinsei_dairi05__address</vt:lpstr>
      <vt:lpstr>shinsei_dairi05_FAX</vt:lpstr>
      <vt:lpstr>shinsei_dairi05_JIMU_NAME</vt:lpstr>
      <vt:lpstr>shinsei_dairi05_JIMU_NO</vt:lpstr>
      <vt:lpstr>shinsei_dairi05_JIMU_SIKAKU</vt:lpstr>
      <vt:lpstr>shinsei_dairi05_JIMU_TOUROKU_KIKAN</vt:lpstr>
      <vt:lpstr>shinsei_dairi05_KENSETUSI_NO</vt:lpstr>
      <vt:lpstr>shinsei_dairi05_NAME</vt:lpstr>
      <vt:lpstr>shinsei_dairi05_POST_CODE</vt:lpstr>
      <vt:lpstr>shinsei_dairi05_SIKAKU</vt:lpstr>
      <vt:lpstr>shinsei_dairi05_TEL</vt:lpstr>
      <vt:lpstr>shinsei_dairi05_TOUROKU_KIKAN</vt:lpstr>
      <vt:lpstr>shinsei_ev_EV_BILL_NAME</vt:lpstr>
      <vt:lpstr>shinsei_ev_EV_BILL_YOUTO</vt:lpstr>
      <vt:lpstr>shinsei_ev_EV_COUNT</vt:lpstr>
      <vt:lpstr>shinsei_ev_EV_SEKISAI</vt:lpstr>
      <vt:lpstr>shinsei_ev_EV_SONOTA</vt:lpstr>
      <vt:lpstr>shinsei_ev_EV_SPEED</vt:lpstr>
      <vt:lpstr>shinsei_ev_EV_SYUBETU</vt:lpstr>
      <vt:lpstr>shinsei_ev_EV_TEIIN</vt:lpstr>
      <vt:lpstr>shinsei_ev_EV_YOUTO</vt:lpstr>
      <vt:lpstr>shinsei_ev_KOUSAKU_KOUJI_KAITIKU</vt:lpstr>
      <vt:lpstr>shinsei_ev_KOUSAKU_KOUJI_SHINTIKU</vt:lpstr>
      <vt:lpstr>shinsei_ev_KOUSAKU_KOUJI_SONOTA</vt:lpstr>
      <vt:lpstr>shinsei_ev_KOUSAKU_KOUJI_ZOUTIKU</vt:lpstr>
      <vt:lpstr>shinsei_ev_KOUSAKU_KOUZOU</vt:lpstr>
      <vt:lpstr>shinsei_ev_KOUSAKU_SONOTA</vt:lpstr>
      <vt:lpstr>shinsei_ev_KOUSAKU_SYURUI</vt:lpstr>
      <vt:lpstr>shinsei_ev_KOUSAKU_SYURUI_CODE</vt:lpstr>
      <vt:lpstr>shinsei_ev_KOUSAKU_TAKASA</vt:lpstr>
      <vt:lpstr>shinsei_ev_KOUSAKU_TAKASA_BIKO</vt:lpstr>
      <vt:lpstr>shinsei_ev_KOUSAKU_TAKASA_MAX</vt:lpstr>
      <vt:lpstr>shinsei_ev_KOUSAKU882_YOUTO</vt:lpstr>
      <vt:lpstr>shinsei_ev_SETUBI_GAIYOU</vt:lpstr>
      <vt:lpstr>shinsei_ev_TIKUZOUMENSEKI_IGAI</vt:lpstr>
      <vt:lpstr>shinsei_ev_TIKUZOUMENSEKI_SHINSEI</vt:lpstr>
      <vt:lpstr>shinsei_ev_TIKUZOUMENSEKI_TOTAL</vt:lpstr>
      <vt:lpstr>shinsei_EV_TYPE</vt:lpstr>
      <vt:lpstr>shinsei_ev_WORKCOUNT_SHINSEI</vt:lpstr>
      <vt:lpstr>shinsei_FD_FLAG</vt:lpstr>
      <vt:lpstr>shinsei_final_KAN_KANRYOU_YOTEI_DATE</vt:lpstr>
      <vt:lpstr>shinsei_final_KOUJI_DAI_MOYOUGAE</vt:lpstr>
      <vt:lpstr>shinsei_final_KOUJI_DAI_SYUUZEN</vt:lpstr>
      <vt:lpstr>shinsei_final_KOUJI_ITEN</vt:lpstr>
      <vt:lpstr>shinsei_final_KOUJI_KAITIKU</vt:lpstr>
      <vt:lpstr>shinsei_final_KOUJI_SETUBISETTI</vt:lpstr>
      <vt:lpstr>shinsei_final_KOUJI_SINTIKU</vt:lpstr>
      <vt:lpstr>shinsei_final_KOUJI_ZOUTIKU</vt:lpstr>
      <vt:lpstr>shinsei_FIRE_AGREE_DATE</vt:lpstr>
      <vt:lpstr>shinsei_FIRE_AGREE_RECEIVE_DATE</vt:lpstr>
      <vt:lpstr>shinsei_FIRE_NOTIFY_DATE</vt:lpstr>
      <vt:lpstr>shinsei_FIRE_NOTIFY_SUBMIT_KIND</vt:lpstr>
      <vt:lpstr>shinsei_FIRE_STATION_DEPART_NAME</vt:lpstr>
      <vt:lpstr>shinsei_FIRE_STATION_NAME</vt:lpstr>
      <vt:lpstr>shinsei_FIRE_SUBMIT_DATE</vt:lpstr>
      <vt:lpstr>shinsei_FLAT35_FLAG</vt:lpstr>
      <vt:lpstr>shinsei_FLAT35_FLAG__umu</vt:lpstr>
      <vt:lpstr>shinsei_GENKAI_TAIRYOKU_FLAG</vt:lpstr>
      <vt:lpstr>shinsei_HEALTH_CENTER_DEPART_NAME</vt:lpstr>
      <vt:lpstr>shinsei_HEALTH_CENTER_NAME</vt:lpstr>
      <vt:lpstr>shinsei_HEALTH_NOTIFY_DATE</vt:lpstr>
      <vt:lpstr>shinsei_HEN_SUMI_KOUFU_DATE</vt:lpstr>
      <vt:lpstr>shinsei_HEN_SUMI_KOUFU_NAME</vt:lpstr>
      <vt:lpstr>shinsei_HEN_SUMI_NO</vt:lpstr>
      <vt:lpstr>shinsei_HIKIUKE_DATE</vt:lpstr>
      <vt:lpstr>shinsei_HIKIUKE_KAKU_KOUFU_YOTEI_DATE</vt:lpstr>
      <vt:lpstr>shinsei_HIKIUKE_TANTO</vt:lpstr>
      <vt:lpstr>shinsei_HIKIUKE_TUUTI_DATE</vt:lpstr>
      <vt:lpstr>shinsei_HIKIUKE_TUUTI_SAKI</vt:lpstr>
      <vt:lpstr>shinsei_hosei1_ANSWER_DATE</vt:lpstr>
      <vt:lpstr>shinsei_hosei1_BIKO</vt:lpstr>
      <vt:lpstr>shinsei_hosei1_KENSAIN_USER_ID</vt:lpstr>
      <vt:lpstr>shinsei_hosei1_LIMIT_DATE</vt:lpstr>
      <vt:lpstr>shinsei_hosei1_NOTIFY_DATE</vt:lpstr>
      <vt:lpstr>shinsei_hosei1_NOTIFY_DOCNO</vt:lpstr>
      <vt:lpstr>shinsei_hosei1_NOTIFY_NOTE</vt:lpstr>
      <vt:lpstr>shinsei_hosei1_NOTIFY_SOUFU_SAKI</vt:lpstr>
      <vt:lpstr>shinsei_hosei1_STRUCTNOTIFT_BIKO</vt:lpstr>
      <vt:lpstr>shinsei_hosei1_STRUCTNOTIFT_DOCNO</vt:lpstr>
      <vt:lpstr>shinsei_hosei1_STRUCTNOTIFT_HENKOU_LIMIT_DATE</vt:lpstr>
      <vt:lpstr>shinsei_hosei1_STRUCTNOTIFT_HENKOU_NOTIFT_DATE</vt:lpstr>
      <vt:lpstr>shinsei_hosei1_STRUCTNOTIFT_NOTIFT_DATE</vt:lpstr>
      <vt:lpstr>shinsei_hosei1_STRUCTNOTIFT_NOTIFT_NO</vt:lpstr>
      <vt:lpstr>shinsei_hosei1_STRUCTNOTIFT_TOUTYAKU_MEMO</vt:lpstr>
      <vt:lpstr>shinsei_hosei1_STRUCTNOTIFT_TUIKA_DATE</vt:lpstr>
      <vt:lpstr>shinsei_hosei1_STRUCTNOTIFT_USE</vt:lpstr>
      <vt:lpstr>shinsei_hosei1_STRUCTTUIKA_DOCNO</vt:lpstr>
      <vt:lpstr>shinsei_hosei1_STRUCTTUIKA_NOTIFT_DATE</vt:lpstr>
      <vt:lpstr>shinsei_hosei10_ANSWER_DATE</vt:lpstr>
      <vt:lpstr>shinsei_hosei10_BIKO</vt:lpstr>
      <vt:lpstr>shinsei_hosei10_KENSAIN_USER_ID</vt:lpstr>
      <vt:lpstr>shinsei_hosei10_LIMIT_DATE</vt:lpstr>
      <vt:lpstr>shinsei_hosei10_NOTIFY_DATE</vt:lpstr>
      <vt:lpstr>shinsei_hosei10_NOTIFY_DOCNO</vt:lpstr>
      <vt:lpstr>shinsei_hosei10_NOTIFY_NOTE</vt:lpstr>
      <vt:lpstr>shinsei_hosei10_NOTIFY_SOUFU_SAKI</vt:lpstr>
      <vt:lpstr>shinsei_hosei10_STRUCTNOTIFT_BIKO</vt:lpstr>
      <vt:lpstr>shinsei_hosei10_STRUCTNOTIFT_DOCNO</vt:lpstr>
      <vt:lpstr>shinsei_hosei10_STRUCTNOTIFT_HENKOU_LIMIT_DATE</vt:lpstr>
      <vt:lpstr>shinsei_hosei10_STRUCTNOTIFT_HENKOU_NOTIFT_DATE</vt:lpstr>
      <vt:lpstr>shinsei_hosei10_STRUCTNOTIFT_NOTIFT_DATE</vt:lpstr>
      <vt:lpstr>shinsei_hosei10_STRUCTNOTIFT_NOTIFT_NO</vt:lpstr>
      <vt:lpstr>shinsei_hosei10_STRUCTNOTIFT_TOUTYAKU_MEMO</vt:lpstr>
      <vt:lpstr>shinsei_hosei10_STRUCTNOTIFT_TUIKA_DATE</vt:lpstr>
      <vt:lpstr>shinsei_hosei10_STRUCTNOTIFT_USE</vt:lpstr>
      <vt:lpstr>shinsei_hosei10_STRUCTTUIKA_DOCNO</vt:lpstr>
      <vt:lpstr>shinsei_hosei10_STRUCTTUIKA_NOTIFT_DATE</vt:lpstr>
      <vt:lpstr>shinsei_hosei2_ANSWER_DATE</vt:lpstr>
      <vt:lpstr>shinsei_hosei2_BIKO</vt:lpstr>
      <vt:lpstr>shinsei_hosei2_KENSAIN_USER_ID</vt:lpstr>
      <vt:lpstr>shinsei_hosei2_LIMIT_DATE</vt:lpstr>
      <vt:lpstr>shinsei_hosei2_NOTIFY_DATE</vt:lpstr>
      <vt:lpstr>shinsei_hosei2_NOTIFY_DOCNO</vt:lpstr>
      <vt:lpstr>shinsei_hosei2_NOTIFY_NOTE</vt:lpstr>
      <vt:lpstr>shinsei_hosei2_NOTIFY_SOUFU_SAKI</vt:lpstr>
      <vt:lpstr>shinsei_hosei2_STRUCTNOTIFT_BIKO</vt:lpstr>
      <vt:lpstr>shinsei_hosei2_STRUCTNOTIFT_DOCNO</vt:lpstr>
      <vt:lpstr>shinsei_hosei2_STRUCTNOTIFT_HENKOU_LIMIT_DATE</vt:lpstr>
      <vt:lpstr>shinsei_hosei2_STRUCTNOTIFT_HENKOU_NOTIFT_DATE</vt:lpstr>
      <vt:lpstr>shinsei_hosei2_STRUCTNOTIFT_NOTIFT_DATE</vt:lpstr>
      <vt:lpstr>shinsei_hosei2_STRUCTNOTIFT_NOTIFT_NO</vt:lpstr>
      <vt:lpstr>shinsei_hosei2_STRUCTNOTIFT_TOUTYAKU_MEMO</vt:lpstr>
      <vt:lpstr>shinsei_hosei2_STRUCTNOTIFT_TUIKA_DATE</vt:lpstr>
      <vt:lpstr>shinsei_hosei2_STRUCTNOTIFT_USE</vt:lpstr>
      <vt:lpstr>shinsei_hosei2_STRUCTTUIKA_DOCNO</vt:lpstr>
      <vt:lpstr>shinsei_hosei2_STRUCTTUIKA_NOTIFT_DATE</vt:lpstr>
      <vt:lpstr>shinsei_hosei3_ANSWER_DATE</vt:lpstr>
      <vt:lpstr>shinsei_hosei3_BIKO</vt:lpstr>
      <vt:lpstr>shinsei_hosei3_KENSAIN_USER_ID</vt:lpstr>
      <vt:lpstr>shinsei_hosei3_LIMIT_DATE</vt:lpstr>
      <vt:lpstr>shinsei_hosei3_NOTIFY_DATE</vt:lpstr>
      <vt:lpstr>shinsei_hosei3_NOTIFY_DOCNO</vt:lpstr>
      <vt:lpstr>shinsei_hosei3_NOTIFY_NOTE</vt:lpstr>
      <vt:lpstr>shinsei_hosei3_NOTIFY_SOUFU_SAKI</vt:lpstr>
      <vt:lpstr>shinsei_hosei3_STRUCTNOTIFT_BIKO</vt:lpstr>
      <vt:lpstr>shinsei_hosei3_STRUCTNOTIFT_DOCNO</vt:lpstr>
      <vt:lpstr>shinsei_hosei3_STRUCTNOTIFT_HENKOU_LIMIT_DATE</vt:lpstr>
      <vt:lpstr>shinsei_hosei3_STRUCTNOTIFT_HENKOU_NOTIFT_DATE</vt:lpstr>
      <vt:lpstr>shinsei_hosei3_STRUCTNOTIFT_NOTIFT_DATE</vt:lpstr>
      <vt:lpstr>shinsei_hosei3_STRUCTNOTIFT_NOTIFT_NO</vt:lpstr>
      <vt:lpstr>shinsei_hosei3_STRUCTNOTIFT_TOUTYAKU_MEMO</vt:lpstr>
      <vt:lpstr>shinsei_hosei3_STRUCTNOTIFT_TUIKA_DATE</vt:lpstr>
      <vt:lpstr>shinsei_hosei3_STRUCTNOTIFT_USE</vt:lpstr>
      <vt:lpstr>shinsei_hosei3_STRUCTTUIKA_DOCNO</vt:lpstr>
      <vt:lpstr>shinsei_hosei3_STRUCTTUIKA_NOTIFT_DATE</vt:lpstr>
      <vt:lpstr>shinsei_hosei4_ANSWER_DATE</vt:lpstr>
      <vt:lpstr>shinsei_hosei4_BIKO</vt:lpstr>
      <vt:lpstr>shinsei_hosei4_KENSAIN_USER_ID</vt:lpstr>
      <vt:lpstr>shinsei_hosei4_LIMIT_DATE</vt:lpstr>
      <vt:lpstr>shinsei_hosei4_NOTIFY_DATE</vt:lpstr>
      <vt:lpstr>shinsei_hosei4_NOTIFY_DOCNO</vt:lpstr>
      <vt:lpstr>shinsei_hosei4_NOTIFY_NOTE</vt:lpstr>
      <vt:lpstr>shinsei_hosei4_NOTIFY_SOUFU_SAKI</vt:lpstr>
      <vt:lpstr>shinsei_hosei4_STRUCTNOTIFT_BIKO</vt:lpstr>
      <vt:lpstr>shinsei_hosei4_STRUCTNOTIFT_DOCNO</vt:lpstr>
      <vt:lpstr>shinsei_hosei4_STRUCTNOTIFT_HENKOU_LIMIT_DATE</vt:lpstr>
      <vt:lpstr>shinsei_hosei4_STRUCTNOTIFT_HENKOU_NOTIFT_DATE</vt:lpstr>
      <vt:lpstr>shinsei_hosei4_STRUCTNOTIFT_NOTIFT_DATE</vt:lpstr>
      <vt:lpstr>shinsei_hosei4_STRUCTNOTIFT_NOTIFT_NO</vt:lpstr>
      <vt:lpstr>shinsei_hosei4_STRUCTNOTIFT_TOUTYAKU_MEMO</vt:lpstr>
      <vt:lpstr>shinsei_hosei4_STRUCTNOTIFT_TUIKA_DATE</vt:lpstr>
      <vt:lpstr>shinsei_hosei4_STRUCTNOTIFT_USE</vt:lpstr>
      <vt:lpstr>shinsei_hosei4_STRUCTTUIKA_DOCNO</vt:lpstr>
      <vt:lpstr>shinsei_hosei4_STRUCTTUIKA_NOTIFT_DATE</vt:lpstr>
      <vt:lpstr>shinsei_hosei5_ANSWER_DATE</vt:lpstr>
      <vt:lpstr>shinsei_hosei5_BIKO</vt:lpstr>
      <vt:lpstr>shinsei_hosei5_KENSAIN_USER_ID</vt:lpstr>
      <vt:lpstr>shinsei_hosei5_LIMIT_DATE</vt:lpstr>
      <vt:lpstr>shinsei_hosei5_NOTIFY_DATE</vt:lpstr>
      <vt:lpstr>shinsei_hosei5_NOTIFY_DOCNO</vt:lpstr>
      <vt:lpstr>shinsei_hosei5_NOTIFY_NOTE</vt:lpstr>
      <vt:lpstr>shinsei_hosei5_NOTIFY_SOUFU_SAKI</vt:lpstr>
      <vt:lpstr>shinsei_hosei5_STRUCTNOTIFT_BIKO</vt:lpstr>
      <vt:lpstr>shinsei_hosei5_STRUCTNOTIFT_DOCNO</vt:lpstr>
      <vt:lpstr>shinsei_hosei5_STRUCTNOTIFT_HENKOU_LIMIT_DATE</vt:lpstr>
      <vt:lpstr>shinsei_hosei5_STRUCTNOTIFT_HENKOU_NOTIFT_DATE</vt:lpstr>
      <vt:lpstr>shinsei_hosei5_STRUCTNOTIFT_NOTIFT_DATE</vt:lpstr>
      <vt:lpstr>shinsei_hosei5_STRUCTNOTIFT_NOTIFT_NO</vt:lpstr>
      <vt:lpstr>shinsei_hosei5_STRUCTNOTIFT_TOUTYAKU_MEMO</vt:lpstr>
      <vt:lpstr>shinsei_hosei5_STRUCTNOTIFT_TUIKA_DATE</vt:lpstr>
      <vt:lpstr>shinsei_hosei5_STRUCTNOTIFT_USE</vt:lpstr>
      <vt:lpstr>shinsei_hosei5_STRUCTTUIKA_DOCNO</vt:lpstr>
      <vt:lpstr>shinsei_hosei5_STRUCTTUIKA_NOTIFT_DATE</vt:lpstr>
      <vt:lpstr>shinsei_hosei6_ANSWER_DATE</vt:lpstr>
      <vt:lpstr>shinsei_hosei6_BIKO</vt:lpstr>
      <vt:lpstr>shinsei_hosei6_KENSAIN_USER_ID</vt:lpstr>
      <vt:lpstr>shinsei_hosei6_LIMIT_DATE</vt:lpstr>
      <vt:lpstr>shinsei_hosei6_NOTIFY_DATE</vt:lpstr>
      <vt:lpstr>shinsei_hosei6_NOTIFY_DOCNO</vt:lpstr>
      <vt:lpstr>shinsei_hosei6_NOTIFY_NOTE</vt:lpstr>
      <vt:lpstr>shinsei_hosei6_NOTIFY_SOUFU_SAKI</vt:lpstr>
      <vt:lpstr>shinsei_hosei6_STRUCTNOTIFT_BIKO</vt:lpstr>
      <vt:lpstr>shinsei_hosei6_STRUCTNOTIFT_DOCNO</vt:lpstr>
      <vt:lpstr>shinsei_hosei6_STRUCTNOTIFT_HENKOU_LIMIT_DATE</vt:lpstr>
      <vt:lpstr>shinsei_hosei6_STRUCTNOTIFT_HENKOU_NOTIFT_DATE</vt:lpstr>
      <vt:lpstr>shinsei_hosei6_STRUCTNOTIFT_NOTIFT_DATE</vt:lpstr>
      <vt:lpstr>shinsei_hosei6_STRUCTNOTIFT_NOTIFT_NO</vt:lpstr>
      <vt:lpstr>shinsei_hosei6_STRUCTNOTIFT_TOUTYAKU_MEMO</vt:lpstr>
      <vt:lpstr>shinsei_hosei6_STRUCTNOTIFT_TUIKA_DATE</vt:lpstr>
      <vt:lpstr>shinsei_hosei6_STRUCTNOTIFT_USE</vt:lpstr>
      <vt:lpstr>shinsei_hosei6_STRUCTTUIKA_DOCNO</vt:lpstr>
      <vt:lpstr>shinsei_hosei6_STRUCTTUIKA_NOTIFT_DATE</vt:lpstr>
      <vt:lpstr>shinsei_hosei7_ANSWER_DATE</vt:lpstr>
      <vt:lpstr>shinsei_hosei7_BIKO</vt:lpstr>
      <vt:lpstr>shinsei_hosei7_KENSAIN_USER_ID</vt:lpstr>
      <vt:lpstr>shinsei_hosei7_LIMIT_DATE</vt:lpstr>
      <vt:lpstr>shinsei_hosei7_NOTIFY_DATE</vt:lpstr>
      <vt:lpstr>shinsei_hosei7_NOTIFY_DOCNO</vt:lpstr>
      <vt:lpstr>shinsei_hosei7_NOTIFY_NOTE</vt:lpstr>
      <vt:lpstr>shinsei_hosei7_NOTIFY_SOUFU_SAKI</vt:lpstr>
      <vt:lpstr>shinsei_hosei7_STRUCTNOTIFT_BIKO</vt:lpstr>
      <vt:lpstr>shinsei_hosei7_STRUCTNOTIFT_DOCNO</vt:lpstr>
      <vt:lpstr>shinsei_hosei7_STRUCTNOTIFT_HENKOU_LIMIT_DATE</vt:lpstr>
      <vt:lpstr>shinsei_hosei7_STRUCTNOTIFT_HENKOU_NOTIFT_DATE</vt:lpstr>
      <vt:lpstr>shinsei_hosei7_STRUCTNOTIFT_NOTIFT_DATE</vt:lpstr>
      <vt:lpstr>shinsei_hosei7_STRUCTNOTIFT_NOTIFT_NO</vt:lpstr>
      <vt:lpstr>shinsei_hosei7_STRUCTNOTIFT_TOUTYAKU_MEMO</vt:lpstr>
      <vt:lpstr>shinsei_hosei7_STRUCTNOTIFT_TUIKA_DATE</vt:lpstr>
      <vt:lpstr>shinsei_hosei7_STRUCTNOTIFT_USE</vt:lpstr>
      <vt:lpstr>shinsei_hosei7_STRUCTTUIKA_DOCNO</vt:lpstr>
      <vt:lpstr>shinsei_hosei7_STRUCTTUIKA_NOTIFT_DATE</vt:lpstr>
      <vt:lpstr>shinsei_hosei8_ANSWER_DATE</vt:lpstr>
      <vt:lpstr>shinsei_hosei8_BIKO</vt:lpstr>
      <vt:lpstr>shinsei_hosei8_KENSAIN_USER_ID</vt:lpstr>
      <vt:lpstr>shinsei_hosei8_LIMIT_DATE</vt:lpstr>
      <vt:lpstr>shinsei_hosei8_NOTIFY_DATE</vt:lpstr>
      <vt:lpstr>shinsei_hosei8_NOTIFY_DOCNO</vt:lpstr>
      <vt:lpstr>shinsei_hosei8_NOTIFY_NOTE</vt:lpstr>
      <vt:lpstr>shinsei_hosei8_NOTIFY_SOUFU_SAKI</vt:lpstr>
      <vt:lpstr>shinsei_hosei8_STRUCTNOTIFT_BIKO</vt:lpstr>
      <vt:lpstr>shinsei_hosei8_STRUCTNOTIFT_DOCNO</vt:lpstr>
      <vt:lpstr>shinsei_hosei8_STRUCTNOTIFT_HENKOU_LIMIT_DATE</vt:lpstr>
      <vt:lpstr>shinsei_hosei8_STRUCTNOTIFT_HENKOU_NOTIFT_DATE</vt:lpstr>
      <vt:lpstr>shinsei_hosei8_STRUCTNOTIFT_NOTIFT_DATE</vt:lpstr>
      <vt:lpstr>shinsei_hosei8_STRUCTNOTIFT_NOTIFT_NO</vt:lpstr>
      <vt:lpstr>shinsei_hosei8_STRUCTNOTIFT_TOUTYAKU_MEMO</vt:lpstr>
      <vt:lpstr>shinsei_hosei8_STRUCTNOTIFT_TUIKA_DATE</vt:lpstr>
      <vt:lpstr>shinsei_hosei8_STRUCTNOTIFT_USE</vt:lpstr>
      <vt:lpstr>shinsei_hosei8_STRUCTTUIKA_DOCNO</vt:lpstr>
      <vt:lpstr>shinsei_hosei8_STRUCTTUIKA_NOTIFT_DATE</vt:lpstr>
      <vt:lpstr>shinsei_hosei9_ANSWER_DATE</vt:lpstr>
      <vt:lpstr>shinsei_hosei9_BIKO</vt:lpstr>
      <vt:lpstr>shinsei_hosei9_KENSAIN_USER_ID</vt:lpstr>
      <vt:lpstr>shinsei_hosei9_LIMIT_DATE</vt:lpstr>
      <vt:lpstr>shinsei_hosei9_NOTIFY_DATE</vt:lpstr>
      <vt:lpstr>shinsei_hosei9_NOTIFY_DOCNO</vt:lpstr>
      <vt:lpstr>shinsei_hosei9_NOTIFY_NOTE</vt:lpstr>
      <vt:lpstr>shinsei_hosei9_NOTIFY_SOUFU_SAKI</vt:lpstr>
      <vt:lpstr>shinsei_hosei9_STRUCTNOTIFT_BIKO</vt:lpstr>
      <vt:lpstr>shinsei_hosei9_STRUCTNOTIFT_DOCNO</vt:lpstr>
      <vt:lpstr>shinsei_hosei9_STRUCTNOTIFT_HENKOU_LIMIT_DATE</vt:lpstr>
      <vt:lpstr>shinsei_hosei9_STRUCTNOTIFT_HENKOU_NOTIFT_DATE</vt:lpstr>
      <vt:lpstr>shinsei_hosei9_STRUCTNOTIFT_NOTIFT_DATE</vt:lpstr>
      <vt:lpstr>shinsei_hosei9_STRUCTNOTIFT_NOTIFT_NO</vt:lpstr>
      <vt:lpstr>shinsei_hosei9_STRUCTNOTIFT_TOUTYAKU_MEMO</vt:lpstr>
      <vt:lpstr>shinsei_hosei9_STRUCTNOTIFT_TUIKA_DATE</vt:lpstr>
      <vt:lpstr>shinsei_hosei9_STRUCTNOTIFT_USE</vt:lpstr>
      <vt:lpstr>shinsei_hosei9_STRUCTTUIKA_DOCNO</vt:lpstr>
      <vt:lpstr>shinsei_hosei9_STRUCTTUIKA_NOTIFT_DATE</vt:lpstr>
      <vt:lpstr>shinsei_HOUKOKU_DATE</vt:lpstr>
      <vt:lpstr>shinsei_HYOUKA_FLAG</vt:lpstr>
      <vt:lpstr>shinsei_HYOUKA_FLAG__umu</vt:lpstr>
      <vt:lpstr>shinsei_IMPOSS_NOTIFY_BIKO</vt:lpstr>
      <vt:lpstr>shinsei_IMPOSS_NOTIFY_CAUSE</vt:lpstr>
      <vt:lpstr>shinsei_IMPOSS_NOTIFY_DATE</vt:lpstr>
      <vt:lpstr>shinsei_IMPOSS_NOTIFY_LIMIT_DATE</vt:lpstr>
      <vt:lpstr>shinsei_IMPOSS_NOTIFY_USER_ID</vt:lpstr>
      <vt:lpstr>shinsei_IMPOSS_REPORT_DATE</vt:lpstr>
      <vt:lpstr>shinsei_IMPOSS1_NOTIFY_ID__STRUCTNOTIFT_NOTIFT_DATE</vt:lpstr>
      <vt:lpstr>shinsei_IMPOSS1_NOTIFY_ID__STRUCTNOTIFT_NOTIFT_NO</vt:lpstr>
      <vt:lpstr>shinsei_IMPOSS1_NOTIFY_ID__STRUCTNOTIFT_TUIKA_DATE</vt:lpstr>
      <vt:lpstr>shinsei_IMPOSS1_NOTIFY_ID__STRUCTTUIKA_NOTIFT_DATE</vt:lpstr>
      <vt:lpstr>shinsei_IMPOSS2_NOTIFY_ID__KENSAIN_USER_ID</vt:lpstr>
      <vt:lpstr>shinsei_IMPOSS2_NOTIFY_ID__LIMIT_DATE</vt:lpstr>
      <vt:lpstr>shinsei_IMPOSS2_NOTIFY_ID__NOTIFY_CAUSE</vt:lpstr>
      <vt:lpstr>shinsei_IMPOSS2_NOTIFY_ID__NOTIFY_DATE</vt:lpstr>
      <vt:lpstr>shinsei_IMPOSS2_NOTIFY_ID__NOTIFY_NOTE</vt:lpstr>
      <vt:lpstr>shinsei_IMPOSS2_NOTIFY_ID__REPORT_DATE</vt:lpstr>
      <vt:lpstr>shinsei_IMPOSS2_NOTIFY_ID__STRUCTNOTIFT_NOTIFT_DATE</vt:lpstr>
      <vt:lpstr>shinsei_IMPOSS2_NOTIFY_ID__STRUCTNOTIFT_NOTIFT_NO</vt:lpstr>
      <vt:lpstr>shinsei_IMPOSS2_NOTIFY_ID__STRUCTNOTIFT_TUIKA_DATE</vt:lpstr>
      <vt:lpstr>shinsei_IMPOSS2_NOTIFY_ID__STRUCTTUIKA_NOTIFT_DATE</vt:lpstr>
      <vt:lpstr>shinsei_IMPOSS3_NOTIFY_ID__KENSAIN_USER_ID</vt:lpstr>
      <vt:lpstr>shinsei_IMPOSS3_NOTIFY_ID__LIMIT_DATE</vt:lpstr>
      <vt:lpstr>shinsei_IMPOSS3_NOTIFY_ID__NOTIFY_CAUSE</vt:lpstr>
      <vt:lpstr>shinsei_IMPOSS3_NOTIFY_ID__NOTIFY_DATE</vt:lpstr>
      <vt:lpstr>shinsei_IMPOSS3_NOTIFY_ID__NOTIFY_NOTE</vt:lpstr>
      <vt:lpstr>shinsei_IMPOSS3_NOTIFY_ID__REPORT_DATE</vt:lpstr>
      <vt:lpstr>shinsei_IMPOSS3_NOTIFY_ID__STRUCTNOTIFT_NOTIFT_DATE</vt:lpstr>
      <vt:lpstr>shinsei_IMPOSS3_NOTIFY_ID__STRUCTNOTIFT_NOTIFT_NO</vt:lpstr>
      <vt:lpstr>shinsei_IMPOSS3_NOTIFY_ID__STRUCTNOTIFT_TUIKA_DATE</vt:lpstr>
      <vt:lpstr>shinsei_IMPOSS3_NOTIFY_ID__STRUCTTUIKA_NOTIFT_DATE</vt:lpstr>
      <vt:lpstr>shinsei_IMPOSS4_NOTIFY_ID__KENSAIN_USER_ID</vt:lpstr>
      <vt:lpstr>shinsei_IMPOSS4_NOTIFY_ID__LIMIT_DATE</vt:lpstr>
      <vt:lpstr>shinsei_IMPOSS4_NOTIFY_ID__NOTIFY_CAUSE</vt:lpstr>
      <vt:lpstr>shinsei_IMPOSS4_NOTIFY_ID__NOTIFY_DATE</vt:lpstr>
      <vt:lpstr>shinsei_IMPOSS4_NOTIFY_ID__NOTIFY_NOTE</vt:lpstr>
      <vt:lpstr>shinsei_IMPOSS4_NOTIFY_ID__REPORT_DATE</vt:lpstr>
      <vt:lpstr>shinsei_IMPOSS4_NOTIFY_ID__STRUCTNOTIFT_NOTIFT_DATE</vt:lpstr>
      <vt:lpstr>shinsei_IMPOSS4_NOTIFY_ID__STRUCTNOTIFT_NOTIFT_NO</vt:lpstr>
      <vt:lpstr>shinsei_IMPOSS4_NOTIFY_ID__STRUCTNOTIFT_TUIKA_DATE</vt:lpstr>
      <vt:lpstr>shinsei_IMPOSS4_NOTIFY_ID__STRUCTTUIKA_NOTIFT_DATE</vt:lpstr>
      <vt:lpstr>shinsei_IMPOSS5_NOTIFY_ID__KENSAIN_USER_ID</vt:lpstr>
      <vt:lpstr>shinsei_IMPOSS5_NOTIFY_ID__LIMIT_DATE</vt:lpstr>
      <vt:lpstr>shinsei_IMPOSS5_NOTIFY_ID__NOTIFY_CAUSE</vt:lpstr>
      <vt:lpstr>shinsei_IMPOSS5_NOTIFY_ID__NOTIFY_DATE</vt:lpstr>
      <vt:lpstr>shinsei_IMPOSS5_NOTIFY_ID__NOTIFY_NOTE</vt:lpstr>
      <vt:lpstr>shinsei_IMPOSS5_NOTIFY_ID__REPORT_DATE</vt:lpstr>
      <vt:lpstr>shinsei_IMPOSS5_NOTIFY_ID__STRUCTNOTIFT_NOTIFT_DATE</vt:lpstr>
      <vt:lpstr>shinsei_IMPOSS5_NOTIFY_ID__STRUCTNOTIFT_NOTIFT_NO</vt:lpstr>
      <vt:lpstr>shinsei_IMPOSS5_NOTIFY_ID__STRUCTNOTIFT_TUIKA_DATE</vt:lpstr>
      <vt:lpstr>shinsei_IMPOSS5_NOTIFY_ID__STRUCTTUIKA_NOTIFT_DATE</vt:lpstr>
      <vt:lpstr>shinsei_IMPOSS6_NOTIFY_ID__KENSAIN_USER_ID</vt:lpstr>
      <vt:lpstr>shinsei_IMPOSS6_NOTIFY_ID__LIMIT_DATE</vt:lpstr>
      <vt:lpstr>shinsei_IMPOSS6_NOTIFY_ID__NOTIFY_CAUSE</vt:lpstr>
      <vt:lpstr>shinsei_IMPOSS6_NOTIFY_ID__NOTIFY_DATE</vt:lpstr>
      <vt:lpstr>shinsei_IMPOSS6_NOTIFY_ID__NOTIFY_NOTE</vt:lpstr>
      <vt:lpstr>shinsei_IMPOSS6_NOTIFY_ID__REPORT_DATE</vt:lpstr>
      <vt:lpstr>shinsei_IMPOSS6_NOTIFY_ID__STRUCTNOTIFT_NOTIFT_DATE</vt:lpstr>
      <vt:lpstr>shinsei_IMPOSS6_NOTIFY_ID__STRUCTNOTIFT_NOTIFT_NO</vt:lpstr>
      <vt:lpstr>shinsei_IMPOSS6_NOTIFY_ID__STRUCTNOTIFT_TUIKA_DATE</vt:lpstr>
      <vt:lpstr>shinsei_IMPOSS6_NOTIFY_ID__STRUCTTUIKA_NOTIFT_DATE</vt:lpstr>
      <vt:lpstr>shinsei_IMPOSSX_NOTIFY_ID__KENSAIN_USER_ID</vt:lpstr>
      <vt:lpstr>shinsei_IMPOSSX_NOTIFY_ID__NOTIFY_CAUSE</vt:lpstr>
      <vt:lpstr>shinsei_IMPOSSX_NOTIFY_ID__NOTIFY_DATE</vt:lpstr>
      <vt:lpstr>shinsei_IMPOSSX_NOTIFY_ID__NOTIFY_NOTE</vt:lpstr>
      <vt:lpstr>shinsei_IMPOSSX_NOTIFY_ID__REPORT_DATE</vt:lpstr>
      <vt:lpstr>shinsei_IMPOSSX_NOTIFY_ID__STRUCTNOTIFT_NOTIFT_DATE</vt:lpstr>
      <vt:lpstr>shinsei_IMPOSSX_NOTIFY_ID__STRUCTNOTIFT_NOTIFT_NO</vt:lpstr>
      <vt:lpstr>shinsei_IMPOSSX_NOTIFY_ID__STRUCTNOTIFT_TUIKA_DATE</vt:lpstr>
      <vt:lpstr>shinsei_IMPOSSX_NOTIFY_ID__STRUCTTUIKA_NOTIFT_DATE</vt:lpstr>
      <vt:lpstr>shinsei_INSPECTION_NO</vt:lpstr>
      <vt:lpstr>shinsei_INSPECTION_TYPE</vt:lpstr>
      <vt:lpstr>shinsei_INTER_KOUKU</vt:lpstr>
      <vt:lpstr>shinsei_intermediate_BILL_KOUJI_DAI_MOYOUGAE</vt:lpstr>
      <vt:lpstr>shinsei_intermediate_BILL_KOUJI_DAI_SYUUZEN</vt:lpstr>
      <vt:lpstr>shinsei_intermediate_BILL_KOUJI_ITEN</vt:lpstr>
      <vt:lpstr>shinsei_intermediate_BILL_KOUJI_KAITIKU</vt:lpstr>
      <vt:lpstr>shinsei_intermediate_BILL_KOUJI_SETUBISETTI</vt:lpstr>
      <vt:lpstr>shinsei_intermediate_BILL_KOUJI_SINTIKU</vt:lpstr>
      <vt:lpstr>shinsei_intermediate_BILL_KOUJI_ZOUTIKU</vt:lpstr>
      <vt:lpstr>shinsei_intermediate_CYU1_KAISUU</vt:lpstr>
      <vt:lpstr>shinsei_intermediate_CYU1_NITTEI</vt:lpstr>
      <vt:lpstr>shinsei_intermediate_CYU1_YUKA_MENSEKI</vt:lpstr>
      <vt:lpstr>shinsei_intermediate_GOUKAKU_KENSAIN</vt:lpstr>
      <vt:lpstr>shinsei_Intermediate_GOUKAKU_TOKKI_JIKOU</vt:lpstr>
      <vt:lpstr>shinsei_intermediate_HOUKOKU_SAKI</vt:lpstr>
      <vt:lpstr>shinsei_intermediate_KENSA_DATE</vt:lpstr>
      <vt:lpstr>shinsei_intermediate_KENSA_KEKKA</vt:lpstr>
      <vt:lpstr>shinsei_intermediate_SPECIFIC_KOUTEI</vt:lpstr>
      <vt:lpstr>shinsei_ISSUE_DATE</vt:lpstr>
      <vt:lpstr>shinsei_ISSUE_KOUFU_NAME</vt:lpstr>
      <vt:lpstr>shinsei_ISSUE_NO</vt:lpstr>
      <vt:lpstr>shinsei_ISSUETAB_MEMO</vt:lpstr>
      <vt:lpstr>shinsei_judgehist_accept_kouzou1_TANTO_USER_ID</vt:lpstr>
      <vt:lpstr>shinsei_judgehist_accept_kouzou2_TANTO_USER_ID</vt:lpstr>
      <vt:lpstr>shinsei_KAKU_SUMI_KOUFU_DATE</vt:lpstr>
      <vt:lpstr>shinsei_KAKU_SUMI_KOUFU_NAME</vt:lpstr>
      <vt:lpstr>shinsei_KAKU_SUMI_NO</vt:lpstr>
      <vt:lpstr>shinsei_KAKUNINZUMI_HOUKOKU_GYOSEI_DATE</vt:lpstr>
      <vt:lpstr>shinsei_KAKUNINZUMI_HOUKOKU_GYOSEI_NO</vt:lpstr>
      <vt:lpstr>shinsei_KAKUNINZUMI_HOUKOKU_SAKI</vt:lpstr>
      <vt:lpstr>shinsei_KAKUNINZUMI_KENSAIN</vt:lpstr>
      <vt:lpstr>shinsei_KAN_HOUKOKU_KENSA_DATE</vt:lpstr>
      <vt:lpstr>shinsei_KAN_HOUKOKU_SAKI</vt:lpstr>
      <vt:lpstr>shinsei_KAN_KENSA_KEKKA</vt:lpstr>
      <vt:lpstr>shinsei_KAN_ZUMI_KENSAIN</vt:lpstr>
      <vt:lpstr>shinsei_KAN_ZUMI_TOKKI_JIKOU</vt:lpstr>
      <vt:lpstr>shinsei_KANRI__address</vt:lpstr>
      <vt:lpstr>shinsei_KANRI_JIMU_NAME</vt:lpstr>
      <vt:lpstr>shinsei_KANRI_JIMU_NO</vt:lpstr>
      <vt:lpstr>shinsei_KANRI_JIMU_SIKAKU</vt:lpstr>
      <vt:lpstr>shinsei_KANRI_JIMU_TOUROKU_KIKAN</vt:lpstr>
      <vt:lpstr>shinsei_KANRI_KENSETUSI_NO</vt:lpstr>
      <vt:lpstr>shinsei_KANRI_NAME</vt:lpstr>
      <vt:lpstr>shinsei_KANRI_POST_CODE</vt:lpstr>
      <vt:lpstr>shinsei_KANRI_SIKAKU</vt:lpstr>
      <vt:lpstr>shinsei_KANRI_TEL</vt:lpstr>
      <vt:lpstr>shinsei_KANRI_TOUROKU_KIKAN</vt:lpstr>
      <vt:lpstr>shinsei_kanri04__address</vt:lpstr>
      <vt:lpstr>shinsei_kanri04_JIMU_NAME</vt:lpstr>
      <vt:lpstr>shinsei_kanri04_JIMU_NO</vt:lpstr>
      <vt:lpstr>shinsei_kanri04_JIMU_SIKAKU</vt:lpstr>
      <vt:lpstr>shinsei_kanri04_JIMU_TOUROKU_KIKAN</vt:lpstr>
      <vt:lpstr>shinsei_kanri04_KENSETUSI_NO</vt:lpstr>
      <vt:lpstr>shinsei_kanri04_NAME</vt:lpstr>
      <vt:lpstr>shinsei_kanri04_POST_CODE</vt:lpstr>
      <vt:lpstr>shinsei_kanri04_SIKAKU</vt:lpstr>
      <vt:lpstr>shinsei_kanri04_TEL</vt:lpstr>
      <vt:lpstr>shinsei_kanri04_TOUROKU_KIKAN</vt:lpstr>
      <vt:lpstr>shinsei_kanri05__address</vt:lpstr>
      <vt:lpstr>shinsei_kanri05_JIMU_NAME</vt:lpstr>
      <vt:lpstr>shinsei_kanri05_JIMU_NO</vt:lpstr>
      <vt:lpstr>shinsei_kanri05_JIMU_SIKAKU</vt:lpstr>
      <vt:lpstr>shinsei_kanri05_JIMU_TOUROKU_KIKAN</vt:lpstr>
      <vt:lpstr>shinsei_kanri05_KENSETUSI_NO</vt:lpstr>
      <vt:lpstr>shinsei_kanri05_NAME</vt:lpstr>
      <vt:lpstr>shinsei_kanri05_POST_CODE</vt:lpstr>
      <vt:lpstr>shinsei_kanri05_SIKAKU</vt:lpstr>
      <vt:lpstr>shinsei_kanri05_TEL</vt:lpstr>
      <vt:lpstr>shinsei_kanri05_TOUROKU_KIKAN</vt:lpstr>
      <vt:lpstr>shinsei_kanri06__address</vt:lpstr>
      <vt:lpstr>shinsei_kanri06_JIMU_NAME</vt:lpstr>
      <vt:lpstr>shinsei_kanri06_JIMU_NO</vt:lpstr>
      <vt:lpstr>shinsei_kanri06_JIMU_SIKAKU</vt:lpstr>
      <vt:lpstr>shinsei_kanri06_JIMU_TOUROKU_KIKAN</vt:lpstr>
      <vt:lpstr>shinsei_kanri06_KENSETUSI_NO</vt:lpstr>
      <vt:lpstr>shinsei_kanri06_NAME</vt:lpstr>
      <vt:lpstr>shinsei_kanri06_POST_CODE</vt:lpstr>
      <vt:lpstr>shinsei_kanri06_SIKAKU</vt:lpstr>
      <vt:lpstr>shinsei_kanri06_TEL</vt:lpstr>
      <vt:lpstr>shinsei_kanri06_TOUROKU_KIKAN</vt:lpstr>
      <vt:lpstr>shinsei_kanri07__address</vt:lpstr>
      <vt:lpstr>shinsei_kanri07_JIMU_NAME</vt:lpstr>
      <vt:lpstr>shinsei_kanri07_JIMU_NO</vt:lpstr>
      <vt:lpstr>shinsei_kanri07_JIMU_SIKAKU</vt:lpstr>
      <vt:lpstr>shinsei_kanri07_JIMU_TOUROKU_KIKAN</vt:lpstr>
      <vt:lpstr>shinsei_kanri07_KENSETUSI_NO</vt:lpstr>
      <vt:lpstr>shinsei_kanri07_NAME</vt:lpstr>
      <vt:lpstr>shinsei_kanri07_POST_CODE</vt:lpstr>
      <vt:lpstr>shinsei_kanri07_SIKAKU</vt:lpstr>
      <vt:lpstr>shinsei_kanri07_TEL</vt:lpstr>
      <vt:lpstr>shinsei_kanri07_TOUROKU_KIKAN</vt:lpstr>
      <vt:lpstr>shinsei_kanri08__address</vt:lpstr>
      <vt:lpstr>shinsei_kanri08_JIMU_NAME</vt:lpstr>
      <vt:lpstr>shinsei_kanri08_JIMU_NO</vt:lpstr>
      <vt:lpstr>shinsei_kanri08_JIMU_SIKAKU</vt:lpstr>
      <vt:lpstr>shinsei_kanri08_JIMU_TOUROKU_KIKAN</vt:lpstr>
      <vt:lpstr>shinsei_kanri08_KENSETUSI_NO</vt:lpstr>
      <vt:lpstr>shinsei_kanri08_NAME</vt:lpstr>
      <vt:lpstr>shinsei_kanri08_POST_CODE</vt:lpstr>
      <vt:lpstr>shinsei_kanri08_SIKAKU</vt:lpstr>
      <vt:lpstr>shinsei_kanri08_TEL</vt:lpstr>
      <vt:lpstr>shinsei_kanri08_TOUROKU_KIKAN</vt:lpstr>
      <vt:lpstr>shinsei_kanri09__address</vt:lpstr>
      <vt:lpstr>shinsei_kanri09_JIMU_NAME</vt:lpstr>
      <vt:lpstr>shinsei_kanri09_JIMU_NO</vt:lpstr>
      <vt:lpstr>shinsei_kanri09_JIMU_SIKAKU</vt:lpstr>
      <vt:lpstr>shinsei_kanri09_JIMU_TOUROKU_KIKAN</vt:lpstr>
      <vt:lpstr>shinsei_kanri09_KENSETUSI_NO</vt:lpstr>
      <vt:lpstr>shinsei_kanri09_NAME</vt:lpstr>
      <vt:lpstr>shinsei_kanri09_POST_CODE</vt:lpstr>
      <vt:lpstr>shinsei_kanri09_SIKAKU</vt:lpstr>
      <vt:lpstr>shinsei_kanri09_TEL</vt:lpstr>
      <vt:lpstr>shinsei_kanri09_TOUROKU_KIKAN</vt:lpstr>
      <vt:lpstr>shinsei_KANRI1__address</vt:lpstr>
      <vt:lpstr>shinsei_KANRI1_JIMU_NAME</vt:lpstr>
      <vt:lpstr>shinsei_KANRI1_JIMU_NO</vt:lpstr>
      <vt:lpstr>shinsei_KANRI1_JIMU_SIKAKU</vt:lpstr>
      <vt:lpstr>shinsei_KANRI1_JIMU_TOUROKU_KIKAN</vt:lpstr>
      <vt:lpstr>shinsei_KANRI1_KENSETUSI_NO</vt:lpstr>
      <vt:lpstr>shinsei_KANRI1_NAME</vt:lpstr>
      <vt:lpstr>shinsei_KANRI1_POST_CODE</vt:lpstr>
      <vt:lpstr>shinsei_KANRI1_SIKAKU</vt:lpstr>
      <vt:lpstr>shinsei_KANRI1_TEL</vt:lpstr>
      <vt:lpstr>shinsei_KANRI1_TOUROKU_KIKAN</vt:lpstr>
      <vt:lpstr>shinsei_kanri10__address</vt:lpstr>
      <vt:lpstr>shinsei_kanri10_JIMU_NAME</vt:lpstr>
      <vt:lpstr>shinsei_kanri10_JIMU_NO</vt:lpstr>
      <vt:lpstr>shinsei_kanri10_JIMU_SIKAKU</vt:lpstr>
      <vt:lpstr>shinsei_kanri10_JIMU_TOUROKU_KIKAN</vt:lpstr>
      <vt:lpstr>shinsei_kanri10_KENSETUSI_NO</vt:lpstr>
      <vt:lpstr>shinsei_kanri10_NAME</vt:lpstr>
      <vt:lpstr>shinsei_kanri10_POST_CODE</vt:lpstr>
      <vt:lpstr>shinsei_kanri10_SIKAKU</vt:lpstr>
      <vt:lpstr>shinsei_kanri10_TEL</vt:lpstr>
      <vt:lpstr>shinsei_kanri10_TOUROKU_KIKAN</vt:lpstr>
      <vt:lpstr>shinsei_kanri11__address</vt:lpstr>
      <vt:lpstr>shinsei_kanri11_JIMU_NAME</vt:lpstr>
      <vt:lpstr>shinsei_kanri11_JIMU_NO</vt:lpstr>
      <vt:lpstr>shinsei_kanri11_JIMU_SIKAKU</vt:lpstr>
      <vt:lpstr>shinsei_kanri11_JIMU_TOUROKU_KIKAN</vt:lpstr>
      <vt:lpstr>shinsei_kanri11_KENSETUSI_NO</vt:lpstr>
      <vt:lpstr>shinsei_kanri11_NAME</vt:lpstr>
      <vt:lpstr>shinsei_kanri11_POST_CODE</vt:lpstr>
      <vt:lpstr>shinsei_kanri11_SIKAKU</vt:lpstr>
      <vt:lpstr>shinsei_kanri11_TEL</vt:lpstr>
      <vt:lpstr>shinsei_kanri11_TOUROKU_KIKAN</vt:lpstr>
      <vt:lpstr>shinsei_KANRI2__address</vt:lpstr>
      <vt:lpstr>shinsei_KANRI2_JIMU_NAME</vt:lpstr>
      <vt:lpstr>shinsei_KANRI2_JIMU_NO</vt:lpstr>
      <vt:lpstr>shinsei_KANRI2_JIMU_SIKAKU</vt:lpstr>
      <vt:lpstr>shinsei_KANRI2_JIMU_TOUROKU_KIKAN</vt:lpstr>
      <vt:lpstr>shinsei_KANRI2_KENSETUSI_NO</vt:lpstr>
      <vt:lpstr>shinsei_KANRI2_NAME</vt:lpstr>
      <vt:lpstr>shinsei_KANRI2_POST_CODE</vt:lpstr>
      <vt:lpstr>shinsei_KANRI2_SIKAKU</vt:lpstr>
      <vt:lpstr>shinsei_KANRI2_TEL</vt:lpstr>
      <vt:lpstr>shinsei_KANRI2_TOUROKU_KIKAN</vt:lpstr>
      <vt:lpstr>shinsei_KANRI3__address</vt:lpstr>
      <vt:lpstr>shinsei_KANRI3_JIMU_NAME</vt:lpstr>
      <vt:lpstr>shinsei_KANRI3_JIMU_NO</vt:lpstr>
      <vt:lpstr>shinsei_KANRI3_JIMU_SIKAKU</vt:lpstr>
      <vt:lpstr>shinsei_KANRI3_JIMU_TOUROKU_KIKAN</vt:lpstr>
      <vt:lpstr>shinsei_KANRI3_KENSETUSI_NO</vt:lpstr>
      <vt:lpstr>shinsei_KANRI3_NAME</vt:lpstr>
      <vt:lpstr>shinsei_KANRI3_POST_CODE</vt:lpstr>
      <vt:lpstr>shinsei_KANRI3_SIKAKU</vt:lpstr>
      <vt:lpstr>shinsei_KANRI3_TEL</vt:lpstr>
      <vt:lpstr>shinsei_KANRI3_TOUROKU_KIKAN</vt:lpstr>
      <vt:lpstr>shinsei_KANRYOU_KEIKA1_GOUKAKU_NO</vt:lpstr>
      <vt:lpstr>shinsei_KANRYOU_KEIKA1_KOUFU_DATE</vt:lpstr>
      <vt:lpstr>shinsei_KANRYOU_KEIKA1_KOUTEI</vt:lpstr>
      <vt:lpstr>shinsei_KASI_FLAG</vt:lpstr>
      <vt:lpstr>shinsei_KASI_FLAG__umu</vt:lpstr>
      <vt:lpstr>shinsei_KEN_KOUSOUSISIN_FLAG</vt:lpstr>
      <vt:lpstr>shinsei_KEN_KOUSOUSISIN_GAI_FLAG</vt:lpstr>
      <vt:lpstr>shinsei_KENSA_NG_CAUSE</vt:lpstr>
      <vt:lpstr>shinsei_KENSA_RESULT</vt:lpstr>
      <vt:lpstr>shinsei_KOKUJI_MENSHIN_FLAG</vt:lpstr>
      <vt:lpstr>shinsei_kouji</vt:lpstr>
      <vt:lpstr>shinsei_KOUJI_KANRYOU_DATE</vt:lpstr>
      <vt:lpstr>shinsei_KOUJI_YUKA_MENSEKI</vt:lpstr>
      <vt:lpstr>shinsei_KOUZOU_HYOUTEI_FLAG</vt:lpstr>
      <vt:lpstr>shinsei_KOUZOU_ROUTE2</vt:lpstr>
      <vt:lpstr>shinsei_KOUZOU_ROUTE2_KENSA_USER_ID</vt:lpstr>
      <vt:lpstr>shinsei_kouzoujimu_EMAIL</vt:lpstr>
      <vt:lpstr>shinsei_kouzoujimu_FAX</vt:lpstr>
      <vt:lpstr>shinsei_kouzoujimu_JIMU_NAME</vt:lpstr>
      <vt:lpstr>shinsei_kouzoujimu_NAME</vt:lpstr>
      <vt:lpstr>shinsei_kouzoujimu_TEL</vt:lpstr>
      <vt:lpstr>shinsei_NG_NOTIFY_BIKO</vt:lpstr>
      <vt:lpstr>shinsei_NG_NOTIFY_CAUSE</vt:lpstr>
      <vt:lpstr>shinsei_NG_NOTIFY_DATE</vt:lpstr>
      <vt:lpstr>shinsei_NG_NOTIFY_KENSA_DATE</vt:lpstr>
      <vt:lpstr>shinsei_NG_NOTIFY_LIMIT_DATE</vt:lpstr>
      <vt:lpstr>shinsei_NG_NOTIFY_USER_ID</vt:lpstr>
      <vt:lpstr>shinsei_NG_REPORT_DATE</vt:lpstr>
      <vt:lpstr>shinsei_NG1_NOTIFY_ID__STRUCTNOTIFT_NOTIFT_DATE</vt:lpstr>
      <vt:lpstr>shinsei_NG1_NOTIFY_ID__STRUCTNOTIFT_NOTIFT_NO</vt:lpstr>
      <vt:lpstr>shinsei_NG1_NOTIFY_ID__STRUCTNOTIFT_TUIKA_DATE</vt:lpstr>
      <vt:lpstr>shinsei_NG1_NOTIFY_ID__STRUCTTUIKA_NOTIFT_DATE</vt:lpstr>
      <vt:lpstr>shinsei_NG2_NOTIFY_ID__KENSA_DATE</vt:lpstr>
      <vt:lpstr>shinsei_NG2_NOTIFY_ID__KENSAIN_USER_ID</vt:lpstr>
      <vt:lpstr>shinsei_NG2_NOTIFY_ID__LIMIT_DATE</vt:lpstr>
      <vt:lpstr>shinsei_NG2_NOTIFY_ID__NOTIFY_CAUSE</vt:lpstr>
      <vt:lpstr>shinsei_NG2_NOTIFY_ID__NOTIFY_DATE</vt:lpstr>
      <vt:lpstr>shinsei_NG2_NOTIFY_ID__NOTIFY_NOTE</vt:lpstr>
      <vt:lpstr>shinsei_NG2_NOTIFY_ID__REPORT_DATE</vt:lpstr>
      <vt:lpstr>shinsei_NG3_NOTIFY_ID__KENSA_DATE</vt:lpstr>
      <vt:lpstr>shinsei_NG3_NOTIFY_ID__KENSAIN_USER_ID</vt:lpstr>
      <vt:lpstr>shinsei_NG3_NOTIFY_ID__LIMIT_DATE</vt:lpstr>
      <vt:lpstr>shinsei_NG3_NOTIFY_ID__NOTIFY_CAUSE</vt:lpstr>
      <vt:lpstr>shinsei_NG3_NOTIFY_ID__NOTIFY_DATE</vt:lpstr>
      <vt:lpstr>shinsei_NG3_NOTIFY_ID__NOTIFY_NOTE</vt:lpstr>
      <vt:lpstr>shinsei_NG3_NOTIFY_ID__REPORT_DATE</vt:lpstr>
      <vt:lpstr>shinsei_NGX_NOTIFY_ID__KENSA_DATE</vt:lpstr>
      <vt:lpstr>shinsei_NGX_NOTIFY_ID__KENSAIN_USER_ID</vt:lpstr>
      <vt:lpstr>shinsei_NGX_NOTIFY_ID__NOTIFY_CAUSE</vt:lpstr>
      <vt:lpstr>shinsei_NGX_NOTIFY_ID__NOTIFY_DATE</vt:lpstr>
      <vt:lpstr>shinsei_NGX_NOTIFY_ID__NOTIFY_NOTE</vt:lpstr>
      <vt:lpstr>shinsei_NGX_NOTIFY_ID__REPORT_DATE</vt:lpstr>
      <vt:lpstr>shinsei_NUSHI__address</vt:lpstr>
      <vt:lpstr>shinsei_NUSHI_CORP</vt:lpstr>
      <vt:lpstr>shinsei_NUSHI_NAME</vt:lpstr>
      <vt:lpstr>shinsei_NUSHI_NAME_KANA</vt:lpstr>
      <vt:lpstr>shinsei_NUSHI_POST</vt:lpstr>
      <vt:lpstr>shinsei_NUSHI_POST_CODE</vt:lpstr>
      <vt:lpstr>shinsei_NUSHI_TEL</vt:lpstr>
      <vt:lpstr>shinsei_OTHER_NOTE</vt:lpstr>
      <vt:lpstr>shinsei_owner2__address</vt:lpstr>
      <vt:lpstr>shinsei_owner2_CORP</vt:lpstr>
      <vt:lpstr>shinsei_owner2_NAME</vt:lpstr>
      <vt:lpstr>shinsei_owner2_NAME_KANA</vt:lpstr>
      <vt:lpstr>shinsei_owner2_POST</vt:lpstr>
      <vt:lpstr>shinsei_owner2_POST_CODE</vt:lpstr>
      <vt:lpstr>shinsei_owner2_TEL</vt:lpstr>
      <vt:lpstr>shinsei_owner3__address</vt:lpstr>
      <vt:lpstr>shinsei_owner3_CORP</vt:lpstr>
      <vt:lpstr>shinsei_owner3_NAME</vt:lpstr>
      <vt:lpstr>shinsei_owner3_NAME_KANA</vt:lpstr>
      <vt:lpstr>shinsei_owner3_POST</vt:lpstr>
      <vt:lpstr>shinsei_owner3_POST_CODE</vt:lpstr>
      <vt:lpstr>shinsei_owner3_TEL</vt:lpstr>
      <vt:lpstr>shinsei_owner4__address</vt:lpstr>
      <vt:lpstr>shinsei_owner4_CORP</vt:lpstr>
      <vt:lpstr>shinsei_owner4_NAME</vt:lpstr>
      <vt:lpstr>shinsei_owner4_NAME_KANA</vt:lpstr>
      <vt:lpstr>shinsei_owner4_POST</vt:lpstr>
      <vt:lpstr>shinsei_owner4_POST_CODE</vt:lpstr>
      <vt:lpstr>shinsei_owner4_TEL</vt:lpstr>
      <vt:lpstr>shinsei_owner5__address</vt:lpstr>
      <vt:lpstr>shinsei_owner5_CORP</vt:lpstr>
      <vt:lpstr>shinsei_owner5_NAME</vt:lpstr>
      <vt:lpstr>shinsei_owner5_NAME_KANA</vt:lpstr>
      <vt:lpstr>shinsei_owner5_POST</vt:lpstr>
      <vt:lpstr>shinsei_owner5_POST_CODE</vt:lpstr>
      <vt:lpstr>shinsei_owner5_TEL</vt:lpstr>
      <vt:lpstr>shinsei_owner6__address</vt:lpstr>
      <vt:lpstr>shinsei_owner6_CORP</vt:lpstr>
      <vt:lpstr>shinsei_owner6_NAME</vt:lpstr>
      <vt:lpstr>shinsei_owner6_NAME_KANA</vt:lpstr>
      <vt:lpstr>shinsei_owner6_POST</vt:lpstr>
      <vt:lpstr>shinsei_owner6_POST_CODE</vt:lpstr>
      <vt:lpstr>shinsei_owner6_TEL</vt:lpstr>
      <vt:lpstr>shinsei_owner7__address</vt:lpstr>
      <vt:lpstr>shinsei_owner7_CORP</vt:lpstr>
      <vt:lpstr>shinsei_owner7_NAME</vt:lpstr>
      <vt:lpstr>shinsei_owner7_NAME_KANA</vt:lpstr>
      <vt:lpstr>shinsei_owner7_POST</vt:lpstr>
      <vt:lpstr>shinsei_owner7_POST_CODE</vt:lpstr>
      <vt:lpstr>shinsei_owner7_TEL</vt:lpstr>
      <vt:lpstr>shinsei_owner8__address</vt:lpstr>
      <vt:lpstr>shinsei_owner8_CORP</vt:lpstr>
      <vt:lpstr>shinsei_owner8_NAME</vt:lpstr>
      <vt:lpstr>shinsei_owner8_NAME_KANA</vt:lpstr>
      <vt:lpstr>shinsei_owner8_POST</vt:lpstr>
      <vt:lpstr>shinsei_owner8_POST_CODE</vt:lpstr>
      <vt:lpstr>shinsei_owner8_TEL</vt:lpstr>
      <vt:lpstr>shinsei_owner9__address</vt:lpstr>
      <vt:lpstr>shinsei_owner9_CORP</vt:lpstr>
      <vt:lpstr>shinsei_owner9_NAME</vt:lpstr>
      <vt:lpstr>shinsei_owner9_NAME_KANA</vt:lpstr>
      <vt:lpstr>shinsei_owner9_POST</vt:lpstr>
      <vt:lpstr>shinsei_owner9_POST_CODE</vt:lpstr>
      <vt:lpstr>shinsei_owner9_TEL</vt:lpstr>
      <vt:lpstr>shinsei_PREF_OFFICE_FLAG</vt:lpstr>
      <vt:lpstr>shinsei_PROVO_DATE</vt:lpstr>
      <vt:lpstr>shinsei_PROVO_NO</vt:lpstr>
      <vt:lpstr>shinsei_PROVO_STRUCT_TANTO_USER_ID</vt:lpstr>
      <vt:lpstr>shinsei_PROVO_TANTO_USER_ID</vt:lpstr>
      <vt:lpstr>shinsei_PURIFIER_TANK_FLAG</vt:lpstr>
      <vt:lpstr>shinsei_REPORT_DEST_DEPART_NAME</vt:lpstr>
      <vt:lpstr>shinsei_REPORT_DEST_FAX</vt:lpstr>
      <vt:lpstr>shinsei_REPORT_DEST_GYOUSEI_KIND</vt:lpstr>
      <vt:lpstr>shinsei_REPORT_DEST_GYOUSEI_KIND__base</vt:lpstr>
      <vt:lpstr>shinsei_REPORT_DEST_GYOUSEI_KIND__base_point</vt:lpstr>
      <vt:lpstr>shinsei_REPORT_DEST_GYOUSEI_KIND__case1</vt:lpstr>
      <vt:lpstr>shinsei_REPORT_DEST_GYOUSEI_NAME</vt:lpstr>
      <vt:lpstr>shinsei_REPORT_DEST_KIND</vt:lpstr>
      <vt:lpstr>shinsei_REPORT_DEST_NAME</vt:lpstr>
      <vt:lpstr>shinsei_REPORT_DEST_SYUJI_NAME</vt:lpstr>
      <vt:lpstr>shinsei_SEKKEI__address</vt:lpstr>
      <vt:lpstr>shinsei_SEKKEI_JIMU_NAME</vt:lpstr>
      <vt:lpstr>shinsei_SEKKEI_JIMU_NO</vt:lpstr>
      <vt:lpstr>shinsei_SEKKEI_JIMU_SIKAKU</vt:lpstr>
      <vt:lpstr>shinsei_SEKKEI_JIMU_TOUROKU_KIKAN</vt:lpstr>
      <vt:lpstr>shinsei_SEKKEI_KENSETUSI_NO</vt:lpstr>
      <vt:lpstr>shinsei_SEKKEI_NAME</vt:lpstr>
      <vt:lpstr>shinsei_SEKKEI_POST_CODE</vt:lpstr>
      <vt:lpstr>shinsei_SEKKEI_SIKAKU</vt:lpstr>
      <vt:lpstr>shinsei_SEKKEI_TEL</vt:lpstr>
      <vt:lpstr>shinsei_SEKKEI_TOUROKU_KIKAN</vt:lpstr>
      <vt:lpstr>shinsei_sekkei04__address</vt:lpstr>
      <vt:lpstr>shinsei_sekkei04_JIMU_NAME</vt:lpstr>
      <vt:lpstr>shinsei_sekkei04_JIMU_NO</vt:lpstr>
      <vt:lpstr>shinsei_sekkei04_JIMU_SIKAKU</vt:lpstr>
      <vt:lpstr>shinsei_sekkei04_JIMU_TOUROKU_KIKAN</vt:lpstr>
      <vt:lpstr>shinsei_sekkei04_KENSETUSI_NO</vt:lpstr>
      <vt:lpstr>shinsei_sekkei04_NAME</vt:lpstr>
      <vt:lpstr>shinsei_sekkei04_POST_CODE</vt:lpstr>
      <vt:lpstr>shinsei_sekkei04_SIKAKU</vt:lpstr>
      <vt:lpstr>shinsei_sekkei04_TEL</vt:lpstr>
      <vt:lpstr>shinsei_sekkei04_TOUROKU_KIKAN</vt:lpstr>
      <vt:lpstr>shinsei_sekkei05__address</vt:lpstr>
      <vt:lpstr>shinsei_sekkei05_JIMU_NAME</vt:lpstr>
      <vt:lpstr>shinsei_sekkei05_JIMU_NO</vt:lpstr>
      <vt:lpstr>shinsei_sekkei05_JIMU_SIKAKU</vt:lpstr>
      <vt:lpstr>shinsei_sekkei05_JIMU_TOUROKU_KIKAN</vt:lpstr>
      <vt:lpstr>shinsei_sekkei05_KENSETUSI_NO</vt:lpstr>
      <vt:lpstr>shinsei_sekkei05_NAME</vt:lpstr>
      <vt:lpstr>shinsei_sekkei05_POST_CODE</vt:lpstr>
      <vt:lpstr>shinsei_sekkei05_SIKAKU</vt:lpstr>
      <vt:lpstr>shinsei_sekkei05_TEL</vt:lpstr>
      <vt:lpstr>shinsei_sekkei05_TOUROKU_KIKAN</vt:lpstr>
      <vt:lpstr>shinsei_sekkei06__address</vt:lpstr>
      <vt:lpstr>shinsei_sekkei06_JIMU_NAME</vt:lpstr>
      <vt:lpstr>shinsei_sekkei06_JIMU_NO</vt:lpstr>
      <vt:lpstr>shinsei_sekkei06_JIMU_SIKAKU</vt:lpstr>
      <vt:lpstr>shinsei_sekkei06_JIMU_TOUROKU_KIKAN</vt:lpstr>
      <vt:lpstr>shinsei_sekkei06_KENSETUSI_NO</vt:lpstr>
      <vt:lpstr>shinsei_sekkei06_NAME</vt:lpstr>
      <vt:lpstr>shinsei_sekkei06_POST_CODE</vt:lpstr>
      <vt:lpstr>shinsei_sekkei06_SIKAKU</vt:lpstr>
      <vt:lpstr>shinsei_sekkei06_TEL</vt:lpstr>
      <vt:lpstr>shinsei_sekkei06_TOUROKU_KIKAN</vt:lpstr>
      <vt:lpstr>shinsei_sekkei07__address</vt:lpstr>
      <vt:lpstr>shinsei_sekkei07_JIMU_NAME</vt:lpstr>
      <vt:lpstr>shinsei_sekkei07_JIMU_NO</vt:lpstr>
      <vt:lpstr>shinsei_sekkei07_JIMU_SIKAKU</vt:lpstr>
      <vt:lpstr>shinsei_sekkei07_JIMU_TOUROKU_KIKAN</vt:lpstr>
      <vt:lpstr>shinsei_sekkei07_KENSETUSI_NO</vt:lpstr>
      <vt:lpstr>shinsei_sekkei07_NAME</vt:lpstr>
      <vt:lpstr>shinsei_sekkei07_POST_CODE</vt:lpstr>
      <vt:lpstr>shinsei_sekkei07_SIKAKU</vt:lpstr>
      <vt:lpstr>shinsei_sekkei07_TEL</vt:lpstr>
      <vt:lpstr>shinsei_sekkei07_TOUROKU_KIKAN</vt:lpstr>
      <vt:lpstr>shinsei_sekkei08__address</vt:lpstr>
      <vt:lpstr>shinsei_sekkei08_JIMU_NAME</vt:lpstr>
      <vt:lpstr>shinsei_sekkei08_JIMU_NO</vt:lpstr>
      <vt:lpstr>shinsei_sekkei08_JIMU_SIKAKU</vt:lpstr>
      <vt:lpstr>shinsei_sekkei08_JIMU_TOUROKU_KIKAN</vt:lpstr>
      <vt:lpstr>shinsei_sekkei08_KENSETUSI_NO</vt:lpstr>
      <vt:lpstr>shinsei_sekkei08_NAME</vt:lpstr>
      <vt:lpstr>shinsei_sekkei08_POST_CODE</vt:lpstr>
      <vt:lpstr>shinsei_sekkei08_SIKAKU</vt:lpstr>
      <vt:lpstr>shinsei_sekkei08_TEL</vt:lpstr>
      <vt:lpstr>shinsei_sekkei08_TOUROKU_KIKAN</vt:lpstr>
      <vt:lpstr>shinsei_sekkei09__address</vt:lpstr>
      <vt:lpstr>shinsei_sekkei09_JIMU_NAME</vt:lpstr>
      <vt:lpstr>shinsei_sekkei09_JIMU_NO</vt:lpstr>
      <vt:lpstr>shinsei_sekkei09_JIMU_SIKAKU</vt:lpstr>
      <vt:lpstr>shinsei_sekkei09_JIMU_TOUROKU_KIKAN</vt:lpstr>
      <vt:lpstr>shinsei_sekkei09_KENSETUSI_NO</vt:lpstr>
      <vt:lpstr>shinsei_sekkei09_NAME</vt:lpstr>
      <vt:lpstr>shinsei_sekkei09_POST_CODE</vt:lpstr>
      <vt:lpstr>shinsei_sekkei09_SIKAKU</vt:lpstr>
      <vt:lpstr>shinsei_sekkei09_TEL</vt:lpstr>
      <vt:lpstr>shinsei_sekkei09_TOUROKU_KIKAN</vt:lpstr>
      <vt:lpstr>shinsei_SEKKEI1__address</vt:lpstr>
      <vt:lpstr>shinsei_SEKKEI1_JIMU_NAME</vt:lpstr>
      <vt:lpstr>shinsei_SEKKEI1_JIMU_NO</vt:lpstr>
      <vt:lpstr>shinsei_SEKKEI1_JIMU_SIKAKU</vt:lpstr>
      <vt:lpstr>shinsei_SEKKEI1_JIMU_TOUROKU_KIKAN</vt:lpstr>
      <vt:lpstr>shinsei_SEKKEI1_KENSETUSI_NO</vt:lpstr>
      <vt:lpstr>shinsei_SEKKEI1_NAME</vt:lpstr>
      <vt:lpstr>shinsei_SEKKEI1_POST_CODE</vt:lpstr>
      <vt:lpstr>shinsei_SEKKEI1_SIKAKU</vt:lpstr>
      <vt:lpstr>shinsei_SEKKEI1_TEL</vt:lpstr>
      <vt:lpstr>shinsei_SEKKEI1_TOUROKU_KIKAN</vt:lpstr>
      <vt:lpstr>shinsei_sekkei10__address</vt:lpstr>
      <vt:lpstr>shinsei_sekkei10_JIMU_NAME</vt:lpstr>
      <vt:lpstr>shinsei_sekkei10_JIMU_NO</vt:lpstr>
      <vt:lpstr>shinsei_sekkei10_JIMU_SIKAKU</vt:lpstr>
      <vt:lpstr>shinsei_sekkei10_JIMU_TOUROKU_KIKAN</vt:lpstr>
      <vt:lpstr>shinsei_sekkei10_KENSETUSI_NO</vt:lpstr>
      <vt:lpstr>shinsei_sekkei10_NAME</vt:lpstr>
      <vt:lpstr>shinsei_sekkei10_POST_CODE</vt:lpstr>
      <vt:lpstr>shinsei_sekkei10_SIKAKU</vt:lpstr>
      <vt:lpstr>shinsei_sekkei10_TEL</vt:lpstr>
      <vt:lpstr>shinsei_sekkei10_TOUROKU_KIKAN</vt:lpstr>
      <vt:lpstr>shinsei_sekkei11__address</vt:lpstr>
      <vt:lpstr>shinsei_sekkei11_JIMU_NAME</vt:lpstr>
      <vt:lpstr>shinsei_sekkei11_JIMU_NO</vt:lpstr>
      <vt:lpstr>shinsei_sekkei11_JIMU_SIKAKU</vt:lpstr>
      <vt:lpstr>shinsei_sekkei11_JIMU_TOUROKU_KIKAN</vt:lpstr>
      <vt:lpstr>shinsei_sekkei11_KENSETUSI_NO</vt:lpstr>
      <vt:lpstr>shinsei_sekkei11_NAME</vt:lpstr>
      <vt:lpstr>shinsei_sekkei11_POST_CODE</vt:lpstr>
      <vt:lpstr>shinsei_sekkei11_SIKAKU</vt:lpstr>
      <vt:lpstr>shinsei_sekkei11_TEL</vt:lpstr>
      <vt:lpstr>shinsei_sekkei11_TOUROKU_KIKAN</vt:lpstr>
      <vt:lpstr>shinsei_SEKKEI2__address</vt:lpstr>
      <vt:lpstr>shinsei_SEKKEI2_JIMU_NAME</vt:lpstr>
      <vt:lpstr>shinsei_SEKKEI2_JIMU_NO</vt:lpstr>
      <vt:lpstr>shinsei_SEKKEI2_JIMU_SIKAKU</vt:lpstr>
      <vt:lpstr>shinsei_SEKKEI2_JIMU_TOUROKU_KIKAN</vt:lpstr>
      <vt:lpstr>shinsei_SEKKEI2_KENSETUSI_NO</vt:lpstr>
      <vt:lpstr>shinsei_SEKKEI2_NAME</vt:lpstr>
      <vt:lpstr>shinsei_SEKKEI2_POST_CODE</vt:lpstr>
      <vt:lpstr>shinsei_SEKKEI2_SIKAKU</vt:lpstr>
      <vt:lpstr>shinsei_SEKKEI2_TEL</vt:lpstr>
      <vt:lpstr>shinsei_SEKKEI2_TOUROKU_KIKAN</vt:lpstr>
      <vt:lpstr>shinsei_SEKKEI3__address</vt:lpstr>
      <vt:lpstr>shinsei_SEKKEI3_JIMU_NAME</vt:lpstr>
      <vt:lpstr>shinsei_SEKKEI3_JIMU_NO</vt:lpstr>
      <vt:lpstr>shinsei_SEKKEI3_JIMU_SIKAKU</vt:lpstr>
      <vt:lpstr>shinsei_SEKKEI3_JIMU_TOUROKU_KIKAN</vt:lpstr>
      <vt:lpstr>shinsei_SEKKEI3_KENSETUSI_NO</vt:lpstr>
      <vt:lpstr>shinsei_SEKKEI3_NAME</vt:lpstr>
      <vt:lpstr>shinsei_SEKKEI3_POST_CODE</vt:lpstr>
      <vt:lpstr>shinsei_SEKKEI3_SIKAKU</vt:lpstr>
      <vt:lpstr>shinsei_SEKKEI3_TEL</vt:lpstr>
      <vt:lpstr>shinsei_SEKKEI3_TOUROKU_KIKAN</vt:lpstr>
      <vt:lpstr>shinsei_sekkeijimu_EMAIL</vt:lpstr>
      <vt:lpstr>shinsei_sekkeijimu_FAX</vt:lpstr>
      <vt:lpstr>shinsei_sekkeijimu_JIMU_NAME</vt:lpstr>
      <vt:lpstr>shinsei_sekkeijimu_NAME</vt:lpstr>
      <vt:lpstr>shinsei_sekkeijimu_TEL</vt:lpstr>
      <vt:lpstr>shinsei_SEKOU__address</vt:lpstr>
      <vt:lpstr>shinsei_SEKOU_ADDRESS</vt:lpstr>
      <vt:lpstr>shinsei_SEKOU_JIMU_NAME</vt:lpstr>
      <vt:lpstr>shinsei_SEKOU_JIMU_NO</vt:lpstr>
      <vt:lpstr>shinsei_SEKOU_JIMU_TOUROKU_KIKAN</vt:lpstr>
      <vt:lpstr>shinsei_SEKOU_NAME</vt:lpstr>
      <vt:lpstr>shinsei_SEKOU_TEL</vt:lpstr>
      <vt:lpstr>shinsei_sekou2__address</vt:lpstr>
      <vt:lpstr>shinsei_sekou2_ADDRESS</vt:lpstr>
      <vt:lpstr>shinsei_sekou2_JIMU_NAME</vt:lpstr>
      <vt:lpstr>shinsei_sekou2_JIMU_NO</vt:lpstr>
      <vt:lpstr>shinsei_sekou2_JIMU_TOUROKU_KIKAN</vt:lpstr>
      <vt:lpstr>shinsei_sekou2_NAME</vt:lpstr>
      <vt:lpstr>shinsei_sekou2_TEL</vt:lpstr>
      <vt:lpstr>shinsei_sekou3__address</vt:lpstr>
      <vt:lpstr>shinsei_sekou3_ADDRESS</vt:lpstr>
      <vt:lpstr>shinsei_sekou3_JIMU_NAME</vt:lpstr>
      <vt:lpstr>shinsei_sekou3_JIMU_NO</vt:lpstr>
      <vt:lpstr>shinsei_sekou3_JIMU_TOUROKU_KIKAN</vt:lpstr>
      <vt:lpstr>shinsei_sekou3_NAME</vt:lpstr>
      <vt:lpstr>shinsei_sekou3_TEL</vt:lpstr>
      <vt:lpstr>shinsei_sekou4__address</vt:lpstr>
      <vt:lpstr>shinsei_sekou4_ADDRESS</vt:lpstr>
      <vt:lpstr>shinsei_sekou4_JIMU_NAME</vt:lpstr>
      <vt:lpstr>shinsei_sekou4_JIMU_NO</vt:lpstr>
      <vt:lpstr>shinsei_sekou4_JIMU_TOUROKU_KIKAN</vt:lpstr>
      <vt:lpstr>shinsei_sekou4_NAME</vt:lpstr>
      <vt:lpstr>shinsei_sekou4_TEL</vt:lpstr>
      <vt:lpstr>shinsei_sekou5__address</vt:lpstr>
      <vt:lpstr>shinsei_sekou5_ADDRESS</vt:lpstr>
      <vt:lpstr>shinsei_sekou5_JIMU_NAME</vt:lpstr>
      <vt:lpstr>shinsei_sekou5_JIMU_NO</vt:lpstr>
      <vt:lpstr>shinsei_sekou5_JIMU_TOUROKU_KIKAN</vt:lpstr>
      <vt:lpstr>shinsei_sekou5_NAME</vt:lpstr>
      <vt:lpstr>shinsei_sekou5_TEL</vt:lpstr>
      <vt:lpstr>shinsei_sekou6__address</vt:lpstr>
      <vt:lpstr>shinsei_sekou6_ADDRESS</vt:lpstr>
      <vt:lpstr>shinsei_sekou6_JIMU_NAME</vt:lpstr>
      <vt:lpstr>shinsei_sekou6_JIMU_NO</vt:lpstr>
      <vt:lpstr>shinsei_sekou6_JIMU_TOUROKU_KIKAN</vt:lpstr>
      <vt:lpstr>shinsei_sekou6_NAME</vt:lpstr>
      <vt:lpstr>shinsei_sekou6_TEL</vt:lpstr>
      <vt:lpstr>shinsei_SEPTICTANK_KOUZOU_SYURUI</vt:lpstr>
      <vt:lpstr>shinsei_shinsei__zero</vt:lpstr>
      <vt:lpstr>shinsei_shinsei_COUNT</vt:lpstr>
      <vt:lpstr>shinsei_shinsei_HOU6</vt:lpstr>
      <vt:lpstr>shinsei_shinsei_IGAI__zero</vt:lpstr>
      <vt:lpstr>shinsei_shinsei_ISSUE_DATE</vt:lpstr>
      <vt:lpstr>shinsei_shinsei_ISSUE_NO</vt:lpstr>
      <vt:lpstr>shinsei_shinsei_KIND</vt:lpstr>
      <vt:lpstr>shinsei_shinsei_TOTAL</vt:lpstr>
      <vt:lpstr>shinsei_shinsei_TOWERS</vt:lpstr>
      <vt:lpstr>shinsei_STAT_CITY</vt:lpstr>
      <vt:lpstr>shinsei_STAT_KEN</vt:lpstr>
      <vt:lpstr>shinsei_STR_1ST_USER_ID</vt:lpstr>
      <vt:lpstr>shinsei_STR_2ND_USER_ID</vt:lpstr>
      <vt:lpstr>shinsei_STR_ACCEPT_DATE</vt:lpstr>
      <vt:lpstr>shinsei_STR_CALC_BOOK_FLAG</vt:lpstr>
      <vt:lpstr>shinsei_STR_CALC_BOOK_FLAG__umu</vt:lpstr>
      <vt:lpstr>shinsei_STR_EXCEEDED_CAUSE</vt:lpstr>
      <vt:lpstr>shinsei_STR_EXCEEDED_DATE</vt:lpstr>
      <vt:lpstr>shinsei_STR_EXCEEDED_DAYS</vt:lpstr>
      <vt:lpstr>shinsei_STR_EXCEEDED_NOTE</vt:lpstr>
      <vt:lpstr>shinsei_STR_SEKKEI___address</vt:lpstr>
      <vt:lpstr>shinsei_STR_SEKKEI_EMAIL</vt:lpstr>
      <vt:lpstr>shinsei_STR_SEKKEI_FAX</vt:lpstr>
      <vt:lpstr>shinsei_STR_SEKKEI_JIMU_NAME</vt:lpstr>
      <vt:lpstr>shinsei_STR_SEKKEI_NAME</vt:lpstr>
      <vt:lpstr>shinsei_STR_SEKKEI_TEL</vt:lpstr>
      <vt:lpstr>shinsei_STR_SEND_DATE</vt:lpstr>
      <vt:lpstr>shinsei_STR_SHINSEI_TOWERS</vt:lpstr>
      <vt:lpstr>shinsei_STR_TOTAL_CHARGE</vt:lpstr>
      <vt:lpstr>shinsei_STRIRAI_DATE</vt:lpstr>
      <vt:lpstr>shinsei_STRIRAI_DOCNO</vt:lpstr>
      <vt:lpstr>shinsei_STRIRAI_TEKIHAN_ACCEPT_DATE</vt:lpstr>
      <vt:lpstr>shinsei_STRIRAI_TEKIHAN_ACCEPT_NO</vt:lpstr>
      <vt:lpstr>shinsei_STRIRAI_TEKIHAN_LAST_NO</vt:lpstr>
      <vt:lpstr>shinsei_STRPROVO_IRAIYOTEI_DATE</vt:lpstr>
      <vt:lpstr>shinsei_STRPROVO_NOTE</vt:lpstr>
      <vt:lpstr>shinsei_STRPROVO_NOTIFY_DATE</vt:lpstr>
      <vt:lpstr>shinsei_STRPROVO_SEIGEN_BESSI</vt:lpstr>
      <vt:lpstr>shinsei_STRPROVO_SEIGEN_MITEI</vt:lpstr>
      <vt:lpstr>shinsei_STRTORISAGE_CAUSE</vt:lpstr>
      <vt:lpstr>shinsei_STRTORISAGE_TEISYUTU_DATE</vt:lpstr>
      <vt:lpstr>shinsei_strtower01_BUILD_KUBUN</vt:lpstr>
      <vt:lpstr>shinsei_strtower01_BUILD_KUBUN_TEXT</vt:lpstr>
      <vt:lpstr>shinsei_strtower01_CHARGE</vt:lpstr>
      <vt:lpstr>shinsei_strtower01_CHARGE_KEISAN_NOTE</vt:lpstr>
      <vt:lpstr>shinsei_strtower01_CHARGE_SANTEI_MENSEKI</vt:lpstr>
      <vt:lpstr>shinsei_strtower01_CHARGE_TOTAL</vt:lpstr>
      <vt:lpstr>shinsei_strtower01_CHARGE_WARIMASHI</vt:lpstr>
      <vt:lpstr>shinsei_strtower01_DISK_FLAG</vt:lpstr>
      <vt:lpstr>shinsei_strtower01_JUDGE</vt:lpstr>
      <vt:lpstr>shinsei_strtower01_KAISU_TIJYOU</vt:lpstr>
      <vt:lpstr>shinsei_strtower01_KAISU_TIKA</vt:lpstr>
      <vt:lpstr>shinsei_strtower01_KAISU_TOUYA</vt:lpstr>
      <vt:lpstr>shinsei_strtower01_KEISAN_X_ROUTE</vt:lpstr>
      <vt:lpstr>shinsei_strtower01_KEISAN_Y_ROUTE</vt:lpstr>
      <vt:lpstr>shinsei_strtower01_KOUJI_TEXT</vt:lpstr>
      <vt:lpstr>shinsei_strtower01_KOUZOU</vt:lpstr>
      <vt:lpstr>shinsei_strtower01_KOUZOU_KEISAN</vt:lpstr>
      <vt:lpstr>shinsei_strtower01_KOUZOU_KEISAN_TEXT</vt:lpstr>
      <vt:lpstr>shinsei_strtower01_KOUZOU_TEXT</vt:lpstr>
      <vt:lpstr>shinsei_strtower01_MAX_NOKI_TAKASA</vt:lpstr>
      <vt:lpstr>shinsei_strtower01_MAX_TAKASA</vt:lpstr>
      <vt:lpstr>shinsei_strtower01_MENJYO_TEXT</vt:lpstr>
      <vt:lpstr>shinsei_strtower01_MENSEKI</vt:lpstr>
      <vt:lpstr>shinsei_strtower01_prgo01_MAKER_NAME</vt:lpstr>
      <vt:lpstr>shinsei_strtower01_prgo01_NAME</vt:lpstr>
      <vt:lpstr>shinsei_strtower01_prgo01_NINTEI_DATE</vt:lpstr>
      <vt:lpstr>shinsei_strtower01_prgo01_NINTEI_NO</vt:lpstr>
      <vt:lpstr>shinsei_strtower01_prgo01_VER</vt:lpstr>
      <vt:lpstr>shinsei_strtower01_prgo02_MAKER_NAME</vt:lpstr>
      <vt:lpstr>shinsei_strtower01_prgo02_NAME</vt:lpstr>
      <vt:lpstr>shinsei_strtower01_prgo02_NINTEI_DATE</vt:lpstr>
      <vt:lpstr>shinsei_strtower01_prgo02_NINTEI_NO</vt:lpstr>
      <vt:lpstr>shinsei_strtower01_prgo02_VER</vt:lpstr>
      <vt:lpstr>shinsei_strtower01_prgo03_MAKER_NAME</vt:lpstr>
      <vt:lpstr>shinsei_strtower01_prgo03_NAME</vt:lpstr>
      <vt:lpstr>shinsei_strtower01_prgo03_NINTEI_DATE</vt:lpstr>
      <vt:lpstr>shinsei_strtower01_prgo03_NINTEI_NO</vt:lpstr>
      <vt:lpstr>shinsei_strtower01_prgo03_VER</vt:lpstr>
      <vt:lpstr>shinsei_strtower01_prgo04_MAKER_NAME</vt:lpstr>
      <vt:lpstr>shinsei_strtower01_prgo04_NAME</vt:lpstr>
      <vt:lpstr>shinsei_strtower01_prgo04_NINTEI_DATE</vt:lpstr>
      <vt:lpstr>shinsei_strtower01_prgo04_NINTEI_NO</vt:lpstr>
      <vt:lpstr>shinsei_strtower01_prgo04_VER</vt:lpstr>
      <vt:lpstr>shinsei_strtower01_prgo05_MAKER_NAME</vt:lpstr>
      <vt:lpstr>shinsei_strtower01_prgo05_NAME</vt:lpstr>
      <vt:lpstr>shinsei_strtower01_prgo05_NINTEI_DATE</vt:lpstr>
      <vt:lpstr>shinsei_strtower01_prgo05_NINTEI_NO</vt:lpstr>
      <vt:lpstr>shinsei_strtower01_prgo05_VER</vt:lpstr>
      <vt:lpstr>shinsei_strtower01_PROGRAM_KIND</vt:lpstr>
      <vt:lpstr>shinsei_strtower01_PROGRAM_KIND__hyouka__box</vt:lpstr>
      <vt:lpstr>shinsei_strtower01_PROGRAM_KIND__nintei__box</vt:lpstr>
      <vt:lpstr>shinsei_strtower01_PROGRAM_KIND__sonota__box</vt:lpstr>
      <vt:lpstr>shinsei_strtower01_PROGRAM_KIND_SONOTA</vt:lpstr>
      <vt:lpstr>shinsei_strtower01_REI80_2_KOKUJI_TEXT</vt:lpstr>
      <vt:lpstr>shinsei_strtower01_STR_TOWER_NAME</vt:lpstr>
      <vt:lpstr>shinsei_strtower01_STR_TOWER_NO</vt:lpstr>
      <vt:lpstr>shinsei_strtower01_STR_TOWER_YOUTO_TEXT</vt:lpstr>
      <vt:lpstr>shinsei_strtower01_TOWER_NO</vt:lpstr>
      <vt:lpstr>shinsei_strtower02_BUILD_KUBUN</vt:lpstr>
      <vt:lpstr>shinsei_strtower02_BUILD_KUBUN_TEXT</vt:lpstr>
      <vt:lpstr>shinsei_strtower02_CHARGE</vt:lpstr>
      <vt:lpstr>shinsei_strtower02_CHARGE_KEISAN_NOTE</vt:lpstr>
      <vt:lpstr>shinsei_strtower02_CHARGE_SANTEI_MENSEKI</vt:lpstr>
      <vt:lpstr>shinsei_strtower02_CHARGE_TOTAL</vt:lpstr>
      <vt:lpstr>shinsei_strtower02_CHARGE_WARIMASHI</vt:lpstr>
      <vt:lpstr>shinsei_strtower02_DISK_FLAG</vt:lpstr>
      <vt:lpstr>shinsei_strtower02_JUDGE</vt:lpstr>
      <vt:lpstr>shinsei_strtower02_KAISU_TIJYOU</vt:lpstr>
      <vt:lpstr>shinsei_strtower02_KAISU_TIKA</vt:lpstr>
      <vt:lpstr>shinsei_strtower02_KAISU_TOUYA</vt:lpstr>
      <vt:lpstr>shinsei_strtower02_KEISAN_X_ROUTE</vt:lpstr>
      <vt:lpstr>shinsei_strtower02_KEISAN_Y_ROUTE</vt:lpstr>
      <vt:lpstr>shinsei_strtower02_KOUJI_TEXT</vt:lpstr>
      <vt:lpstr>shinsei_strtower02_KOUZOU</vt:lpstr>
      <vt:lpstr>shinsei_strtower02_KOUZOU_KEISAN</vt:lpstr>
      <vt:lpstr>shinsei_strtower02_KOUZOU_KEISAN_TEXT</vt:lpstr>
      <vt:lpstr>shinsei_strtower02_KOUZOU_TEXT</vt:lpstr>
      <vt:lpstr>shinsei_strtower02_MAX_NOKI_TAKASA</vt:lpstr>
      <vt:lpstr>shinsei_strtower02_MAX_TAKASA</vt:lpstr>
      <vt:lpstr>shinsei_strtower02_MENJYO_TEXT</vt:lpstr>
      <vt:lpstr>shinsei_strtower02_MENSEKI</vt:lpstr>
      <vt:lpstr>shinsei_strtower02_prgo01_MAKER_NAME</vt:lpstr>
      <vt:lpstr>shinsei_strtower02_prgo01_NAME</vt:lpstr>
      <vt:lpstr>shinsei_strtower02_prgo01_NINTEI_DATE</vt:lpstr>
      <vt:lpstr>shinsei_strtower02_prgo01_NINTEI_NO</vt:lpstr>
      <vt:lpstr>shinsei_strtower02_prgo01_VER</vt:lpstr>
      <vt:lpstr>shinsei_strtower02_prgo02_MAKER_NAME</vt:lpstr>
      <vt:lpstr>shinsei_strtower02_prgo02_NAME</vt:lpstr>
      <vt:lpstr>shinsei_strtower02_prgo02_NINTEI_DATE</vt:lpstr>
      <vt:lpstr>shinsei_strtower02_prgo02_NINTEI_NO</vt:lpstr>
      <vt:lpstr>shinsei_strtower02_prgo02_VER</vt:lpstr>
      <vt:lpstr>shinsei_strtower02_prgo03_MAKER_NAME</vt:lpstr>
      <vt:lpstr>shinsei_strtower02_prgo03_NAME</vt:lpstr>
      <vt:lpstr>shinsei_strtower02_prgo03_NINTEI_DATE</vt:lpstr>
      <vt:lpstr>shinsei_strtower02_prgo03_NINTEI_NO</vt:lpstr>
      <vt:lpstr>shinsei_strtower02_prgo03_VER</vt:lpstr>
      <vt:lpstr>shinsei_strtower02_prgo04_MAKER_NAME</vt:lpstr>
      <vt:lpstr>shinsei_strtower02_prgo04_NAME</vt:lpstr>
      <vt:lpstr>shinsei_strtower02_prgo04_NINTEI_DATE</vt:lpstr>
      <vt:lpstr>shinsei_strtower02_prgo04_NINTEI_NO</vt:lpstr>
      <vt:lpstr>shinsei_strtower02_prgo04_VER</vt:lpstr>
      <vt:lpstr>shinsei_strtower02_prgo05_MAKER_NAME</vt:lpstr>
      <vt:lpstr>shinsei_strtower02_prgo05_NAME</vt:lpstr>
      <vt:lpstr>shinsei_strtower02_prgo05_NINTEI_DATE</vt:lpstr>
      <vt:lpstr>shinsei_strtower02_prgo05_NINTEI_NO</vt:lpstr>
      <vt:lpstr>shinsei_strtower02_prgo05_VER</vt:lpstr>
      <vt:lpstr>shinsei_strtower02_PROGRAM_KIND</vt:lpstr>
      <vt:lpstr>shinsei_strtower02_PROGRAM_KIND__hyouka__box</vt:lpstr>
      <vt:lpstr>shinsei_strtower02_PROGRAM_KIND__nintei__box</vt:lpstr>
      <vt:lpstr>shinsei_strtower02_PROGRAM_KIND__sonota__box</vt:lpstr>
      <vt:lpstr>shinsei_strtower02_PROGRAM_KIND_SONOTA</vt:lpstr>
      <vt:lpstr>shinsei_strtower02_REI80_2_KOKUJI_TEXT</vt:lpstr>
      <vt:lpstr>shinsei_strtower02_STR_TOWER_NAME</vt:lpstr>
      <vt:lpstr>shinsei_strtower02_STR_TOWER_NO</vt:lpstr>
      <vt:lpstr>shinsei_strtower02_STR_TOWER_YOUTO_TEXT</vt:lpstr>
      <vt:lpstr>shinsei_strtower02_TOWER_NO</vt:lpstr>
      <vt:lpstr>shinsei_strtower03_BUILD_KUBUN</vt:lpstr>
      <vt:lpstr>shinsei_strtower03_BUILD_KUBUN_TEXT</vt:lpstr>
      <vt:lpstr>shinsei_strtower03_CHARGE</vt:lpstr>
      <vt:lpstr>shinsei_strtower03_CHARGE_KEISAN_NOTE</vt:lpstr>
      <vt:lpstr>shinsei_strtower03_CHARGE_SANTEI_MENSEKI</vt:lpstr>
      <vt:lpstr>shinsei_strtower03_CHARGE_TOTAL</vt:lpstr>
      <vt:lpstr>shinsei_strtower03_CHARGE_WARIMASHI</vt:lpstr>
      <vt:lpstr>shinsei_strtower03_DISK_FLAG</vt:lpstr>
      <vt:lpstr>shinsei_strtower03_JUDGE</vt:lpstr>
      <vt:lpstr>shinsei_strtower03_KAISU_TIJYOU</vt:lpstr>
      <vt:lpstr>shinsei_strtower03_KAISU_TIKA</vt:lpstr>
      <vt:lpstr>shinsei_strtower03_KAISU_TOUYA</vt:lpstr>
      <vt:lpstr>shinsei_strtower03_KEISAN_X_ROUTE</vt:lpstr>
      <vt:lpstr>shinsei_strtower03_KEISAN_Y_ROUTE</vt:lpstr>
      <vt:lpstr>shinsei_strtower03_KOUJI_TEXT</vt:lpstr>
      <vt:lpstr>shinsei_strtower03_KOUZOU</vt:lpstr>
      <vt:lpstr>shinsei_strtower03_KOUZOU_KEISAN</vt:lpstr>
      <vt:lpstr>shinsei_strtower03_KOUZOU_KEISAN_TEXT</vt:lpstr>
      <vt:lpstr>shinsei_strtower03_KOUZOU_TEXT</vt:lpstr>
      <vt:lpstr>shinsei_strtower03_MAX_NOKI_TAKASA</vt:lpstr>
      <vt:lpstr>shinsei_strtower03_MAX_TAKASA</vt:lpstr>
      <vt:lpstr>shinsei_strtower03_MENJYO_TEXT</vt:lpstr>
      <vt:lpstr>shinsei_strtower03_MENSEKI</vt:lpstr>
      <vt:lpstr>shinsei_strtower03_prgo01_MAKER_NAME</vt:lpstr>
      <vt:lpstr>shinsei_strtower03_prgo01_NAME</vt:lpstr>
      <vt:lpstr>shinsei_strtower03_prgo01_NINTEI_DATE</vt:lpstr>
      <vt:lpstr>shinsei_strtower03_prgo01_NINTEI_NO</vt:lpstr>
      <vt:lpstr>shinsei_strtower03_prgo01_VER</vt:lpstr>
      <vt:lpstr>shinsei_strtower03_prgo02_MAKER_NAME</vt:lpstr>
      <vt:lpstr>shinsei_strtower03_prgo02_NAME</vt:lpstr>
      <vt:lpstr>shinsei_strtower03_prgo02_NINTEI_DATE</vt:lpstr>
      <vt:lpstr>shinsei_strtower03_prgo02_NINTEI_NO</vt:lpstr>
      <vt:lpstr>shinsei_strtower03_prgo02_VER</vt:lpstr>
      <vt:lpstr>shinsei_strtower03_prgo03_MAKER_NAME</vt:lpstr>
      <vt:lpstr>shinsei_strtower03_prgo03_NAME</vt:lpstr>
      <vt:lpstr>shinsei_strtower03_prgo03_NINTEI_DATE</vt:lpstr>
      <vt:lpstr>shinsei_strtower03_prgo03_NINTEI_NO</vt:lpstr>
      <vt:lpstr>shinsei_strtower03_prgo03_VER</vt:lpstr>
      <vt:lpstr>shinsei_strtower03_prgo04_MAKER_NAME</vt:lpstr>
      <vt:lpstr>shinsei_strtower03_prgo04_NAME</vt:lpstr>
      <vt:lpstr>shinsei_strtower03_prgo04_NINTEI_DATE</vt:lpstr>
      <vt:lpstr>shinsei_strtower03_prgo04_NINTEI_NO</vt:lpstr>
      <vt:lpstr>shinsei_strtower03_prgo04_VER</vt:lpstr>
      <vt:lpstr>shinsei_strtower03_prgo05_MAKER_NAME</vt:lpstr>
      <vt:lpstr>shinsei_strtower03_prgo05_NAME</vt:lpstr>
      <vt:lpstr>shinsei_strtower03_prgo05_NINTEI_DATE</vt:lpstr>
      <vt:lpstr>shinsei_strtower03_prgo05_NINTEI_NO</vt:lpstr>
      <vt:lpstr>shinsei_strtower03_prgo05_VER</vt:lpstr>
      <vt:lpstr>shinsei_strtower03_PROGRAM_KIND</vt:lpstr>
      <vt:lpstr>shinsei_strtower03_PROGRAM_KIND__hyouka__box</vt:lpstr>
      <vt:lpstr>shinsei_strtower03_PROGRAM_KIND__nintei__box</vt:lpstr>
      <vt:lpstr>shinsei_strtower03_PROGRAM_KIND__sonota__box</vt:lpstr>
      <vt:lpstr>shinsei_strtower03_PROGRAM_KIND_SONOTA</vt:lpstr>
      <vt:lpstr>shinsei_strtower03_REI80_2_KOKUJI_TEXT</vt:lpstr>
      <vt:lpstr>shinsei_strtower03_STR_TOWER_NAME</vt:lpstr>
      <vt:lpstr>shinsei_strtower03_STR_TOWER_NO</vt:lpstr>
      <vt:lpstr>shinsei_strtower03_STR_TOWER_YOUTO_TEXT</vt:lpstr>
      <vt:lpstr>shinsei_strtower03_TOWER_NO</vt:lpstr>
      <vt:lpstr>shinsei_strtower04_BUILD_KUBUN</vt:lpstr>
      <vt:lpstr>shinsei_strtower04_BUILD_KUBUN_TEXT</vt:lpstr>
      <vt:lpstr>shinsei_strtower04_CHARGE</vt:lpstr>
      <vt:lpstr>shinsei_strtower04_CHARGE_KEISAN_NOTE</vt:lpstr>
      <vt:lpstr>shinsei_strtower04_CHARGE_SANTEI_MENSEKI</vt:lpstr>
      <vt:lpstr>shinsei_strtower04_CHARGE_TOTAL</vt:lpstr>
      <vt:lpstr>shinsei_strtower04_CHARGE_WARIMASHI</vt:lpstr>
      <vt:lpstr>shinsei_strtower04_DISK_FLAG</vt:lpstr>
      <vt:lpstr>shinsei_strtower04_JUDGE</vt:lpstr>
      <vt:lpstr>shinsei_strtower04_KAISU_TIJYOU</vt:lpstr>
      <vt:lpstr>shinsei_strtower04_KAISU_TIKA</vt:lpstr>
      <vt:lpstr>shinsei_strtower04_KAISU_TOUYA</vt:lpstr>
      <vt:lpstr>shinsei_strtower04_KEISAN_X_ROUTE</vt:lpstr>
      <vt:lpstr>shinsei_strtower04_KEISAN_Y_ROUTE</vt:lpstr>
      <vt:lpstr>shinsei_strtower04_KOUJI_TEXT</vt:lpstr>
      <vt:lpstr>shinsei_strtower04_KOUZOU</vt:lpstr>
      <vt:lpstr>shinsei_strtower04_KOUZOU_KEISAN</vt:lpstr>
      <vt:lpstr>shinsei_strtower04_KOUZOU_KEISAN_TEXT</vt:lpstr>
      <vt:lpstr>shinsei_strtower04_KOUZOU_TEXT</vt:lpstr>
      <vt:lpstr>shinsei_strtower04_MAX_NOKI_TAKASA</vt:lpstr>
      <vt:lpstr>shinsei_strtower04_MAX_TAKASA</vt:lpstr>
      <vt:lpstr>shinsei_strtower04_MENJYO_TEXT</vt:lpstr>
      <vt:lpstr>shinsei_strtower04_MENSEKI</vt:lpstr>
      <vt:lpstr>shinsei_strtower04_prgo01_MAKER_NAME</vt:lpstr>
      <vt:lpstr>shinsei_strtower04_prgo01_NAME</vt:lpstr>
      <vt:lpstr>shinsei_strtower04_prgo01_NINTEI_DATE</vt:lpstr>
      <vt:lpstr>shinsei_strtower04_prgo01_NINTEI_NO</vt:lpstr>
      <vt:lpstr>shinsei_strtower04_prgo01_VER</vt:lpstr>
      <vt:lpstr>shinsei_strtower04_prgo02_MAKER_NAME</vt:lpstr>
      <vt:lpstr>shinsei_strtower04_prgo02_NAME</vt:lpstr>
      <vt:lpstr>shinsei_strtower04_prgo02_NINTEI_DATE</vt:lpstr>
      <vt:lpstr>shinsei_strtower04_prgo02_NINTEI_NO</vt:lpstr>
      <vt:lpstr>shinsei_strtower04_prgo02_VER</vt:lpstr>
      <vt:lpstr>shinsei_strtower04_prgo03_MAKER_NAME</vt:lpstr>
      <vt:lpstr>shinsei_strtower04_prgo03_NAME</vt:lpstr>
      <vt:lpstr>shinsei_strtower04_prgo03_NINTEI_DATE</vt:lpstr>
      <vt:lpstr>shinsei_strtower04_prgo03_NINTEI_NO</vt:lpstr>
      <vt:lpstr>shinsei_strtower04_prgo03_VER</vt:lpstr>
      <vt:lpstr>shinsei_strtower04_prgo04_MAKER_NAME</vt:lpstr>
      <vt:lpstr>shinsei_strtower04_prgo04_NAME</vt:lpstr>
      <vt:lpstr>shinsei_strtower04_prgo04_NINTEI_DATE</vt:lpstr>
      <vt:lpstr>shinsei_strtower04_prgo04_NINTEI_NO</vt:lpstr>
      <vt:lpstr>shinsei_strtower04_prgo04_VER</vt:lpstr>
      <vt:lpstr>shinsei_strtower04_prgo05_MAKER_NAME</vt:lpstr>
      <vt:lpstr>shinsei_strtower04_prgo05_NAME</vt:lpstr>
      <vt:lpstr>shinsei_strtower04_prgo05_NINTEI_DATE</vt:lpstr>
      <vt:lpstr>shinsei_strtower04_prgo05_NINTEI_NO</vt:lpstr>
      <vt:lpstr>shinsei_strtower04_prgo05_VER</vt:lpstr>
      <vt:lpstr>shinsei_strtower04_PROGRAM_KIND</vt:lpstr>
      <vt:lpstr>shinsei_strtower04_PROGRAM_KIND__hyouka__box</vt:lpstr>
      <vt:lpstr>shinsei_strtower04_PROGRAM_KIND__nintei__box</vt:lpstr>
      <vt:lpstr>shinsei_strtower04_PROGRAM_KIND__sonota__box</vt:lpstr>
      <vt:lpstr>shinsei_strtower04_PROGRAM_KIND_SONOTA</vt:lpstr>
      <vt:lpstr>shinsei_strtower04_REI80_2_KOKUJI_TEXT</vt:lpstr>
      <vt:lpstr>shinsei_strtower04_STR_TOWER_NAME</vt:lpstr>
      <vt:lpstr>shinsei_strtower04_STR_TOWER_NO</vt:lpstr>
      <vt:lpstr>shinsei_strtower04_STR_TOWER_YOUTO_TEXT</vt:lpstr>
      <vt:lpstr>shinsei_strtower04_TOWER_NO</vt:lpstr>
      <vt:lpstr>shinsei_strtower05_BUILD_KUBUN</vt:lpstr>
      <vt:lpstr>shinsei_strtower05_BUILD_KUBUN_TEXT</vt:lpstr>
      <vt:lpstr>shinsei_strtower05_CHARGE</vt:lpstr>
      <vt:lpstr>shinsei_strtower05_CHARGE_KEISAN_NOTE</vt:lpstr>
      <vt:lpstr>shinsei_strtower05_CHARGE_SANTEI_MENSEKI</vt:lpstr>
      <vt:lpstr>shinsei_strtower05_CHARGE_TOTAL</vt:lpstr>
      <vt:lpstr>shinsei_strtower05_CHARGE_WARIMASHI</vt:lpstr>
      <vt:lpstr>shinsei_strtower05_DISK_FLAG</vt:lpstr>
      <vt:lpstr>shinsei_strtower05_JUDGE</vt:lpstr>
      <vt:lpstr>shinsei_strtower05_KAISU_TIJYOU</vt:lpstr>
      <vt:lpstr>shinsei_strtower05_KAISU_TIKA</vt:lpstr>
      <vt:lpstr>shinsei_strtower05_KAISU_TOUYA</vt:lpstr>
      <vt:lpstr>shinsei_strtower05_KEISAN_X_ROUTE</vt:lpstr>
      <vt:lpstr>shinsei_strtower05_KEISAN_Y_ROUTE</vt:lpstr>
      <vt:lpstr>shinsei_strtower05_KOUJI_TEXT</vt:lpstr>
      <vt:lpstr>shinsei_strtower05_KOUZOU</vt:lpstr>
      <vt:lpstr>shinsei_strtower05_KOUZOU_KEISAN</vt:lpstr>
      <vt:lpstr>shinsei_strtower05_KOUZOU_KEISAN_TEXT</vt:lpstr>
      <vt:lpstr>shinsei_strtower05_KOUZOU_TEXT</vt:lpstr>
      <vt:lpstr>shinsei_strtower05_MAX_NOKI_TAKASA</vt:lpstr>
      <vt:lpstr>shinsei_strtower05_MAX_TAKASA</vt:lpstr>
      <vt:lpstr>shinsei_strtower05_MENJYO_TEXT</vt:lpstr>
      <vt:lpstr>shinsei_strtower05_MENSEKI</vt:lpstr>
      <vt:lpstr>shinsei_strtower05_prgo01_MAKER_NAME</vt:lpstr>
      <vt:lpstr>shinsei_strtower05_prgo01_NAME</vt:lpstr>
      <vt:lpstr>shinsei_strtower05_prgo01_NINTEI_DATE</vt:lpstr>
      <vt:lpstr>shinsei_strtower05_prgo01_NINTEI_NO</vt:lpstr>
      <vt:lpstr>shinsei_strtower05_prgo01_VER</vt:lpstr>
      <vt:lpstr>shinsei_strtower05_prgo02_MAKER_NAME</vt:lpstr>
      <vt:lpstr>shinsei_strtower05_prgo02_NAME</vt:lpstr>
      <vt:lpstr>shinsei_strtower05_prgo02_NINTEI_DATE</vt:lpstr>
      <vt:lpstr>shinsei_strtower05_prgo02_NINTEI_NO</vt:lpstr>
      <vt:lpstr>shinsei_strtower05_prgo02_VER</vt:lpstr>
      <vt:lpstr>shinsei_strtower05_prgo03_MAKER_NAME</vt:lpstr>
      <vt:lpstr>shinsei_strtower05_prgo03_NAME</vt:lpstr>
      <vt:lpstr>shinsei_strtower05_prgo03_NINTEI_DATE</vt:lpstr>
      <vt:lpstr>shinsei_strtower05_prgo03_NINTEI_NO</vt:lpstr>
      <vt:lpstr>shinsei_strtower05_prgo03_VER</vt:lpstr>
      <vt:lpstr>shinsei_strtower05_prgo04_MAKER_NAME</vt:lpstr>
      <vt:lpstr>shinsei_strtower05_prgo04_NAME</vt:lpstr>
      <vt:lpstr>shinsei_strtower05_prgo04_NINTEI_DATE</vt:lpstr>
      <vt:lpstr>shinsei_strtower05_prgo04_NINTEI_NO</vt:lpstr>
      <vt:lpstr>shinsei_strtower05_prgo04_VER</vt:lpstr>
      <vt:lpstr>shinsei_strtower05_prgo05_MAKER_NAME</vt:lpstr>
      <vt:lpstr>shinsei_strtower05_prgo05_NAME</vt:lpstr>
      <vt:lpstr>shinsei_strtower05_prgo05_NINTEI_DATE</vt:lpstr>
      <vt:lpstr>shinsei_strtower05_prgo05_NINTEI_NO</vt:lpstr>
      <vt:lpstr>shinsei_strtower05_prgo05_VER</vt:lpstr>
      <vt:lpstr>shinsei_strtower05_PROGRAM_KIND</vt:lpstr>
      <vt:lpstr>shinsei_strtower05_PROGRAM_KIND__hyouka__box</vt:lpstr>
      <vt:lpstr>shinsei_strtower05_PROGRAM_KIND__nintei__box</vt:lpstr>
      <vt:lpstr>shinsei_strtower05_PROGRAM_KIND__sonota__box</vt:lpstr>
      <vt:lpstr>shinsei_strtower05_PROGRAM_KIND_SONOTA</vt:lpstr>
      <vt:lpstr>shinsei_strtower05_REI80_2_KOKUJI_TEXT</vt:lpstr>
      <vt:lpstr>shinsei_strtower05_STR_TOWER_NAME</vt:lpstr>
      <vt:lpstr>shinsei_strtower05_STR_TOWER_NO</vt:lpstr>
      <vt:lpstr>shinsei_strtower05_STR_TOWER_YOUTO_TEXT</vt:lpstr>
      <vt:lpstr>shinsei_strtower05_TOWER_NO</vt:lpstr>
      <vt:lpstr>shinsei_STRUCTRESULT_NOTIFY_BIKO</vt:lpstr>
      <vt:lpstr>shinsei_STRUCTRESULT_NOTIFY_DATE</vt:lpstr>
      <vt:lpstr>shinsei_STRUCTRESULT_NOTIFY_KOUFU_NAME</vt:lpstr>
      <vt:lpstr>shinsei_STRUCTRESULT_NOTIFY_NO</vt:lpstr>
      <vt:lpstr>shinsei_STRUCTRESULT_NOTIFY_RESULT</vt:lpstr>
      <vt:lpstr>shinsei_TAISHIN_SHINDAN_FLAG</vt:lpstr>
      <vt:lpstr>shinsei_TARGET_KIND</vt:lpstr>
      <vt:lpstr>shinsei_TEKIHAN_KIKAN_CODE</vt:lpstr>
      <vt:lpstr>shinsei_UKETUKE_NO</vt:lpstr>
      <vt:lpstr>shinsei_UKETUKE_OFFICE_ID__ACCOUNT_NO</vt:lpstr>
      <vt:lpstr>shinsei_UKETUKE_OFFICE_ID__ACCOUNT_TYPE</vt:lpstr>
      <vt:lpstr>shinsei_UKETUKE_OFFICE_ID__ADDRESS</vt:lpstr>
      <vt:lpstr>shinsei_UKETUKE_OFFICE_ID__ADDRESS2</vt:lpstr>
      <vt:lpstr>shinsei_UKETUKE_OFFICE_ID__BANK_BRANCH_NAME</vt:lpstr>
      <vt:lpstr>shinsei_UKETUKE_OFFICE_ID__BANK_NAME</vt:lpstr>
      <vt:lpstr>shinsei_UKETUKE_OFFICE_ID__COMPANY_NAME</vt:lpstr>
      <vt:lpstr>shinsei_UKETUKE_OFFICE_ID__FAX</vt:lpstr>
      <vt:lpstr>shinsei_UKETUKE_OFFICE_ID__ID</vt:lpstr>
      <vt:lpstr>shinsei_UKETUKE_OFFICE_ID__OFFICE_NAME</vt:lpstr>
      <vt:lpstr>shinsei_UKETUKE_OFFICE_ID__POST_CODE</vt:lpstr>
      <vt:lpstr>shinsei_UKETUKE_OFFICE_ID__TEL</vt:lpstr>
      <vt:lpstr>shinsei_UNIT_COUNT</vt:lpstr>
      <vt:lpstr>shinsei_WORK_88</vt:lpstr>
      <vt:lpstr>shinsei_WORK_TYPE</vt:lpstr>
      <vt:lpstr>shinseijudgehist_accept_isyou1_BEGIN_DATE</vt:lpstr>
      <vt:lpstr>shinseijudgehist_accept_isyou1_END_DATE</vt:lpstr>
      <vt:lpstr>shinseijudgehist_accept_isyou1_TANTO_USER_ID</vt:lpstr>
      <vt:lpstr>shinseijudgehist_accept_isyou2_TANTO_USER_ID</vt:lpstr>
      <vt:lpstr>shinseijudgehist_accept_isyou3_TANTO_USER_ID</vt:lpstr>
      <vt:lpstr>shinseijudgehist_accept_kouzou1_TANTO_USER_ID</vt:lpstr>
      <vt:lpstr>shinseijudgehist_accept_kouzou2_TANTO_USER_ID</vt:lpstr>
      <vt:lpstr>shinseijudgehist_accept_kouzou3_TANTO_USER_ID</vt:lpstr>
      <vt:lpstr>shinseijudgehist_accept_setubi1_TANTO_USER_ID</vt:lpstr>
      <vt:lpstr>shinseijudgehist_accept_setubi2_TANTO_USER_ID</vt:lpstr>
      <vt:lpstr>shinseijudgehist_accept_setubi3_TANTO_USER_ID</vt:lpstr>
      <vt:lpstr>shinseijudgehist_provo_isyou1_TANTO_USER_ID</vt:lpstr>
      <vt:lpstr>shinseijudgehist_provo_isyou2_TANTO_USER_ID</vt:lpstr>
      <vt:lpstr>shinseijudgehist_provo_kouzou1_TANTO_USER_ID</vt:lpstr>
      <vt:lpstr>suit_OFFICE_DAIHYOUSYA__notify_date</vt:lpstr>
      <vt:lpstr>suit_OFFICE_OFFICE_CORP_NAME__notify_date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PC-WAN</dc:title>
  <dc:creator>松葉久</dc:creator>
  <cp:lastModifiedBy>kageyama</cp:lastModifiedBy>
  <cp:lastPrinted>2021-03-09T00:49:48Z</cp:lastPrinted>
  <dcterms:created xsi:type="dcterms:W3CDTF">2002-04-19T01:16:28Z</dcterms:created>
  <dcterms:modified xsi:type="dcterms:W3CDTF">2021-06-01T01:21:52Z</dcterms:modified>
</cp:coreProperties>
</file>